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45" i="1" l="1"/>
  <c r="S445" i="1" s="1"/>
  <c r="J447" i="1"/>
  <c r="K447" i="1" s="1"/>
  <c r="I447" i="1"/>
  <c r="H447" i="1"/>
  <c r="V122" i="1"/>
  <c r="W122" i="1" s="1"/>
  <c r="T122" i="1"/>
  <c r="U122" i="1" s="1"/>
  <c r="R122" i="1"/>
  <c r="S122" i="1" s="1"/>
  <c r="P122" i="1"/>
  <c r="Q122" i="1" s="1"/>
  <c r="N122" i="1"/>
  <c r="O122" i="1" s="1"/>
  <c r="L122" i="1"/>
  <c r="M122" i="1" s="1"/>
  <c r="G122" i="1"/>
  <c r="G445" i="1" l="1"/>
  <c r="T445" i="1"/>
  <c r="U445" i="1" s="1"/>
  <c r="J445" i="1"/>
  <c r="K445" i="1" s="1"/>
  <c r="L445" i="1"/>
  <c r="M445" i="1" s="1"/>
  <c r="P445" i="1"/>
  <c r="Q445" i="1" s="1"/>
  <c r="H445" i="1"/>
  <c r="I445" i="1" s="1"/>
  <c r="V445" i="1"/>
  <c r="W445" i="1" s="1"/>
  <c r="N445" i="1"/>
  <c r="O445" i="1" s="1"/>
  <c r="L467" i="1"/>
  <c r="J467" i="1"/>
  <c r="H467" i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G289" i="1"/>
  <c r="H287" i="1"/>
  <c r="I287" i="1" s="1"/>
  <c r="H288" i="1"/>
  <c r="I288" i="1" s="1"/>
  <c r="H290" i="1"/>
  <c r="I290" i="1" s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G290" i="1"/>
  <c r="V63" i="1" l="1"/>
  <c r="W63" i="1" s="1"/>
  <c r="T63" i="1"/>
  <c r="U63" i="1" s="1"/>
  <c r="R63" i="1"/>
  <c r="S63" i="1" s="1"/>
  <c r="P63" i="1"/>
  <c r="Q63" i="1" s="1"/>
  <c r="N63" i="1"/>
  <c r="O63" i="1" s="1"/>
  <c r="G63" i="1"/>
  <c r="F425" i="1" l="1"/>
  <c r="F275" i="1"/>
  <c r="P275" i="1" s="1"/>
  <c r="Q275" i="1" s="1"/>
  <c r="N275" i="1"/>
  <c r="O275" i="1" s="1"/>
  <c r="V425" i="1" l="1"/>
  <c r="W425" i="1" s="1"/>
  <c r="T425" i="1"/>
  <c r="U425" i="1" s="1"/>
  <c r="N425" i="1"/>
  <c r="O425" i="1" s="1"/>
  <c r="R425" i="1"/>
  <c r="S425" i="1" s="1"/>
  <c r="P425" i="1"/>
  <c r="Q425" i="1" s="1"/>
  <c r="L425" i="1"/>
  <c r="M425" i="1" s="1"/>
  <c r="J425" i="1"/>
  <c r="K425" i="1" s="1"/>
  <c r="H425" i="1"/>
  <c r="I425" i="1" s="1"/>
  <c r="R275" i="1"/>
  <c r="S275" i="1" s="1"/>
  <c r="G275" i="1"/>
  <c r="H275" i="1"/>
  <c r="I275" i="1" s="1"/>
  <c r="T275" i="1"/>
  <c r="U275" i="1" s="1"/>
  <c r="J275" i="1"/>
  <c r="K275" i="1" s="1"/>
  <c r="V275" i="1"/>
  <c r="W275" i="1" s="1"/>
  <c r="L275" i="1"/>
  <c r="M275" i="1" s="1"/>
  <c r="F344" i="1"/>
  <c r="F389" i="1" l="1"/>
  <c r="F541" i="1" l="1"/>
  <c r="T541" i="1" l="1"/>
  <c r="U541" i="1" s="1"/>
  <c r="N541" i="1" l="1"/>
  <c r="O541" i="1" s="1"/>
  <c r="V541" i="1"/>
  <c r="W541" i="1" s="1"/>
  <c r="G541" i="1"/>
  <c r="H541" i="1"/>
  <c r="I541" i="1" s="1"/>
  <c r="P541" i="1"/>
  <c r="Q541" i="1" s="1"/>
  <c r="L541" i="1"/>
  <c r="M541" i="1" s="1"/>
  <c r="J541" i="1"/>
  <c r="K541" i="1" s="1"/>
  <c r="R541" i="1"/>
  <c r="S541" i="1" s="1"/>
  <c r="F14" i="1"/>
  <c r="F395" i="1" l="1"/>
  <c r="W440" i="1"/>
  <c r="U440" i="1"/>
  <c r="S440" i="1"/>
  <c r="Q440" i="1"/>
  <c r="O440" i="1"/>
  <c r="W439" i="1"/>
  <c r="U439" i="1"/>
  <c r="S439" i="1"/>
  <c r="Q439" i="1"/>
  <c r="O439" i="1"/>
  <c r="F444" i="1" l="1"/>
  <c r="F443" i="1"/>
  <c r="P443" i="1" l="1"/>
  <c r="Q443" i="1" s="1"/>
  <c r="N443" i="1"/>
  <c r="O443" i="1" s="1"/>
  <c r="V443" i="1"/>
  <c r="W443" i="1" s="1"/>
  <c r="T443" i="1"/>
  <c r="U443" i="1" s="1"/>
  <c r="R443" i="1"/>
  <c r="S443" i="1" s="1"/>
  <c r="L443" i="1"/>
  <c r="M443" i="1" s="1"/>
  <c r="J443" i="1"/>
  <c r="K443" i="1" s="1"/>
  <c r="H443" i="1"/>
  <c r="I443" i="1" s="1"/>
  <c r="H444" i="1"/>
  <c r="I444" i="1" s="1"/>
  <c r="V444" i="1"/>
  <c r="W444" i="1" s="1"/>
  <c r="T444" i="1"/>
  <c r="U444" i="1" s="1"/>
  <c r="R444" i="1"/>
  <c r="S444" i="1" s="1"/>
  <c r="P444" i="1"/>
  <c r="Q444" i="1" s="1"/>
  <c r="N444" i="1"/>
  <c r="O444" i="1" s="1"/>
  <c r="L444" i="1"/>
  <c r="M444" i="1" s="1"/>
  <c r="J444" i="1"/>
  <c r="K444" i="1" s="1"/>
  <c r="F496" i="1"/>
  <c r="J496" i="1" s="1"/>
  <c r="K496" i="1" s="1"/>
  <c r="F497" i="1"/>
  <c r="H497" i="1" s="1"/>
  <c r="I497" i="1" s="1"/>
  <c r="P496" i="1" l="1"/>
  <c r="Q496" i="1" s="1"/>
  <c r="T496" i="1"/>
  <c r="U496" i="1" s="1"/>
  <c r="L496" i="1"/>
  <c r="M496" i="1" s="1"/>
  <c r="N496" i="1"/>
  <c r="O496" i="1" s="1"/>
  <c r="J497" i="1"/>
  <c r="K497" i="1" s="1"/>
  <c r="V497" i="1"/>
  <c r="W497" i="1" s="1"/>
  <c r="L497" i="1"/>
  <c r="M497" i="1" s="1"/>
  <c r="P497" i="1"/>
  <c r="Q497" i="1" s="1"/>
  <c r="N497" i="1"/>
  <c r="O497" i="1" s="1"/>
  <c r="T497" i="1"/>
  <c r="U497" i="1" s="1"/>
  <c r="R497" i="1"/>
  <c r="S497" i="1" s="1"/>
  <c r="G497" i="1"/>
  <c r="R496" i="1"/>
  <c r="S496" i="1" s="1"/>
  <c r="V496" i="1"/>
  <c r="W496" i="1" s="1"/>
  <c r="G496" i="1"/>
  <c r="H496" i="1"/>
  <c r="I496" i="1" s="1"/>
  <c r="F376" i="1"/>
  <c r="F403" i="1" l="1"/>
  <c r="F404" i="1"/>
  <c r="T404" i="1" s="1"/>
  <c r="U404" i="1" s="1"/>
  <c r="L404" i="1" l="1"/>
  <c r="M404" i="1" s="1"/>
  <c r="J404" i="1"/>
  <c r="K404" i="1" s="1"/>
  <c r="N404" i="1"/>
  <c r="O404" i="1" s="1"/>
  <c r="P404" i="1"/>
  <c r="Q404" i="1" s="1"/>
  <c r="V404" i="1"/>
  <c r="W404" i="1" s="1"/>
  <c r="R404" i="1"/>
  <c r="S404" i="1" s="1"/>
  <c r="G404" i="1"/>
  <c r="H404" i="1"/>
  <c r="I404" i="1" s="1"/>
  <c r="J153" i="1" l="1"/>
  <c r="P153" i="1"/>
  <c r="N153" i="1"/>
  <c r="J146" i="1"/>
  <c r="L146" i="1"/>
  <c r="N146" i="1"/>
  <c r="P146" i="1"/>
  <c r="R146" i="1"/>
  <c r="T146" i="1"/>
  <c r="V146" i="1"/>
  <c r="V59" i="1"/>
  <c r="V106" i="1"/>
  <c r="T106" i="1"/>
  <c r="R106" i="1"/>
  <c r="P106" i="1"/>
  <c r="N106" i="1"/>
  <c r="L106" i="1"/>
  <c r="R112" i="1"/>
  <c r="S112" i="1" s="1"/>
  <c r="R111" i="1"/>
  <c r="P112" i="1"/>
  <c r="Q112" i="1" s="1"/>
  <c r="P111" i="1"/>
  <c r="N111" i="1"/>
  <c r="N112" i="1"/>
  <c r="T112" i="1"/>
  <c r="U112" i="1" s="1"/>
  <c r="V112" i="1"/>
  <c r="V111" i="1"/>
  <c r="T111" i="1"/>
  <c r="V64" i="1"/>
  <c r="T64" i="1"/>
  <c r="R64" i="1"/>
  <c r="P64" i="1"/>
  <c r="N64" i="1"/>
  <c r="L64" i="1"/>
  <c r="T59" i="1"/>
  <c r="R59" i="1"/>
  <c r="P59" i="1"/>
  <c r="V58" i="1"/>
  <c r="V57" i="1"/>
  <c r="V56" i="1"/>
  <c r="V55" i="1"/>
  <c r="T58" i="1"/>
  <c r="T57" i="1"/>
  <c r="T56" i="1"/>
  <c r="T55" i="1"/>
  <c r="R58" i="1"/>
  <c r="R57" i="1"/>
  <c r="R56" i="1"/>
  <c r="R55" i="1"/>
  <c r="P58" i="1"/>
  <c r="P57" i="1"/>
  <c r="P56" i="1"/>
  <c r="P55" i="1"/>
  <c r="N58" i="1"/>
  <c r="N57" i="1"/>
  <c r="N56" i="1"/>
  <c r="N55" i="1"/>
  <c r="L56" i="1"/>
  <c r="L55" i="1"/>
  <c r="L57" i="1"/>
  <c r="L58" i="1"/>
  <c r="H629" i="1" l="1"/>
  <c r="I629" i="1" s="1"/>
  <c r="H630" i="1"/>
  <c r="I630" i="1" s="1"/>
  <c r="T630" i="1" l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G630" i="1"/>
  <c r="F520" i="1" l="1"/>
  <c r="V520" i="1" s="1"/>
  <c r="W520" i="1" s="1"/>
  <c r="G520" i="1" l="1"/>
  <c r="L520" i="1"/>
  <c r="M520" i="1" s="1"/>
  <c r="N520" i="1"/>
  <c r="O520" i="1" s="1"/>
  <c r="P520" i="1"/>
  <c r="Q520" i="1" s="1"/>
  <c r="R520" i="1"/>
  <c r="S520" i="1" s="1"/>
  <c r="T520" i="1"/>
  <c r="U520" i="1" s="1"/>
  <c r="N174" i="1"/>
  <c r="O174" i="1" s="1"/>
  <c r="P174" i="1"/>
  <c r="Q174" i="1" s="1"/>
  <c r="R174" i="1"/>
  <c r="S174" i="1" s="1"/>
  <c r="T174" i="1"/>
  <c r="U174" i="1" s="1"/>
  <c r="V174" i="1"/>
  <c r="N175" i="1"/>
  <c r="O175" i="1" s="1"/>
  <c r="P175" i="1"/>
  <c r="Q175" i="1" s="1"/>
  <c r="R175" i="1"/>
  <c r="S175" i="1" s="1"/>
  <c r="T175" i="1"/>
  <c r="U175" i="1" s="1"/>
  <c r="V175" i="1"/>
  <c r="N176" i="1"/>
  <c r="O176" i="1" s="1"/>
  <c r="P176" i="1"/>
  <c r="Q176" i="1" s="1"/>
  <c r="R176" i="1"/>
  <c r="S176" i="1" s="1"/>
  <c r="T176" i="1"/>
  <c r="U176" i="1" s="1"/>
  <c r="V176" i="1"/>
  <c r="V173" i="1"/>
  <c r="T173" i="1"/>
  <c r="R173" i="1"/>
  <c r="P173" i="1"/>
  <c r="N173" i="1"/>
  <c r="F632" i="1" l="1"/>
  <c r="F491" i="1"/>
  <c r="F490" i="1"/>
  <c r="F528" i="1" l="1"/>
  <c r="P528" i="1" s="1"/>
  <c r="Q528" i="1" s="1"/>
  <c r="F529" i="1"/>
  <c r="F530" i="1"/>
  <c r="T528" i="1" l="1"/>
  <c r="U528" i="1" s="1"/>
  <c r="R528" i="1"/>
  <c r="S528" i="1" s="1"/>
  <c r="J528" i="1"/>
  <c r="K528" i="1" s="1"/>
  <c r="V528" i="1"/>
  <c r="W528" i="1" s="1"/>
  <c r="L528" i="1"/>
  <c r="M528" i="1" s="1"/>
  <c r="N528" i="1"/>
  <c r="O528" i="1" s="1"/>
  <c r="G528" i="1"/>
  <c r="H528" i="1"/>
  <c r="I528" i="1" s="1"/>
  <c r="F592" i="1"/>
  <c r="V592" i="1" l="1"/>
  <c r="W592" i="1" s="1"/>
  <c r="L592" i="1" l="1"/>
  <c r="M592" i="1" s="1"/>
  <c r="N592" i="1"/>
  <c r="O592" i="1" s="1"/>
  <c r="G592" i="1"/>
  <c r="P592" i="1"/>
  <c r="Q592" i="1" s="1"/>
  <c r="R592" i="1"/>
  <c r="S592" i="1" s="1"/>
  <c r="H592" i="1"/>
  <c r="I592" i="1" s="1"/>
  <c r="T592" i="1"/>
  <c r="U592" i="1" s="1"/>
  <c r="J592" i="1"/>
  <c r="K592" i="1" s="1"/>
  <c r="F483" i="1" l="1"/>
  <c r="T483" i="1" s="1"/>
  <c r="U483" i="1" s="1"/>
  <c r="F482" i="1"/>
  <c r="V482" i="1" s="1"/>
  <c r="W482" i="1" s="1"/>
  <c r="N482" i="1" l="1"/>
  <c r="O482" i="1" s="1"/>
  <c r="H482" i="1"/>
  <c r="I482" i="1" s="1"/>
  <c r="J482" i="1"/>
  <c r="K482" i="1" s="1"/>
  <c r="L482" i="1"/>
  <c r="M482" i="1" s="1"/>
  <c r="P482" i="1"/>
  <c r="Q482" i="1" s="1"/>
  <c r="R482" i="1"/>
  <c r="S482" i="1" s="1"/>
  <c r="T482" i="1"/>
  <c r="U482" i="1" s="1"/>
  <c r="V483" i="1"/>
  <c r="W483" i="1" s="1"/>
  <c r="L483" i="1"/>
  <c r="M483" i="1" s="1"/>
  <c r="N483" i="1"/>
  <c r="O483" i="1" s="1"/>
  <c r="J483" i="1"/>
  <c r="K483" i="1" s="1"/>
  <c r="P483" i="1"/>
  <c r="Q483" i="1" s="1"/>
  <c r="R483" i="1"/>
  <c r="S483" i="1" s="1"/>
  <c r="G483" i="1"/>
  <c r="H483" i="1"/>
  <c r="I483" i="1" s="1"/>
  <c r="G482" i="1"/>
  <c r="F526" i="1" l="1"/>
  <c r="G526" i="1" s="1"/>
  <c r="L526" i="1" l="1"/>
  <c r="M526" i="1" s="1"/>
  <c r="H526" i="1"/>
  <c r="I526" i="1" s="1"/>
  <c r="J526" i="1"/>
  <c r="K526" i="1" s="1"/>
  <c r="V526" i="1"/>
  <c r="W526" i="1" s="1"/>
  <c r="R526" i="1"/>
  <c r="S526" i="1" s="1"/>
  <c r="T526" i="1"/>
  <c r="U526" i="1" s="1"/>
  <c r="N526" i="1"/>
  <c r="O526" i="1" s="1"/>
  <c r="P526" i="1"/>
  <c r="Q526" i="1" s="1"/>
  <c r="F551" i="1" l="1"/>
  <c r="V551" i="1" s="1"/>
  <c r="W551" i="1" s="1"/>
  <c r="F550" i="1"/>
  <c r="V550" i="1" s="1"/>
  <c r="W550" i="1" s="1"/>
  <c r="F218" i="1"/>
  <c r="F436" i="1"/>
  <c r="F446" i="1"/>
  <c r="H446" i="1" l="1"/>
  <c r="I446" i="1" s="1"/>
  <c r="R446" i="1"/>
  <c r="S446" i="1" s="1"/>
  <c r="N446" i="1"/>
  <c r="O446" i="1" s="1"/>
  <c r="V446" i="1"/>
  <c r="W446" i="1" s="1"/>
  <c r="T446" i="1"/>
  <c r="U446" i="1" s="1"/>
  <c r="P446" i="1"/>
  <c r="Q446" i="1" s="1"/>
  <c r="L446" i="1"/>
  <c r="M446" i="1" s="1"/>
  <c r="J446" i="1"/>
  <c r="K446" i="1" s="1"/>
  <c r="N551" i="1"/>
  <c r="O551" i="1" s="1"/>
  <c r="P551" i="1"/>
  <c r="Q551" i="1" s="1"/>
  <c r="R551" i="1"/>
  <c r="S551" i="1" s="1"/>
  <c r="G551" i="1"/>
  <c r="L551" i="1"/>
  <c r="M551" i="1" s="1"/>
  <c r="H551" i="1"/>
  <c r="I551" i="1" s="1"/>
  <c r="T551" i="1"/>
  <c r="U551" i="1" s="1"/>
  <c r="J551" i="1"/>
  <c r="K551" i="1" s="1"/>
  <c r="L550" i="1"/>
  <c r="M550" i="1" s="1"/>
  <c r="H550" i="1"/>
  <c r="I550" i="1" s="1"/>
  <c r="J550" i="1"/>
  <c r="K550" i="1" s="1"/>
  <c r="N550" i="1"/>
  <c r="O550" i="1" s="1"/>
  <c r="P550" i="1"/>
  <c r="Q550" i="1" s="1"/>
  <c r="R550" i="1"/>
  <c r="S550" i="1" s="1"/>
  <c r="G550" i="1"/>
  <c r="T550" i="1"/>
  <c r="U550" i="1" s="1"/>
  <c r="F534" i="1" l="1"/>
  <c r="V616" i="1" l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H616" i="1"/>
  <c r="I61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J615" i="1"/>
  <c r="H615" i="1"/>
  <c r="I615" i="1" s="1"/>
  <c r="F549" i="1" l="1"/>
  <c r="P549" i="1" s="1"/>
  <c r="Q549" i="1" s="1"/>
  <c r="F553" i="1"/>
  <c r="G553" i="1" s="1"/>
  <c r="G549" i="1" l="1"/>
  <c r="H549" i="1"/>
  <c r="I549" i="1" s="1"/>
  <c r="T549" i="1"/>
  <c r="U549" i="1" s="1"/>
  <c r="L549" i="1"/>
  <c r="M549" i="1" s="1"/>
  <c r="V549" i="1"/>
  <c r="W549" i="1" s="1"/>
  <c r="J549" i="1"/>
  <c r="K549" i="1" s="1"/>
  <c r="N549" i="1"/>
  <c r="O549" i="1" s="1"/>
  <c r="R549" i="1"/>
  <c r="S549" i="1" s="1"/>
  <c r="J553" i="1"/>
  <c r="K553" i="1" s="1"/>
  <c r="N553" i="1"/>
  <c r="O553" i="1" s="1"/>
  <c r="R553" i="1"/>
  <c r="S553" i="1" s="1"/>
  <c r="V553" i="1"/>
  <c r="W553" i="1" s="1"/>
  <c r="H553" i="1"/>
  <c r="I553" i="1" s="1"/>
  <c r="L553" i="1"/>
  <c r="M553" i="1" s="1"/>
  <c r="P553" i="1"/>
  <c r="Q553" i="1" s="1"/>
  <c r="T553" i="1"/>
  <c r="U553" i="1" s="1"/>
  <c r="F611" i="1"/>
  <c r="V611" i="1" s="1"/>
  <c r="F614" i="1"/>
  <c r="V614" i="1" s="1"/>
  <c r="W614" i="1" s="1"/>
  <c r="F613" i="1"/>
  <c r="V613" i="1" s="1"/>
  <c r="W613" i="1" s="1"/>
  <c r="F612" i="1"/>
  <c r="P611" i="1" l="1"/>
  <c r="Q611" i="1" s="1"/>
  <c r="H611" i="1"/>
  <c r="I611" i="1" s="1"/>
  <c r="R611" i="1"/>
  <c r="S611" i="1" s="1"/>
  <c r="J611" i="1"/>
  <c r="K611" i="1" s="1"/>
  <c r="T611" i="1"/>
  <c r="U611" i="1" s="1"/>
  <c r="N611" i="1"/>
  <c r="O611" i="1" s="1"/>
  <c r="L611" i="1"/>
  <c r="M611" i="1" s="1"/>
  <c r="G611" i="1"/>
  <c r="W611" i="1"/>
  <c r="L614" i="1"/>
  <c r="M614" i="1" s="1"/>
  <c r="P614" i="1"/>
  <c r="Q614" i="1" s="1"/>
  <c r="T614" i="1"/>
  <c r="U614" i="1" s="1"/>
  <c r="G614" i="1"/>
  <c r="J614" i="1"/>
  <c r="K614" i="1" s="1"/>
  <c r="N614" i="1"/>
  <c r="O614" i="1" s="1"/>
  <c r="R614" i="1"/>
  <c r="S614" i="1" s="1"/>
  <c r="L613" i="1"/>
  <c r="M613" i="1" s="1"/>
  <c r="P613" i="1"/>
  <c r="Q613" i="1" s="1"/>
  <c r="T613" i="1"/>
  <c r="U613" i="1" s="1"/>
  <c r="G613" i="1"/>
  <c r="J613" i="1"/>
  <c r="K613" i="1" s="1"/>
  <c r="N613" i="1"/>
  <c r="O613" i="1" s="1"/>
  <c r="R613" i="1"/>
  <c r="S613" i="1" s="1"/>
  <c r="V612" i="1" l="1"/>
  <c r="W612" i="1" s="1"/>
  <c r="R612" i="1"/>
  <c r="S612" i="1" s="1"/>
  <c r="N612" i="1"/>
  <c r="O612" i="1" s="1"/>
  <c r="J612" i="1"/>
  <c r="K612" i="1" s="1"/>
  <c r="G612" i="1"/>
  <c r="L612" i="1" l="1"/>
  <c r="M612" i="1" s="1"/>
  <c r="P612" i="1"/>
  <c r="Q612" i="1" s="1"/>
  <c r="T612" i="1"/>
  <c r="U612" i="1" s="1"/>
  <c r="F247" i="1"/>
  <c r="R247" i="1" l="1"/>
  <c r="S247" i="1" s="1"/>
  <c r="G247" i="1" l="1"/>
  <c r="H247" i="1"/>
  <c r="I247" i="1" s="1"/>
  <c r="T247" i="1"/>
  <c r="U247" i="1" s="1"/>
  <c r="J247" i="1"/>
  <c r="K247" i="1" s="1"/>
  <c r="N247" i="1"/>
  <c r="O247" i="1" s="1"/>
  <c r="L247" i="1"/>
  <c r="M247" i="1" s="1"/>
  <c r="V247" i="1"/>
  <c r="W247" i="1" s="1"/>
  <c r="P247" i="1"/>
  <c r="Q247" i="1" s="1"/>
  <c r="F603" i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G567" i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G569" i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G568" i="1"/>
  <c r="F602" i="1"/>
  <c r="F601" i="1"/>
  <c r="H601" i="1" s="1"/>
  <c r="I601" i="1" s="1"/>
  <c r="F622" i="1"/>
  <c r="F554" i="1"/>
  <c r="F552" i="1"/>
  <c r="F547" i="1"/>
  <c r="F546" i="1"/>
  <c r="F545" i="1"/>
  <c r="F544" i="1"/>
  <c r="F543" i="1"/>
  <c r="P603" i="1" l="1"/>
  <c r="Q603" i="1" s="1"/>
  <c r="H603" i="1"/>
  <c r="I603" i="1" s="1"/>
  <c r="G602" i="1"/>
  <c r="H602" i="1"/>
  <c r="I602" i="1" s="1"/>
  <c r="R601" i="1"/>
  <c r="S601" i="1" s="1"/>
  <c r="J601" i="1"/>
  <c r="K601" i="1" s="1"/>
  <c r="P601" i="1"/>
  <c r="Q601" i="1" s="1"/>
  <c r="T601" i="1"/>
  <c r="U601" i="1" s="1"/>
  <c r="V601" i="1"/>
  <c r="W601" i="1" s="1"/>
  <c r="L601" i="1"/>
  <c r="M601" i="1" s="1"/>
  <c r="N601" i="1"/>
  <c r="O601" i="1" s="1"/>
  <c r="R603" i="1"/>
  <c r="S603" i="1" s="1"/>
  <c r="V603" i="1"/>
  <c r="W603" i="1" s="1"/>
  <c r="T603" i="1"/>
  <c r="U603" i="1" s="1"/>
  <c r="J603" i="1"/>
  <c r="K603" i="1" s="1"/>
  <c r="L603" i="1"/>
  <c r="M603" i="1" s="1"/>
  <c r="N603" i="1"/>
  <c r="O603" i="1" s="1"/>
  <c r="G603" i="1"/>
  <c r="N602" i="1"/>
  <c r="O602" i="1" s="1"/>
  <c r="V602" i="1"/>
  <c r="W602" i="1" s="1"/>
  <c r="R602" i="1"/>
  <c r="S602" i="1" s="1"/>
  <c r="T602" i="1"/>
  <c r="U602" i="1" s="1"/>
  <c r="J602" i="1"/>
  <c r="K602" i="1" s="1"/>
  <c r="L602" i="1"/>
  <c r="M602" i="1" s="1"/>
  <c r="P602" i="1"/>
  <c r="Q602" i="1" s="1"/>
  <c r="G601" i="1"/>
  <c r="F527" i="1"/>
  <c r="F523" i="1"/>
  <c r="F522" i="1"/>
  <c r="F505" i="1"/>
  <c r="F499" i="1"/>
  <c r="F495" i="1"/>
  <c r="F493" i="1"/>
  <c r="F492" i="1"/>
  <c r="F486" i="1"/>
  <c r="F485" i="1"/>
  <c r="F484" i="1"/>
  <c r="F407" i="1" l="1"/>
  <c r="F406" i="1"/>
  <c r="F402" i="1"/>
  <c r="F401" i="1"/>
  <c r="F388" i="1"/>
  <c r="F384" i="1"/>
  <c r="F350" i="1"/>
  <c r="F349" i="1"/>
  <c r="F343" i="1"/>
  <c r="H304" i="1"/>
  <c r="H301" i="1"/>
  <c r="H302" i="1"/>
  <c r="H303" i="1"/>
  <c r="F300" i="1"/>
  <c r="F299" i="1"/>
  <c r="H284" i="1"/>
  <c r="H296" i="1"/>
  <c r="H292" i="1"/>
  <c r="H293" i="1"/>
  <c r="F285" i="1"/>
  <c r="F283" i="1"/>
  <c r="F282" i="1"/>
  <c r="F276" i="1"/>
  <c r="F228" i="1"/>
  <c r="F227" i="1"/>
  <c r="F226" i="1"/>
  <c r="F211" i="1"/>
  <c r="F194" i="1"/>
  <c r="F187" i="1"/>
  <c r="G14" i="1" l="1"/>
  <c r="T14" i="1" l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H14" i="1"/>
  <c r="I14" i="1" s="1"/>
  <c r="F353" i="1" l="1"/>
  <c r="F30" i="1" l="1"/>
  <c r="G30" i="1" s="1"/>
  <c r="F625" i="1" l="1"/>
  <c r="R388" i="1"/>
  <c r="S388" i="1" s="1"/>
  <c r="F548" i="1"/>
  <c r="F536" i="1"/>
  <c r="F535" i="1"/>
  <c r="F533" i="1"/>
  <c r="F512" i="1"/>
  <c r="F511" i="1"/>
  <c r="F504" i="1"/>
  <c r="F500" i="1"/>
  <c r="F498" i="1"/>
  <c r="F494" i="1"/>
  <c r="F489" i="1"/>
  <c r="F488" i="1"/>
  <c r="P484" i="1"/>
  <c r="Q484" i="1" s="1"/>
  <c r="N484" i="1" l="1"/>
  <c r="O484" i="1" s="1"/>
  <c r="L484" i="1"/>
  <c r="M484" i="1" s="1"/>
  <c r="V388" i="1"/>
  <c r="W388" i="1" s="1"/>
  <c r="J388" i="1"/>
  <c r="K388" i="1" s="1"/>
  <c r="N388" i="1"/>
  <c r="O388" i="1" s="1"/>
  <c r="P388" i="1"/>
  <c r="Q388" i="1" s="1"/>
  <c r="T388" i="1"/>
  <c r="U388" i="1" s="1"/>
  <c r="H388" i="1"/>
  <c r="I388" i="1" s="1"/>
  <c r="L388" i="1"/>
  <c r="M388" i="1" s="1"/>
  <c r="G388" i="1"/>
  <c r="R484" i="1"/>
  <c r="S484" i="1" s="1"/>
  <c r="G484" i="1"/>
  <c r="H484" i="1"/>
  <c r="I484" i="1" s="1"/>
  <c r="T484" i="1"/>
  <c r="U484" i="1" s="1"/>
  <c r="J484" i="1"/>
  <c r="K484" i="1" s="1"/>
  <c r="V484" i="1"/>
  <c r="W484" i="1" s="1"/>
  <c r="F435" i="1"/>
  <c r="F394" i="1"/>
  <c r="F387" i="1"/>
  <c r="F385" i="1"/>
  <c r="F381" i="1"/>
  <c r="F379" i="1"/>
  <c r="F378" i="1"/>
  <c r="F374" i="1"/>
  <c r="F373" i="1" l="1"/>
  <c r="F370" i="1"/>
  <c r="F368" i="1"/>
  <c r="F364" i="1"/>
  <c r="F363" i="1"/>
  <c r="F362" i="1"/>
  <c r="F361" i="1"/>
  <c r="F360" i="1"/>
  <c r="F348" i="1"/>
  <c r="F347" i="1"/>
  <c r="F346" i="1"/>
  <c r="F340" i="1"/>
  <c r="F338" i="1"/>
  <c r="F337" i="1"/>
  <c r="F336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15" i="1"/>
  <c r="F314" i="1"/>
  <c r="F313" i="1"/>
  <c r="F312" i="1"/>
  <c r="F311" i="1"/>
  <c r="F310" i="1"/>
  <c r="F307" i="1"/>
  <c r="F298" i="1"/>
  <c r="F286" i="1"/>
  <c r="F281" i="1"/>
  <c r="F250" i="1"/>
  <c r="F249" i="1"/>
  <c r="F248" i="1"/>
  <c r="F246" i="1"/>
  <c r="F234" i="1"/>
  <c r="F232" i="1"/>
  <c r="F231" i="1"/>
  <c r="F229" i="1"/>
  <c r="F219" i="1"/>
  <c r="F216" i="1"/>
  <c r="F215" i="1"/>
  <c r="F214" i="1"/>
  <c r="F186" i="1"/>
  <c r="F163" i="1"/>
  <c r="F155" i="1"/>
  <c r="F154" i="1"/>
  <c r="F142" i="1"/>
  <c r="F105" i="1"/>
  <c r="F104" i="1"/>
  <c r="F103" i="1"/>
  <c r="F102" i="1"/>
  <c r="F101" i="1"/>
  <c r="F100" i="1"/>
  <c r="F97" i="1"/>
  <c r="N142" i="1" l="1"/>
  <c r="O142" i="1" s="1"/>
  <c r="V142" i="1"/>
  <c r="W142" i="1" s="1"/>
  <c r="T142" i="1"/>
  <c r="U142" i="1" s="1"/>
  <c r="R142" i="1"/>
  <c r="S142" i="1" s="1"/>
  <c r="P142" i="1"/>
  <c r="Q142" i="1" s="1"/>
  <c r="L142" i="1"/>
  <c r="M142" i="1" s="1"/>
  <c r="J142" i="1"/>
  <c r="K142" i="1" s="1"/>
  <c r="H142" i="1"/>
  <c r="I142" i="1" s="1"/>
  <c r="L155" i="1"/>
  <c r="P155" i="1"/>
  <c r="R155" i="1"/>
  <c r="J155" i="1"/>
  <c r="T155" i="1"/>
  <c r="V155" i="1"/>
  <c r="N155" i="1"/>
  <c r="J154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W124" i="1"/>
  <c r="U124" i="1"/>
  <c r="S124" i="1"/>
  <c r="Q124" i="1"/>
  <c r="O124" i="1"/>
  <c r="W50" i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8" i="1"/>
  <c r="U38" i="1"/>
  <c r="S38" i="1"/>
  <c r="Q38" i="1"/>
  <c r="O38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621" i="1"/>
  <c r="F557" i="1" l="1"/>
  <c r="G557" i="1" s="1"/>
  <c r="T557" i="1" l="1"/>
  <c r="U557" i="1" s="1"/>
  <c r="H557" i="1"/>
  <c r="I557" i="1" s="1"/>
  <c r="P557" i="1"/>
  <c r="Q557" i="1" s="1"/>
  <c r="J557" i="1"/>
  <c r="K557" i="1" s="1"/>
  <c r="R557" i="1"/>
  <c r="S557" i="1" s="1"/>
  <c r="N557" i="1"/>
  <c r="O557" i="1" s="1"/>
  <c r="V557" i="1"/>
  <c r="W557" i="1" s="1"/>
  <c r="L557" i="1"/>
  <c r="M557" i="1" s="1"/>
  <c r="G344" i="1" l="1"/>
  <c r="V343" i="1"/>
  <c r="W343" i="1" s="1"/>
  <c r="L344" i="1" l="1"/>
  <c r="M344" i="1" s="1"/>
  <c r="P344" i="1"/>
  <c r="Q344" i="1" s="1"/>
  <c r="T344" i="1"/>
  <c r="U344" i="1" s="1"/>
  <c r="N344" i="1"/>
  <c r="O344" i="1" s="1"/>
  <c r="R344" i="1"/>
  <c r="S344" i="1" s="1"/>
  <c r="V344" i="1"/>
  <c r="W344" i="1" s="1"/>
  <c r="N343" i="1"/>
  <c r="O343" i="1" s="1"/>
  <c r="G343" i="1"/>
  <c r="L343" i="1"/>
  <c r="M343" i="1" s="1"/>
  <c r="P343" i="1"/>
  <c r="Q343" i="1" s="1"/>
  <c r="T343" i="1"/>
  <c r="U343" i="1" s="1"/>
  <c r="R343" i="1"/>
  <c r="S343" i="1" s="1"/>
  <c r="V402" i="1"/>
  <c r="W402" i="1" s="1"/>
  <c r="N403" i="1"/>
  <c r="O403" i="1" s="1"/>
  <c r="N395" i="1"/>
  <c r="O395" i="1" s="1"/>
  <c r="V401" i="1"/>
  <c r="W401" i="1" s="1"/>
  <c r="F224" i="1"/>
  <c r="R224" i="1" s="1"/>
  <c r="S224" i="1" s="1"/>
  <c r="F242" i="1"/>
  <c r="F532" i="1"/>
  <c r="V395" i="1" l="1"/>
  <c r="W395" i="1" s="1"/>
  <c r="P402" i="1"/>
  <c r="Q402" i="1" s="1"/>
  <c r="R402" i="1"/>
  <c r="S402" i="1" s="1"/>
  <c r="T402" i="1"/>
  <c r="U402" i="1" s="1"/>
  <c r="L402" i="1"/>
  <c r="M402" i="1" s="1"/>
  <c r="N402" i="1"/>
  <c r="O402" i="1" s="1"/>
  <c r="G402" i="1"/>
  <c r="H402" i="1"/>
  <c r="I402" i="1" s="1"/>
  <c r="J402" i="1"/>
  <c r="K402" i="1" s="1"/>
  <c r="T403" i="1"/>
  <c r="U403" i="1" s="1"/>
  <c r="G403" i="1"/>
  <c r="J403" i="1"/>
  <c r="K403" i="1" s="1"/>
  <c r="L403" i="1"/>
  <c r="M403" i="1" s="1"/>
  <c r="P403" i="1"/>
  <c r="Q403" i="1" s="1"/>
  <c r="V403" i="1"/>
  <c r="W403" i="1" s="1"/>
  <c r="R403" i="1"/>
  <c r="S403" i="1" s="1"/>
  <c r="H403" i="1"/>
  <c r="I403" i="1" s="1"/>
  <c r="R395" i="1"/>
  <c r="S395" i="1" s="1"/>
  <c r="L395" i="1"/>
  <c r="M395" i="1" s="1"/>
  <c r="P395" i="1"/>
  <c r="Q395" i="1" s="1"/>
  <c r="G395" i="1"/>
  <c r="H395" i="1"/>
  <c r="I395" i="1" s="1"/>
  <c r="T395" i="1"/>
  <c r="U395" i="1" s="1"/>
  <c r="J395" i="1"/>
  <c r="K395" i="1" s="1"/>
  <c r="T401" i="1"/>
  <c r="U401" i="1" s="1"/>
  <c r="L401" i="1"/>
  <c r="M401" i="1" s="1"/>
  <c r="N401" i="1"/>
  <c r="O401" i="1" s="1"/>
  <c r="P401" i="1"/>
  <c r="Q401" i="1" s="1"/>
  <c r="R401" i="1"/>
  <c r="S401" i="1" s="1"/>
  <c r="G401" i="1"/>
  <c r="H401" i="1"/>
  <c r="I401" i="1" s="1"/>
  <c r="J401" i="1"/>
  <c r="K401" i="1" s="1"/>
  <c r="G224" i="1"/>
  <c r="H224" i="1"/>
  <c r="I224" i="1" s="1"/>
  <c r="J224" i="1"/>
  <c r="K224" i="1" s="1"/>
  <c r="L224" i="1"/>
  <c r="M224" i="1" s="1"/>
  <c r="T224" i="1"/>
  <c r="U224" i="1" s="1"/>
  <c r="V224" i="1"/>
  <c r="W224" i="1" s="1"/>
  <c r="N224" i="1"/>
  <c r="O224" i="1" s="1"/>
  <c r="P224" i="1"/>
  <c r="Q224" i="1" s="1"/>
  <c r="V11" i="1" l="1"/>
  <c r="W11" i="1" s="1"/>
  <c r="T11" i="1"/>
  <c r="U11" i="1" s="1"/>
  <c r="R11" i="1"/>
  <c r="S11" i="1" s="1"/>
  <c r="P11" i="1"/>
  <c r="Q11" i="1" s="1"/>
  <c r="N11" i="1"/>
  <c r="O11" i="1" s="1"/>
  <c r="J11" i="1"/>
  <c r="G11" i="1"/>
  <c r="H412" i="1" l="1"/>
  <c r="I412" i="1" s="1"/>
  <c r="V226" i="1"/>
  <c r="W226" i="1" s="1"/>
  <c r="L226" i="1" l="1"/>
  <c r="M226" i="1" s="1"/>
  <c r="P226" i="1"/>
  <c r="Q226" i="1" s="1"/>
  <c r="N226" i="1"/>
  <c r="O226" i="1" s="1"/>
  <c r="R226" i="1"/>
  <c r="S226" i="1" s="1"/>
  <c r="G226" i="1"/>
  <c r="H226" i="1"/>
  <c r="I226" i="1" s="1"/>
  <c r="T226" i="1"/>
  <c r="U226" i="1" s="1"/>
  <c r="J226" i="1"/>
  <c r="K226" i="1" s="1"/>
  <c r="T227" i="1" l="1"/>
  <c r="U227" i="1" s="1"/>
  <c r="V227" i="1" l="1"/>
  <c r="W227" i="1" s="1"/>
  <c r="L227" i="1"/>
  <c r="M227" i="1" s="1"/>
  <c r="J227" i="1"/>
  <c r="K227" i="1" s="1"/>
  <c r="N227" i="1"/>
  <c r="O227" i="1" s="1"/>
  <c r="P227" i="1"/>
  <c r="Q227" i="1" s="1"/>
  <c r="G227" i="1"/>
  <c r="R227" i="1"/>
  <c r="S227" i="1" s="1"/>
  <c r="H227" i="1"/>
  <c r="I227" i="1" s="1"/>
  <c r="F342" i="1"/>
  <c r="P342" i="1" s="1"/>
  <c r="Q342" i="1" s="1"/>
  <c r="T342" i="1" l="1"/>
  <c r="U342" i="1" s="1"/>
  <c r="R342" i="1"/>
  <c r="S342" i="1" s="1"/>
  <c r="V342" i="1"/>
  <c r="W342" i="1" s="1"/>
  <c r="G342" i="1"/>
  <c r="L342" i="1"/>
  <c r="M342" i="1" s="1"/>
  <c r="N342" i="1"/>
  <c r="O342" i="1" s="1"/>
  <c r="G376" i="1"/>
  <c r="L376" i="1" l="1"/>
  <c r="M376" i="1" s="1"/>
  <c r="N376" i="1"/>
  <c r="O376" i="1" s="1"/>
  <c r="P376" i="1"/>
  <c r="Q376" i="1" s="1"/>
  <c r="R376" i="1"/>
  <c r="S376" i="1" s="1"/>
  <c r="T376" i="1"/>
  <c r="U376" i="1" s="1"/>
  <c r="V376" i="1"/>
  <c r="W376" i="1" s="1"/>
  <c r="F470" i="1"/>
  <c r="V470" i="1" l="1"/>
  <c r="W470" i="1" s="1"/>
  <c r="L470" i="1" l="1"/>
  <c r="M470" i="1" s="1"/>
  <c r="R470" i="1"/>
  <c r="S470" i="1" s="1"/>
  <c r="T470" i="1"/>
  <c r="U470" i="1" s="1"/>
  <c r="N470" i="1"/>
  <c r="O470" i="1" s="1"/>
  <c r="P470" i="1"/>
  <c r="Q470" i="1" s="1"/>
  <c r="G470" i="1"/>
  <c r="H470" i="1"/>
  <c r="I470" i="1" s="1"/>
  <c r="J470" i="1"/>
  <c r="K470" i="1" s="1"/>
  <c r="F152" i="1"/>
  <c r="F233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H508" i="1"/>
  <c r="I508" i="1" s="1"/>
  <c r="J538" i="1"/>
  <c r="K538" i="1" s="1"/>
  <c r="L538" i="1"/>
  <c r="M538" i="1" s="1"/>
  <c r="N538" i="1"/>
  <c r="O538" i="1" s="1"/>
  <c r="P538" i="1"/>
  <c r="Q538" i="1" s="1"/>
  <c r="R538" i="1"/>
  <c r="S538" i="1" s="1"/>
  <c r="T538" i="1"/>
  <c r="U538" i="1" s="1"/>
  <c r="V538" i="1"/>
  <c r="W538" i="1" s="1"/>
  <c r="J539" i="1"/>
  <c r="K539" i="1" s="1"/>
  <c r="L539" i="1"/>
  <c r="M539" i="1" s="1"/>
  <c r="N539" i="1"/>
  <c r="O539" i="1" s="1"/>
  <c r="P539" i="1"/>
  <c r="Q539" i="1" s="1"/>
  <c r="R539" i="1"/>
  <c r="S539" i="1" s="1"/>
  <c r="T539" i="1"/>
  <c r="U539" i="1" s="1"/>
  <c r="V539" i="1"/>
  <c r="W539" i="1" s="1"/>
  <c r="H521" i="1"/>
  <c r="I521" i="1" s="1"/>
  <c r="J521" i="1"/>
  <c r="K521" i="1" s="1"/>
  <c r="L521" i="1"/>
  <c r="M521" i="1" s="1"/>
  <c r="N521" i="1"/>
  <c r="O521" i="1" s="1"/>
  <c r="P521" i="1"/>
  <c r="Q521" i="1" s="1"/>
  <c r="R521" i="1"/>
  <c r="S521" i="1" s="1"/>
  <c r="T521" i="1"/>
  <c r="U521" i="1" s="1"/>
  <c r="V521" i="1"/>
  <c r="W521" i="1" s="1"/>
  <c r="H524" i="1"/>
  <c r="I524" i="1" s="1"/>
  <c r="J524" i="1"/>
  <c r="K524" i="1" s="1"/>
  <c r="L524" i="1"/>
  <c r="M524" i="1" s="1"/>
  <c r="N524" i="1"/>
  <c r="O524" i="1" s="1"/>
  <c r="P524" i="1"/>
  <c r="Q524" i="1" s="1"/>
  <c r="R524" i="1"/>
  <c r="S524" i="1" s="1"/>
  <c r="T524" i="1"/>
  <c r="U524" i="1" s="1"/>
  <c r="V524" i="1"/>
  <c r="W524" i="1" s="1"/>
  <c r="J525" i="1"/>
  <c r="K525" i="1" s="1"/>
  <c r="L525" i="1"/>
  <c r="M525" i="1" s="1"/>
  <c r="N525" i="1"/>
  <c r="O525" i="1" s="1"/>
  <c r="P525" i="1"/>
  <c r="Q525" i="1" s="1"/>
  <c r="R525" i="1"/>
  <c r="S525" i="1" s="1"/>
  <c r="T525" i="1"/>
  <c r="U525" i="1" s="1"/>
  <c r="V525" i="1"/>
  <c r="W525" i="1" s="1"/>
  <c r="L531" i="1"/>
  <c r="M531" i="1" s="1"/>
  <c r="N531" i="1"/>
  <c r="O531" i="1" s="1"/>
  <c r="P531" i="1"/>
  <c r="Q531" i="1" s="1"/>
  <c r="R531" i="1"/>
  <c r="S531" i="1" s="1"/>
  <c r="T531" i="1"/>
  <c r="U531" i="1" s="1"/>
  <c r="V531" i="1"/>
  <c r="W5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T627" i="1"/>
  <c r="R627" i="1"/>
  <c r="P627" i="1"/>
  <c r="N627" i="1"/>
  <c r="L627" i="1"/>
  <c r="J627" i="1"/>
  <c r="L629" i="1"/>
  <c r="J629" i="1"/>
  <c r="L628" i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H570" i="1"/>
  <c r="I570" i="1" s="1"/>
  <c r="H565" i="1"/>
  <c r="H566" i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V563" i="1"/>
  <c r="T563" i="1"/>
  <c r="R563" i="1"/>
  <c r="P563" i="1"/>
  <c r="N563" i="1"/>
  <c r="L563" i="1"/>
  <c r="J563" i="1"/>
  <c r="G571" i="1"/>
  <c r="T152" i="1" l="1"/>
  <c r="R152" i="1"/>
  <c r="V152" i="1"/>
  <c r="P152" i="1"/>
  <c r="N152" i="1"/>
  <c r="V420" i="1"/>
  <c r="W420" i="1" s="1"/>
  <c r="T420" i="1"/>
  <c r="U420" i="1" s="1"/>
  <c r="R420" i="1"/>
  <c r="S420" i="1" s="1"/>
  <c r="P420" i="1"/>
  <c r="Q420" i="1" s="1"/>
  <c r="N420" i="1"/>
  <c r="O420" i="1" s="1"/>
  <c r="L420" i="1"/>
  <c r="M420" i="1" s="1"/>
  <c r="J420" i="1"/>
  <c r="K420" i="1" s="1"/>
  <c r="L418" i="1"/>
  <c r="L417" i="1"/>
  <c r="M417" i="1" s="1"/>
  <c r="J417" i="1"/>
  <c r="K417" i="1" s="1"/>
  <c r="J418" i="1"/>
  <c r="J412" i="1"/>
  <c r="V268" i="1" l="1"/>
  <c r="W268" i="1" s="1"/>
  <c r="T268" i="1"/>
  <c r="U268" i="1" s="1"/>
  <c r="R268" i="1"/>
  <c r="S268" i="1" s="1"/>
  <c r="P268" i="1"/>
  <c r="Q268" i="1" s="1"/>
  <c r="N268" i="1"/>
  <c r="O268" i="1" s="1"/>
  <c r="L268" i="1"/>
  <c r="M268" i="1" s="1"/>
  <c r="J268" i="1"/>
  <c r="K268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H261" i="1"/>
  <c r="I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H260" i="1"/>
  <c r="I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H259" i="1"/>
  <c r="I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H258" i="1"/>
  <c r="I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55" i="1"/>
  <c r="W255" i="1" s="1"/>
  <c r="T255" i="1"/>
  <c r="U255" i="1" s="1"/>
  <c r="R255" i="1"/>
  <c r="S255" i="1" s="1"/>
  <c r="P255" i="1"/>
  <c r="Q255" i="1" s="1"/>
  <c r="N255" i="1"/>
  <c r="O255" i="1" s="1"/>
  <c r="L255" i="1"/>
  <c r="M255" i="1" s="1"/>
  <c r="J255" i="1"/>
  <c r="K255" i="1" s="1"/>
  <c r="V253" i="1"/>
  <c r="W253" i="1" s="1"/>
  <c r="T253" i="1"/>
  <c r="U253" i="1" s="1"/>
  <c r="R253" i="1"/>
  <c r="S253" i="1" s="1"/>
  <c r="P253" i="1"/>
  <c r="Q253" i="1" s="1"/>
  <c r="N253" i="1"/>
  <c r="O253" i="1" s="1"/>
  <c r="L253" i="1"/>
  <c r="M253" i="1" s="1"/>
  <c r="J253" i="1"/>
  <c r="K253" i="1" s="1"/>
  <c r="H253" i="1"/>
  <c r="I253" i="1" s="1"/>
  <c r="N203" i="1"/>
  <c r="O203" i="1" s="1"/>
  <c r="L203" i="1"/>
  <c r="M203" i="1" s="1"/>
  <c r="J203" i="1"/>
  <c r="K203" i="1" s="1"/>
  <c r="V200" i="1"/>
  <c r="W200" i="1" s="1"/>
  <c r="T200" i="1"/>
  <c r="U200" i="1" s="1"/>
  <c r="V199" i="1"/>
  <c r="W199" i="1" s="1"/>
  <c r="T199" i="1"/>
  <c r="U199" i="1" s="1"/>
  <c r="V198" i="1"/>
  <c r="W198" i="1" s="1"/>
  <c r="T198" i="1"/>
  <c r="U198" i="1" s="1"/>
  <c r="R198" i="1"/>
  <c r="S198" i="1" s="1"/>
  <c r="P198" i="1"/>
  <c r="Q198" i="1" s="1"/>
  <c r="N198" i="1"/>
  <c r="O198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H233" i="1"/>
  <c r="I233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H223" i="1"/>
  <c r="I223" i="1" s="1"/>
  <c r="H222" i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N212" i="1"/>
  <c r="J212" i="1"/>
  <c r="L212" i="1"/>
  <c r="M212" i="1" s="1"/>
  <c r="L213" i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J204" i="1"/>
  <c r="K204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197" i="1"/>
  <c r="K197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196" i="1"/>
  <c r="K196" i="1" s="1"/>
  <c r="L177" i="1"/>
  <c r="N177" i="1"/>
  <c r="P177" i="1"/>
  <c r="R177" i="1"/>
  <c r="T177" i="1"/>
  <c r="V177" i="1"/>
  <c r="V183" i="1"/>
  <c r="W183" i="1" s="1"/>
  <c r="T183" i="1"/>
  <c r="U183" i="1" s="1"/>
  <c r="R183" i="1"/>
  <c r="S183" i="1" s="1"/>
  <c r="P183" i="1"/>
  <c r="Q183" i="1" s="1"/>
  <c r="N183" i="1"/>
  <c r="O183" i="1" s="1"/>
  <c r="L183" i="1"/>
  <c r="M183" i="1" s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V178" i="1"/>
  <c r="T178" i="1"/>
  <c r="U178" i="1" s="1"/>
  <c r="R178" i="1"/>
  <c r="S178" i="1" s="1"/>
  <c r="P178" i="1"/>
  <c r="Q178" i="1" s="1"/>
  <c r="N178" i="1"/>
  <c r="O178" i="1" s="1"/>
  <c r="L178" i="1"/>
  <c r="M178" i="1" s="1"/>
  <c r="V12" i="1"/>
  <c r="W12" i="1" s="1"/>
  <c r="T12" i="1"/>
  <c r="U12" i="1" s="1"/>
  <c r="R12" i="1"/>
  <c r="S12" i="1" s="1"/>
  <c r="P12" i="1"/>
  <c r="Q12" i="1" s="1"/>
  <c r="N12" i="1"/>
  <c r="O12" i="1" s="1"/>
  <c r="V10" i="1"/>
  <c r="W10" i="1" s="1"/>
  <c r="T10" i="1"/>
  <c r="U10" i="1" s="1"/>
  <c r="R10" i="1"/>
  <c r="S10" i="1" s="1"/>
  <c r="P10" i="1"/>
  <c r="Q10" i="1" s="1"/>
  <c r="N10" i="1"/>
  <c r="O10" i="1" s="1"/>
  <c r="J10" i="1"/>
  <c r="V30" i="1"/>
  <c r="W30" i="1" s="1"/>
  <c r="T30" i="1"/>
  <c r="U30" i="1" s="1"/>
  <c r="R30" i="1"/>
  <c r="S30" i="1" s="1"/>
  <c r="P30" i="1"/>
  <c r="Q30" i="1" s="1"/>
  <c r="N30" i="1"/>
  <c r="O30" i="1" s="1"/>
  <c r="L30" i="1"/>
  <c r="M30" i="1" s="1"/>
  <c r="V60" i="1"/>
  <c r="W60" i="1" s="1"/>
  <c r="T60" i="1"/>
  <c r="U60" i="1" s="1"/>
  <c r="R60" i="1"/>
  <c r="S60" i="1" s="1"/>
  <c r="P60" i="1"/>
  <c r="Q60" i="1" s="1"/>
  <c r="N60" i="1"/>
  <c r="O60" i="1" s="1"/>
  <c r="V61" i="1"/>
  <c r="W61" i="1" s="1"/>
  <c r="T61" i="1"/>
  <c r="U61" i="1" s="1"/>
  <c r="R61" i="1"/>
  <c r="S61" i="1" s="1"/>
  <c r="P61" i="1"/>
  <c r="Q61" i="1" s="1"/>
  <c r="N61" i="1"/>
  <c r="O61" i="1" s="1"/>
  <c r="V62" i="1"/>
  <c r="W62" i="1" s="1"/>
  <c r="T62" i="1"/>
  <c r="U62" i="1" s="1"/>
  <c r="R62" i="1"/>
  <c r="S62" i="1" s="1"/>
  <c r="P62" i="1"/>
  <c r="Q62" i="1" s="1"/>
  <c r="N62" i="1"/>
  <c r="O62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W64" i="1"/>
  <c r="U64" i="1"/>
  <c r="S64" i="1"/>
  <c r="Q64" i="1"/>
  <c r="O64" i="1"/>
  <c r="M64" i="1"/>
  <c r="J64" i="1"/>
  <c r="K64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H69" i="1"/>
  <c r="I69" i="1" s="1"/>
  <c r="J106" i="1"/>
  <c r="J99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L96" i="1"/>
  <c r="J96" i="1"/>
  <c r="W152" i="1"/>
  <c r="U152" i="1"/>
  <c r="S152" i="1"/>
  <c r="Q152" i="1"/>
  <c r="O152" i="1"/>
  <c r="L152" i="1"/>
  <c r="M152" i="1" s="1"/>
  <c r="Q153" i="1"/>
  <c r="O153" i="1"/>
  <c r="L153" i="1"/>
  <c r="M153" i="1" s="1"/>
  <c r="K153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V269" i="1"/>
  <c r="W269" i="1" s="1"/>
  <c r="T269" i="1"/>
  <c r="U269" i="1" s="1"/>
  <c r="R269" i="1"/>
  <c r="S269" i="1" s="1"/>
  <c r="P269" i="1"/>
  <c r="Q269" i="1" s="1"/>
  <c r="N269" i="1"/>
  <c r="O269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I303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I302" i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I301" i="1"/>
  <c r="J287" i="1"/>
  <c r="K287" i="1" s="1"/>
  <c r="L287" i="1"/>
  <c r="M287" i="1" s="1"/>
  <c r="N287" i="1"/>
  <c r="O287" i="1" s="1"/>
  <c r="P287" i="1"/>
  <c r="Q287" i="1" s="1"/>
  <c r="R287" i="1"/>
  <c r="S287" i="1" s="1"/>
  <c r="T287" i="1"/>
  <c r="U287" i="1" s="1"/>
  <c r="V287" i="1"/>
  <c r="W287" i="1" s="1"/>
  <c r="J288" i="1"/>
  <c r="K288" i="1" s="1"/>
  <c r="L288" i="1"/>
  <c r="M288" i="1" s="1"/>
  <c r="N288" i="1"/>
  <c r="O288" i="1" s="1"/>
  <c r="P288" i="1"/>
  <c r="Q288" i="1" s="1"/>
  <c r="R288" i="1"/>
  <c r="S288" i="1" s="1"/>
  <c r="T288" i="1"/>
  <c r="U288" i="1" s="1"/>
  <c r="V288" i="1"/>
  <c r="W288" i="1" s="1"/>
  <c r="H291" i="1"/>
  <c r="I291" i="1" s="1"/>
  <c r="J291" i="1"/>
  <c r="K291" i="1" s="1"/>
  <c r="L291" i="1"/>
  <c r="M291" i="1" s="1"/>
  <c r="N291" i="1"/>
  <c r="O291" i="1" s="1"/>
  <c r="P291" i="1"/>
  <c r="Q291" i="1" s="1"/>
  <c r="R291" i="1"/>
  <c r="S291" i="1" s="1"/>
  <c r="T291" i="1"/>
  <c r="U291" i="1" s="1"/>
  <c r="V291" i="1"/>
  <c r="W291" i="1" s="1"/>
  <c r="I292" i="1"/>
  <c r="J292" i="1"/>
  <c r="K292" i="1" s="1"/>
  <c r="L292" i="1"/>
  <c r="M292" i="1" s="1"/>
  <c r="N292" i="1"/>
  <c r="O292" i="1" s="1"/>
  <c r="P292" i="1"/>
  <c r="Q292" i="1" s="1"/>
  <c r="R292" i="1"/>
  <c r="S292" i="1" s="1"/>
  <c r="T292" i="1"/>
  <c r="U292" i="1" s="1"/>
  <c r="V292" i="1"/>
  <c r="W292" i="1" s="1"/>
  <c r="I293" i="1"/>
  <c r="J293" i="1"/>
  <c r="K293" i="1" s="1"/>
  <c r="L293" i="1"/>
  <c r="M293" i="1" s="1"/>
  <c r="N293" i="1"/>
  <c r="O293" i="1" s="1"/>
  <c r="P293" i="1"/>
  <c r="Q293" i="1" s="1"/>
  <c r="R293" i="1"/>
  <c r="S293" i="1" s="1"/>
  <c r="T293" i="1"/>
  <c r="U293" i="1" s="1"/>
  <c r="V293" i="1"/>
  <c r="W293" i="1" s="1"/>
  <c r="I296" i="1"/>
  <c r="J296" i="1"/>
  <c r="K296" i="1" s="1"/>
  <c r="L296" i="1"/>
  <c r="M296" i="1" s="1"/>
  <c r="N296" i="1"/>
  <c r="O296" i="1" s="1"/>
  <c r="P296" i="1"/>
  <c r="Q296" i="1" s="1"/>
  <c r="R296" i="1"/>
  <c r="S296" i="1" s="1"/>
  <c r="T296" i="1"/>
  <c r="U296" i="1" s="1"/>
  <c r="V296" i="1"/>
  <c r="W296" i="1" s="1"/>
  <c r="V284" i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I284" i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278" i="1" l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L280" i="1"/>
  <c r="M280" i="1" s="1"/>
  <c r="V280" i="1"/>
  <c r="W280" i="1" s="1"/>
  <c r="T280" i="1"/>
  <c r="U280" i="1" s="1"/>
  <c r="R280" i="1"/>
  <c r="S280" i="1" s="1"/>
  <c r="P280" i="1"/>
  <c r="Q280" i="1" s="1"/>
  <c r="N280" i="1"/>
  <c r="O280" i="1" s="1"/>
  <c r="P276" i="1"/>
  <c r="Q276" i="1" s="1"/>
  <c r="R276" i="1" l="1"/>
  <c r="S276" i="1" s="1"/>
  <c r="T276" i="1"/>
  <c r="U276" i="1" s="1"/>
  <c r="V276" i="1"/>
  <c r="W276" i="1" s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N330" i="1"/>
  <c r="O330" i="1" s="1"/>
  <c r="P330" i="1"/>
  <c r="Q330" i="1" s="1"/>
  <c r="R330" i="1"/>
  <c r="S330" i="1" s="1"/>
  <c r="L330" i="1"/>
  <c r="M330" i="1" s="1"/>
  <c r="H276" i="1"/>
  <c r="I276" i="1" s="1"/>
  <c r="V310" i="1"/>
  <c r="W310" i="1" s="1"/>
  <c r="T310" i="1"/>
  <c r="U310" i="1" s="1"/>
  <c r="R310" i="1"/>
  <c r="S310" i="1" s="1"/>
  <c r="P310" i="1"/>
  <c r="Q310" i="1" s="1"/>
  <c r="L310" i="1"/>
  <c r="M310" i="1" s="1"/>
  <c r="N310" i="1"/>
  <c r="O310" i="1" s="1"/>
  <c r="J276" i="1"/>
  <c r="K276" i="1" s="1"/>
  <c r="L276" i="1"/>
  <c r="M276" i="1" s="1"/>
  <c r="P332" i="1"/>
  <c r="Q332" i="1" s="1"/>
  <c r="N332" i="1"/>
  <c r="O332" i="1" s="1"/>
  <c r="L332" i="1"/>
  <c r="M332" i="1" s="1"/>
  <c r="T332" i="1"/>
  <c r="U332" i="1" s="1"/>
  <c r="R332" i="1"/>
  <c r="S332" i="1" s="1"/>
  <c r="V332" i="1"/>
  <c r="W332" i="1" s="1"/>
  <c r="T281" i="1"/>
  <c r="U281" i="1" s="1"/>
  <c r="P281" i="1"/>
  <c r="Q281" i="1" s="1"/>
  <c r="L281" i="1"/>
  <c r="M281" i="1" s="1"/>
  <c r="J281" i="1"/>
  <c r="K281" i="1" s="1"/>
  <c r="H281" i="1"/>
  <c r="I281" i="1" s="1"/>
  <c r="N281" i="1"/>
  <c r="O281" i="1" s="1"/>
  <c r="V281" i="1"/>
  <c r="W281" i="1" s="1"/>
  <c r="R281" i="1"/>
  <c r="S281" i="1" s="1"/>
  <c r="N276" i="1"/>
  <c r="O276" i="1" s="1"/>
  <c r="G276" i="1"/>
  <c r="U106" i="1" l="1"/>
  <c r="W106" i="1"/>
  <c r="Q106" i="1"/>
  <c r="O106" i="1"/>
  <c r="M106" i="1"/>
  <c r="S106" i="1"/>
  <c r="F352" i="1"/>
  <c r="F367" i="1"/>
  <c r="V362" i="1" l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R352" i="1"/>
  <c r="S352" i="1" s="1"/>
  <c r="N352" i="1"/>
  <c r="O352" i="1" s="1"/>
  <c r="V352" i="1"/>
  <c r="W352" i="1" s="1"/>
  <c r="T352" i="1"/>
  <c r="U352" i="1" s="1"/>
  <c r="P352" i="1"/>
  <c r="Q352" i="1" s="1"/>
  <c r="L352" i="1"/>
  <c r="M352" i="1" s="1"/>
  <c r="R370" i="1"/>
  <c r="S370" i="1" s="1"/>
  <c r="N370" i="1"/>
  <c r="O370" i="1" s="1"/>
  <c r="T370" i="1"/>
  <c r="U370" i="1" s="1"/>
  <c r="V370" i="1"/>
  <c r="W370" i="1" s="1"/>
  <c r="P370" i="1"/>
  <c r="Q370" i="1" s="1"/>
  <c r="L370" i="1"/>
  <c r="M370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F382" i="1"/>
  <c r="F383" i="1"/>
  <c r="F355" i="1"/>
  <c r="F390" i="1"/>
  <c r="F391" i="1"/>
  <c r="F409" i="1"/>
  <c r="F408" i="1"/>
  <c r="H408" i="1" s="1"/>
  <c r="I408" i="1" s="1"/>
  <c r="V355" i="1" l="1"/>
  <c r="W355" i="1" s="1"/>
  <c r="T355" i="1"/>
  <c r="U355" i="1" s="1"/>
  <c r="R355" i="1"/>
  <c r="S355" i="1" s="1"/>
  <c r="P355" i="1"/>
  <c r="Q355" i="1" s="1"/>
  <c r="L355" i="1"/>
  <c r="M355" i="1" s="1"/>
  <c r="N355" i="1"/>
  <c r="O355" i="1" s="1"/>
  <c r="T384" i="1"/>
  <c r="U384" i="1" s="1"/>
  <c r="R384" i="1"/>
  <c r="S384" i="1" s="1"/>
  <c r="P384" i="1"/>
  <c r="Q384" i="1" s="1"/>
  <c r="N384" i="1"/>
  <c r="O384" i="1" s="1"/>
  <c r="V384" i="1"/>
  <c r="W384" i="1" s="1"/>
  <c r="L384" i="1"/>
  <c r="M384" i="1" s="1"/>
  <c r="N408" i="1"/>
  <c r="O408" i="1" s="1"/>
  <c r="V408" i="1"/>
  <c r="W408" i="1" s="1"/>
  <c r="T408" i="1"/>
  <c r="U408" i="1" s="1"/>
  <c r="R408" i="1"/>
  <c r="S408" i="1" s="1"/>
  <c r="P408" i="1"/>
  <c r="Q408" i="1" s="1"/>
  <c r="L408" i="1"/>
  <c r="M408" i="1" s="1"/>
  <c r="J408" i="1"/>
  <c r="K408" i="1" s="1"/>
  <c r="V407" i="1"/>
  <c r="W407" i="1" s="1"/>
  <c r="T407" i="1"/>
  <c r="U407" i="1" s="1"/>
  <c r="R407" i="1"/>
  <c r="S407" i="1" s="1"/>
  <c r="P407" i="1"/>
  <c r="Q407" i="1" s="1"/>
  <c r="N407" i="1"/>
  <c r="O407" i="1" s="1"/>
  <c r="L407" i="1"/>
  <c r="M407" i="1" s="1"/>
  <c r="J407" i="1"/>
  <c r="K407" i="1" s="1"/>
  <c r="H407" i="1"/>
  <c r="I407" i="1" s="1"/>
  <c r="N383" i="1"/>
  <c r="O383" i="1" s="1"/>
  <c r="L383" i="1"/>
  <c r="M383" i="1" s="1"/>
  <c r="V382" i="1"/>
  <c r="W382" i="1" s="1"/>
  <c r="P382" i="1"/>
  <c r="Q382" i="1" s="1"/>
  <c r="N382" i="1"/>
  <c r="O382" i="1" s="1"/>
  <c r="L382" i="1"/>
  <c r="M382" i="1" s="1"/>
  <c r="T382" i="1"/>
  <c r="U382" i="1" s="1"/>
  <c r="R382" i="1"/>
  <c r="S382" i="1" s="1"/>
  <c r="P409" i="1"/>
  <c r="Q409" i="1" s="1"/>
  <c r="N409" i="1"/>
  <c r="O409" i="1" s="1"/>
  <c r="L409" i="1"/>
  <c r="M409" i="1" s="1"/>
  <c r="V409" i="1"/>
  <c r="W409" i="1" s="1"/>
  <c r="T409" i="1"/>
  <c r="U409" i="1" s="1"/>
  <c r="J409" i="1"/>
  <c r="K409" i="1" s="1"/>
  <c r="H409" i="1"/>
  <c r="I409" i="1" s="1"/>
  <c r="R409" i="1"/>
  <c r="S409" i="1" s="1"/>
  <c r="T394" i="1"/>
  <c r="V394" i="1"/>
  <c r="R394" i="1"/>
  <c r="J394" i="1"/>
  <c r="N394" i="1"/>
  <c r="H394" i="1"/>
  <c r="P394" i="1"/>
  <c r="L394" i="1"/>
  <c r="T391" i="1"/>
  <c r="U391" i="1" s="1"/>
  <c r="J391" i="1"/>
  <c r="K391" i="1" s="1"/>
  <c r="L391" i="1"/>
  <c r="M391" i="1" s="1"/>
  <c r="R391" i="1"/>
  <c r="S391" i="1" s="1"/>
  <c r="V391" i="1"/>
  <c r="W391" i="1" s="1"/>
  <c r="P391" i="1"/>
  <c r="Q391" i="1" s="1"/>
  <c r="N391" i="1"/>
  <c r="O391" i="1" s="1"/>
  <c r="H391" i="1"/>
  <c r="I391" i="1" s="1"/>
  <c r="V389" i="1"/>
  <c r="W389" i="1" s="1"/>
  <c r="R389" i="1"/>
  <c r="S389" i="1" s="1"/>
  <c r="P389" i="1"/>
  <c r="Q389" i="1" s="1"/>
  <c r="H389" i="1"/>
  <c r="I389" i="1" s="1"/>
  <c r="T389" i="1"/>
  <c r="U389" i="1" s="1"/>
  <c r="N389" i="1"/>
  <c r="O389" i="1" s="1"/>
  <c r="L389" i="1"/>
  <c r="M389" i="1" s="1"/>
  <c r="J389" i="1"/>
  <c r="K389" i="1" s="1"/>
  <c r="N435" i="1"/>
  <c r="O435" i="1" s="1"/>
  <c r="P435" i="1"/>
  <c r="Q435" i="1" s="1"/>
  <c r="L435" i="1"/>
  <c r="M435" i="1" s="1"/>
  <c r="J435" i="1"/>
  <c r="K435" i="1" s="1"/>
  <c r="V435" i="1"/>
  <c r="W435" i="1" s="1"/>
  <c r="T435" i="1"/>
  <c r="U435" i="1" s="1"/>
  <c r="R435" i="1"/>
  <c r="S435" i="1" s="1"/>
  <c r="T390" i="1"/>
  <c r="U390" i="1" s="1"/>
  <c r="R390" i="1"/>
  <c r="S390" i="1" s="1"/>
  <c r="V390" i="1"/>
  <c r="W390" i="1" s="1"/>
  <c r="P390" i="1"/>
  <c r="Q390" i="1" s="1"/>
  <c r="L390" i="1"/>
  <c r="M390" i="1" s="1"/>
  <c r="N390" i="1"/>
  <c r="O390" i="1" s="1"/>
  <c r="H390" i="1"/>
  <c r="I390" i="1" s="1"/>
  <c r="J390" i="1"/>
  <c r="K390" i="1" s="1"/>
  <c r="G407" i="1"/>
  <c r="F635" i="1" l="1"/>
  <c r="F634" i="1"/>
  <c r="L634" i="1" l="1"/>
  <c r="M634" i="1" s="1"/>
  <c r="J634" i="1"/>
  <c r="K634" i="1" s="1"/>
  <c r="T634" i="1"/>
  <c r="U634" i="1" s="1"/>
  <c r="R634" i="1"/>
  <c r="S634" i="1" s="1"/>
  <c r="P634" i="1"/>
  <c r="Q634" i="1" s="1"/>
  <c r="N634" i="1"/>
  <c r="O634" i="1" s="1"/>
  <c r="R635" i="1"/>
  <c r="S635" i="1" s="1"/>
  <c r="P635" i="1"/>
  <c r="Q635" i="1" s="1"/>
  <c r="N635" i="1"/>
  <c r="O635" i="1" s="1"/>
  <c r="L635" i="1"/>
  <c r="M635" i="1" s="1"/>
  <c r="J635" i="1"/>
  <c r="K635" i="1" s="1"/>
  <c r="T635" i="1"/>
  <c r="U635" i="1" s="1"/>
  <c r="P632" i="1"/>
  <c r="Q632" i="1" s="1"/>
  <c r="N632" i="1"/>
  <c r="O632" i="1" s="1"/>
  <c r="L632" i="1"/>
  <c r="M632" i="1" s="1"/>
  <c r="J632" i="1"/>
  <c r="K632" i="1" s="1"/>
  <c r="R632" i="1"/>
  <c r="S632" i="1" s="1"/>
  <c r="T632" i="1"/>
  <c r="U632" i="1" s="1"/>
  <c r="F537" i="1"/>
  <c r="F519" i="1"/>
  <c r="F506" i="1"/>
  <c r="V485" i="1" l="1"/>
  <c r="W485" i="1" s="1"/>
  <c r="R485" i="1"/>
  <c r="S485" i="1" s="1"/>
  <c r="J485" i="1"/>
  <c r="K485" i="1" s="1"/>
  <c r="T485" i="1"/>
  <c r="U485" i="1" s="1"/>
  <c r="P485" i="1"/>
  <c r="Q485" i="1" s="1"/>
  <c r="L485" i="1"/>
  <c r="M485" i="1" s="1"/>
  <c r="H485" i="1"/>
  <c r="I485" i="1" s="1"/>
  <c r="N485" i="1"/>
  <c r="O485" i="1" s="1"/>
  <c r="P486" i="1"/>
  <c r="Q486" i="1" s="1"/>
  <c r="N486" i="1"/>
  <c r="O486" i="1" s="1"/>
  <c r="T486" i="1"/>
  <c r="U486" i="1" s="1"/>
  <c r="L486" i="1"/>
  <c r="M486" i="1" s="1"/>
  <c r="J486" i="1"/>
  <c r="K486" i="1" s="1"/>
  <c r="H486" i="1"/>
  <c r="I486" i="1" s="1"/>
  <c r="V486" i="1"/>
  <c r="W486" i="1" s="1"/>
  <c r="R486" i="1"/>
  <c r="S486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J493" i="1"/>
  <c r="K493" i="1" s="1"/>
  <c r="H493" i="1"/>
  <c r="I493" i="1" s="1"/>
  <c r="V495" i="1"/>
  <c r="W495" i="1" s="1"/>
  <c r="T495" i="1"/>
  <c r="U495" i="1" s="1"/>
  <c r="R495" i="1"/>
  <c r="S495" i="1" s="1"/>
  <c r="H495" i="1"/>
  <c r="I495" i="1" s="1"/>
  <c r="P495" i="1"/>
  <c r="Q495" i="1" s="1"/>
  <c r="N495" i="1"/>
  <c r="O495" i="1" s="1"/>
  <c r="L495" i="1"/>
  <c r="M495" i="1" s="1"/>
  <c r="J495" i="1"/>
  <c r="K495" i="1" s="1"/>
  <c r="T533" i="1"/>
  <c r="U533" i="1" s="1"/>
  <c r="V533" i="1"/>
  <c r="W533" i="1" s="1"/>
  <c r="H533" i="1"/>
  <c r="I533" i="1" s="1"/>
  <c r="J533" i="1"/>
  <c r="K533" i="1" s="1"/>
  <c r="P533" i="1"/>
  <c r="Q533" i="1" s="1"/>
  <c r="L533" i="1"/>
  <c r="M533" i="1" s="1"/>
  <c r="R533" i="1"/>
  <c r="S533" i="1" s="1"/>
  <c r="N533" i="1"/>
  <c r="O533" i="1" s="1"/>
  <c r="J505" i="1"/>
  <c r="K505" i="1" s="1"/>
  <c r="H505" i="1"/>
  <c r="I505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L534" i="1"/>
  <c r="M534" i="1" s="1"/>
  <c r="J534" i="1"/>
  <c r="K534" i="1" s="1"/>
  <c r="H534" i="1"/>
  <c r="I534" i="1" s="1"/>
  <c r="R534" i="1"/>
  <c r="S534" i="1" s="1"/>
  <c r="V534" i="1"/>
  <c r="W534" i="1" s="1"/>
  <c r="T534" i="1"/>
  <c r="U534" i="1" s="1"/>
  <c r="P534" i="1"/>
  <c r="Q534" i="1" s="1"/>
  <c r="N534" i="1"/>
  <c r="O534" i="1" s="1"/>
  <c r="L535" i="1"/>
  <c r="M535" i="1" s="1"/>
  <c r="N535" i="1"/>
  <c r="O535" i="1" s="1"/>
  <c r="P535" i="1"/>
  <c r="Q535" i="1" s="1"/>
  <c r="R535" i="1"/>
  <c r="S535" i="1" s="1"/>
  <c r="V535" i="1"/>
  <c r="W535" i="1" s="1"/>
  <c r="T535" i="1"/>
  <c r="U535" i="1" s="1"/>
  <c r="H535" i="1"/>
  <c r="I535" i="1" s="1"/>
  <c r="J535" i="1"/>
  <c r="K535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J544" i="1"/>
  <c r="K544" i="1" s="1"/>
  <c r="N512" i="1"/>
  <c r="O512" i="1" s="1"/>
  <c r="L512" i="1"/>
  <c r="M512" i="1" s="1"/>
  <c r="H512" i="1"/>
  <c r="I512" i="1" s="1"/>
  <c r="J512" i="1"/>
  <c r="K512" i="1" s="1"/>
  <c r="J536" i="1"/>
  <c r="K536" i="1" s="1"/>
  <c r="L536" i="1"/>
  <c r="M536" i="1" s="1"/>
  <c r="H536" i="1"/>
  <c r="I536" i="1" s="1"/>
  <c r="N536" i="1"/>
  <c r="O536" i="1" s="1"/>
  <c r="V536" i="1"/>
  <c r="W536" i="1" s="1"/>
  <c r="P536" i="1"/>
  <c r="Q536" i="1" s="1"/>
  <c r="R536" i="1"/>
  <c r="S536" i="1" s="1"/>
  <c r="T536" i="1"/>
  <c r="U536" i="1" s="1"/>
  <c r="V537" i="1"/>
  <c r="W537" i="1" s="1"/>
  <c r="H537" i="1"/>
  <c r="I537" i="1" s="1"/>
  <c r="J537" i="1"/>
  <c r="K537" i="1" s="1"/>
  <c r="L537" i="1"/>
  <c r="M537" i="1" s="1"/>
  <c r="R537" i="1"/>
  <c r="S537" i="1" s="1"/>
  <c r="N537" i="1"/>
  <c r="O537" i="1" s="1"/>
  <c r="P537" i="1"/>
  <c r="Q537" i="1" s="1"/>
  <c r="T537" i="1"/>
  <c r="U537" i="1" s="1"/>
  <c r="V519" i="1"/>
  <c r="H519" i="1"/>
  <c r="T519" i="1"/>
  <c r="R519" i="1"/>
  <c r="P519" i="1"/>
  <c r="J519" i="1"/>
  <c r="N519" i="1"/>
  <c r="L519" i="1"/>
  <c r="T412" i="1"/>
  <c r="U412" i="1" s="1"/>
  <c r="R412" i="1"/>
  <c r="S412" i="1" s="1"/>
  <c r="P412" i="1"/>
  <c r="Q412" i="1" s="1"/>
  <c r="N412" i="1"/>
  <c r="O412" i="1" s="1"/>
  <c r="L412" i="1"/>
  <c r="M412" i="1" s="1"/>
  <c r="K412" i="1"/>
  <c r="G412" i="1"/>
  <c r="G486" i="1" l="1"/>
  <c r="G485" i="1"/>
  <c r="J308" i="1"/>
  <c r="T137" i="1"/>
  <c r="U137" i="1" s="1"/>
  <c r="V137" i="1"/>
  <c r="W137" i="1" s="1"/>
  <c r="R137" i="1"/>
  <c r="S137" i="1" s="1"/>
  <c r="P137" i="1"/>
  <c r="Q137" i="1" s="1"/>
  <c r="N137" i="1"/>
  <c r="O137" i="1" s="1"/>
  <c r="L137" i="1"/>
  <c r="M137" i="1" s="1"/>
  <c r="J137" i="1"/>
  <c r="K137" i="1" s="1"/>
  <c r="L141" i="1"/>
  <c r="M141" i="1" s="1"/>
  <c r="N141" i="1"/>
  <c r="O141" i="1" s="1"/>
  <c r="P141" i="1"/>
  <c r="Q141" i="1" s="1"/>
  <c r="R141" i="1"/>
  <c r="S141" i="1" s="1"/>
  <c r="T141" i="1"/>
  <c r="U141" i="1" s="1"/>
  <c r="V141" i="1"/>
  <c r="W141" i="1" s="1"/>
  <c r="J141" i="1"/>
  <c r="K141" i="1" s="1"/>
  <c r="V136" i="1"/>
  <c r="W136" i="1" s="1"/>
  <c r="T136" i="1"/>
  <c r="U136" i="1" s="1"/>
  <c r="R136" i="1"/>
  <c r="S136" i="1" s="1"/>
  <c r="P136" i="1"/>
  <c r="Q136" i="1" s="1"/>
  <c r="N136" i="1"/>
  <c r="O136" i="1" s="1"/>
  <c r="L136" i="1"/>
  <c r="M136" i="1" s="1"/>
  <c r="J136" i="1"/>
  <c r="K136" i="1" s="1"/>
  <c r="L140" i="1"/>
  <c r="V140" i="1"/>
  <c r="T140" i="1"/>
  <c r="R140" i="1"/>
  <c r="P140" i="1"/>
  <c r="N140" i="1"/>
  <c r="J140" i="1"/>
  <c r="V232" i="1" l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H232" i="1"/>
  <c r="I232" i="1" s="1"/>
  <c r="J232" i="1"/>
  <c r="K232" i="1" s="1"/>
  <c r="T379" i="1"/>
  <c r="U379" i="1" s="1"/>
  <c r="P379" i="1"/>
  <c r="Q379" i="1" s="1"/>
  <c r="L379" i="1"/>
  <c r="M379" i="1" s="1"/>
  <c r="V379" i="1"/>
  <c r="W379" i="1" s="1"/>
  <c r="R379" i="1"/>
  <c r="S379" i="1" s="1"/>
  <c r="N379" i="1"/>
  <c r="O379" i="1" s="1"/>
  <c r="G232" i="1"/>
  <c r="G379" i="1"/>
  <c r="J59" i="1" l="1"/>
  <c r="L59" i="1"/>
  <c r="N59" i="1"/>
  <c r="T406" i="1" l="1"/>
  <c r="U406" i="1" s="1"/>
  <c r="R406" i="1"/>
  <c r="S406" i="1" s="1"/>
  <c r="P406" i="1"/>
  <c r="Q406" i="1" s="1"/>
  <c r="L406" i="1"/>
  <c r="M406" i="1" s="1"/>
  <c r="N406" i="1"/>
  <c r="O406" i="1" s="1"/>
  <c r="H406" i="1"/>
  <c r="I406" i="1" s="1"/>
  <c r="J406" i="1"/>
  <c r="K406" i="1" s="1"/>
  <c r="V406" i="1"/>
  <c r="W406" i="1" s="1"/>
  <c r="G406" i="1"/>
  <c r="V498" i="1" l="1"/>
  <c r="W498" i="1" s="1"/>
  <c r="T491" i="1" l="1"/>
  <c r="U491" i="1" s="1"/>
  <c r="R491" i="1"/>
  <c r="S491" i="1" s="1"/>
  <c r="P491" i="1"/>
  <c r="Q491" i="1" s="1"/>
  <c r="V491" i="1"/>
  <c r="W491" i="1" s="1"/>
  <c r="N491" i="1"/>
  <c r="O491" i="1" s="1"/>
  <c r="L491" i="1"/>
  <c r="M491" i="1" s="1"/>
  <c r="J491" i="1"/>
  <c r="K491" i="1" s="1"/>
  <c r="H491" i="1"/>
  <c r="I491" i="1" s="1"/>
  <c r="J499" i="1"/>
  <c r="K499" i="1" s="1"/>
  <c r="H499" i="1"/>
  <c r="I499" i="1" s="1"/>
  <c r="P499" i="1"/>
  <c r="Q499" i="1" s="1"/>
  <c r="V499" i="1"/>
  <c r="W499" i="1" s="1"/>
  <c r="T499" i="1"/>
  <c r="U499" i="1" s="1"/>
  <c r="R499" i="1"/>
  <c r="S499" i="1" s="1"/>
  <c r="L499" i="1"/>
  <c r="M499" i="1" s="1"/>
  <c r="N499" i="1"/>
  <c r="O499" i="1" s="1"/>
  <c r="T498" i="1"/>
  <c r="U498" i="1" s="1"/>
  <c r="R498" i="1"/>
  <c r="S498" i="1" s="1"/>
  <c r="J498" i="1"/>
  <c r="K498" i="1" s="1"/>
  <c r="L498" i="1"/>
  <c r="M498" i="1" s="1"/>
  <c r="P498" i="1"/>
  <c r="Q498" i="1" s="1"/>
  <c r="H498" i="1"/>
  <c r="I498" i="1" s="1"/>
  <c r="N498" i="1"/>
  <c r="O498" i="1" s="1"/>
  <c r="G499" i="1"/>
  <c r="G409" i="1" l="1"/>
  <c r="T454" i="1" l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U449" i="1" s="1"/>
  <c r="R449" i="1"/>
  <c r="S449" i="1" s="1"/>
  <c r="P449" i="1"/>
  <c r="Q449" i="1" s="1"/>
  <c r="N449" i="1"/>
  <c r="O449" i="1" s="1"/>
  <c r="L449" i="1"/>
  <c r="M449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461" i="1"/>
  <c r="I461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J464" i="1"/>
  <c r="K464" i="1" s="1"/>
  <c r="H464" i="1"/>
  <c r="I464" i="1" s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J468" i="1"/>
  <c r="K468" i="1" s="1"/>
  <c r="H468" i="1"/>
  <c r="I468" i="1" s="1"/>
  <c r="T507" i="1" l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F555" i="1" l="1"/>
  <c r="F542" i="1"/>
  <c r="G455" i="1"/>
  <c r="T527" i="1" l="1"/>
  <c r="U527" i="1" s="1"/>
  <c r="V527" i="1"/>
  <c r="W527" i="1" s="1"/>
  <c r="H527" i="1"/>
  <c r="I527" i="1" s="1"/>
  <c r="P527" i="1"/>
  <c r="Q527" i="1" s="1"/>
  <c r="R527" i="1"/>
  <c r="S527" i="1" s="1"/>
  <c r="J527" i="1"/>
  <c r="K527" i="1" s="1"/>
  <c r="L527" i="1"/>
  <c r="M527" i="1" s="1"/>
  <c r="N527" i="1"/>
  <c r="O527" i="1" s="1"/>
  <c r="N543" i="1"/>
  <c r="O543" i="1" s="1"/>
  <c r="P543" i="1"/>
  <c r="Q543" i="1" s="1"/>
  <c r="L543" i="1"/>
  <c r="M543" i="1" s="1"/>
  <c r="R543" i="1"/>
  <c r="S543" i="1" s="1"/>
  <c r="T543" i="1"/>
  <c r="U543" i="1" s="1"/>
  <c r="H543" i="1"/>
  <c r="I543" i="1" s="1"/>
  <c r="V543" i="1"/>
  <c r="W543" i="1" s="1"/>
  <c r="J543" i="1"/>
  <c r="K543" i="1" s="1"/>
  <c r="H545" i="1"/>
  <c r="I545" i="1" s="1"/>
  <c r="J545" i="1"/>
  <c r="K545" i="1" s="1"/>
  <c r="L545" i="1"/>
  <c r="M545" i="1" s="1"/>
  <c r="N545" i="1"/>
  <c r="O545" i="1" s="1"/>
  <c r="P545" i="1"/>
  <c r="Q545" i="1" s="1"/>
  <c r="R545" i="1"/>
  <c r="S545" i="1" s="1"/>
  <c r="T545" i="1"/>
  <c r="U545" i="1" s="1"/>
  <c r="V545" i="1"/>
  <c r="W545" i="1" s="1"/>
  <c r="V554" i="1"/>
  <c r="W554" i="1" s="1"/>
  <c r="T554" i="1"/>
  <c r="U554" i="1" s="1"/>
  <c r="R554" i="1"/>
  <c r="S554" i="1" s="1"/>
  <c r="P554" i="1"/>
  <c r="Q554" i="1" s="1"/>
  <c r="N554" i="1"/>
  <c r="O554" i="1" s="1"/>
  <c r="L554" i="1"/>
  <c r="M554" i="1" s="1"/>
  <c r="J554" i="1"/>
  <c r="K554" i="1" s="1"/>
  <c r="H554" i="1"/>
  <c r="I554" i="1" s="1"/>
  <c r="R542" i="1"/>
  <c r="S542" i="1" s="1"/>
  <c r="P542" i="1"/>
  <c r="Q542" i="1" s="1"/>
  <c r="T542" i="1"/>
  <c r="U542" i="1" s="1"/>
  <c r="N542" i="1"/>
  <c r="O542" i="1" s="1"/>
  <c r="H542" i="1"/>
  <c r="I542" i="1" s="1"/>
  <c r="V542" i="1"/>
  <c r="W542" i="1" s="1"/>
  <c r="L542" i="1"/>
  <c r="M542" i="1" s="1"/>
  <c r="J542" i="1"/>
  <c r="K542" i="1" s="1"/>
  <c r="H546" i="1"/>
  <c r="I546" i="1" s="1"/>
  <c r="V546" i="1"/>
  <c r="W546" i="1" s="1"/>
  <c r="J546" i="1"/>
  <c r="K546" i="1" s="1"/>
  <c r="R546" i="1"/>
  <c r="S546" i="1" s="1"/>
  <c r="L546" i="1"/>
  <c r="M546" i="1" s="1"/>
  <c r="N546" i="1"/>
  <c r="O546" i="1" s="1"/>
  <c r="T546" i="1"/>
  <c r="U546" i="1" s="1"/>
  <c r="P546" i="1"/>
  <c r="Q546" i="1" s="1"/>
  <c r="V555" i="1"/>
  <c r="W555" i="1" s="1"/>
  <c r="T555" i="1"/>
  <c r="U555" i="1" s="1"/>
  <c r="R555" i="1"/>
  <c r="S555" i="1" s="1"/>
  <c r="P555" i="1"/>
  <c r="Q555" i="1" s="1"/>
  <c r="L555" i="1"/>
  <c r="M555" i="1" s="1"/>
  <c r="N555" i="1"/>
  <c r="O555" i="1" s="1"/>
  <c r="H555" i="1"/>
  <c r="I555" i="1" s="1"/>
  <c r="J555" i="1"/>
  <c r="K555" i="1" s="1"/>
  <c r="P455" i="1"/>
  <c r="Q455" i="1" s="1"/>
  <c r="N455" i="1"/>
  <c r="O455" i="1" s="1"/>
  <c r="L455" i="1"/>
  <c r="M455" i="1" s="1"/>
  <c r="V455" i="1"/>
  <c r="W455" i="1" s="1"/>
  <c r="J455" i="1"/>
  <c r="K455" i="1" s="1"/>
  <c r="T455" i="1"/>
  <c r="U455" i="1" s="1"/>
  <c r="R455" i="1"/>
  <c r="S455" i="1" s="1"/>
  <c r="H455" i="1"/>
  <c r="I455" i="1" s="1"/>
  <c r="N500" i="1" l="1"/>
  <c r="O500" i="1" s="1"/>
  <c r="J500" i="1"/>
  <c r="K500" i="1" s="1"/>
  <c r="L500" i="1"/>
  <c r="M500" i="1" s="1"/>
  <c r="H500" i="1"/>
  <c r="I500" i="1" s="1"/>
  <c r="V500" i="1"/>
  <c r="W500" i="1" s="1"/>
  <c r="T500" i="1"/>
  <c r="U500" i="1" s="1"/>
  <c r="R500" i="1"/>
  <c r="S500" i="1" s="1"/>
  <c r="P500" i="1"/>
  <c r="Q500" i="1" s="1"/>
  <c r="R490" i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T490" i="1"/>
  <c r="U490" i="1" s="1"/>
  <c r="V490" i="1"/>
  <c r="W490" i="1" s="1"/>
  <c r="N506" i="1"/>
  <c r="O506" i="1" s="1"/>
  <c r="L506" i="1"/>
  <c r="M506" i="1" s="1"/>
  <c r="J506" i="1"/>
  <c r="K506" i="1" s="1"/>
  <c r="H506" i="1"/>
  <c r="I506" i="1" s="1"/>
  <c r="P506" i="1"/>
  <c r="Q506" i="1" s="1"/>
  <c r="V506" i="1"/>
  <c r="W506" i="1" s="1"/>
  <c r="T506" i="1"/>
  <c r="U506" i="1" s="1"/>
  <c r="R506" i="1"/>
  <c r="S506" i="1" s="1"/>
  <c r="L622" i="1"/>
  <c r="L621" i="1"/>
  <c r="F424" i="1"/>
  <c r="F393" i="1"/>
  <c r="F375" i="1"/>
  <c r="R424" i="1" l="1"/>
  <c r="S424" i="1" s="1"/>
  <c r="H424" i="1"/>
  <c r="I424" i="1" s="1"/>
  <c r="P424" i="1"/>
  <c r="Q424" i="1" s="1"/>
  <c r="N424" i="1"/>
  <c r="O424" i="1" s="1"/>
  <c r="L424" i="1"/>
  <c r="M424" i="1" s="1"/>
  <c r="J424" i="1"/>
  <c r="K424" i="1" s="1"/>
  <c r="V424" i="1"/>
  <c r="W424" i="1" s="1"/>
  <c r="T424" i="1"/>
  <c r="U424" i="1" s="1"/>
  <c r="T436" i="1"/>
  <c r="U436" i="1" s="1"/>
  <c r="R436" i="1"/>
  <c r="S436" i="1" s="1"/>
  <c r="P436" i="1"/>
  <c r="Q436" i="1" s="1"/>
  <c r="V436" i="1"/>
  <c r="W436" i="1" s="1"/>
  <c r="N436" i="1"/>
  <c r="O436" i="1" s="1"/>
  <c r="L436" i="1"/>
  <c r="M436" i="1" s="1"/>
  <c r="J436" i="1"/>
  <c r="K436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H385" i="1"/>
  <c r="I385" i="1" s="1"/>
  <c r="L385" i="1"/>
  <c r="M385" i="1" s="1"/>
  <c r="J385" i="1"/>
  <c r="K385" i="1" s="1"/>
  <c r="V375" i="1"/>
  <c r="W375" i="1" s="1"/>
  <c r="T375" i="1"/>
  <c r="U375" i="1" s="1"/>
  <c r="R375" i="1"/>
  <c r="S375" i="1" s="1"/>
  <c r="N375" i="1"/>
  <c r="O375" i="1" s="1"/>
  <c r="L375" i="1"/>
  <c r="M375" i="1" s="1"/>
  <c r="P375" i="1"/>
  <c r="Q375" i="1" s="1"/>
  <c r="J393" i="1"/>
  <c r="K393" i="1" s="1"/>
  <c r="H393" i="1"/>
  <c r="I393" i="1" s="1"/>
  <c r="V393" i="1"/>
  <c r="W393" i="1" s="1"/>
  <c r="R393" i="1"/>
  <c r="S393" i="1" s="1"/>
  <c r="P393" i="1"/>
  <c r="Q393" i="1" s="1"/>
  <c r="T393" i="1"/>
  <c r="U393" i="1" s="1"/>
  <c r="L393" i="1"/>
  <c r="M393" i="1" s="1"/>
  <c r="N393" i="1"/>
  <c r="O393" i="1" s="1"/>
  <c r="G390" i="1"/>
  <c r="F365" i="1"/>
  <c r="R363" i="1" l="1"/>
  <c r="S363" i="1" s="1"/>
  <c r="N363" i="1"/>
  <c r="O363" i="1" s="1"/>
  <c r="P363" i="1"/>
  <c r="Q363" i="1" s="1"/>
  <c r="V363" i="1"/>
  <c r="W363" i="1" s="1"/>
  <c r="T363" i="1"/>
  <c r="U363" i="1" s="1"/>
  <c r="L363" i="1"/>
  <c r="M363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R337" i="1"/>
  <c r="S337" i="1" s="1"/>
  <c r="P337" i="1"/>
  <c r="Q337" i="1" s="1"/>
  <c r="N337" i="1"/>
  <c r="O337" i="1" s="1"/>
  <c r="L337" i="1"/>
  <c r="M337" i="1" s="1"/>
  <c r="V337" i="1"/>
  <c r="W337" i="1" s="1"/>
  <c r="T337" i="1"/>
  <c r="U337" i="1" s="1"/>
  <c r="V340" i="1"/>
  <c r="N340" i="1"/>
  <c r="H340" i="1"/>
  <c r="T340" i="1"/>
  <c r="L340" i="1"/>
  <c r="J340" i="1"/>
  <c r="R340" i="1"/>
  <c r="P340" i="1"/>
  <c r="L336" i="1"/>
  <c r="M336" i="1" s="1"/>
  <c r="V336" i="1"/>
  <c r="W336" i="1" s="1"/>
  <c r="P336" i="1"/>
  <c r="Q336" i="1" s="1"/>
  <c r="T336" i="1"/>
  <c r="U336" i="1" s="1"/>
  <c r="R336" i="1"/>
  <c r="S336" i="1" s="1"/>
  <c r="N336" i="1"/>
  <c r="O336" i="1" s="1"/>
  <c r="R348" i="1"/>
  <c r="S348" i="1" s="1"/>
  <c r="N348" i="1"/>
  <c r="O348" i="1" s="1"/>
  <c r="T348" i="1"/>
  <c r="U348" i="1" s="1"/>
  <c r="V348" i="1"/>
  <c r="W348" i="1" s="1"/>
  <c r="P348" i="1"/>
  <c r="Q348" i="1" s="1"/>
  <c r="L334" i="1"/>
  <c r="M334" i="1" s="1"/>
  <c r="N334" i="1"/>
  <c r="O334" i="1" s="1"/>
  <c r="V334" i="1"/>
  <c r="W334" i="1" s="1"/>
  <c r="T334" i="1"/>
  <c r="U334" i="1" s="1"/>
  <c r="R334" i="1"/>
  <c r="S334" i="1" s="1"/>
  <c r="P334" i="1"/>
  <c r="Q334" i="1" s="1"/>
  <c r="H364" i="1"/>
  <c r="I364" i="1" s="1"/>
  <c r="T364" i="1"/>
  <c r="U364" i="1" s="1"/>
  <c r="N364" i="1"/>
  <c r="O364" i="1" s="1"/>
  <c r="J364" i="1"/>
  <c r="K364" i="1" s="1"/>
  <c r="L364" i="1"/>
  <c r="M364" i="1" s="1"/>
  <c r="V364" i="1"/>
  <c r="W364" i="1" s="1"/>
  <c r="R364" i="1"/>
  <c r="S364" i="1" s="1"/>
  <c r="P364" i="1"/>
  <c r="Q364" i="1" s="1"/>
  <c r="R368" i="1"/>
  <c r="S368" i="1" s="1"/>
  <c r="N368" i="1"/>
  <c r="O368" i="1" s="1"/>
  <c r="P368" i="1"/>
  <c r="Q368" i="1" s="1"/>
  <c r="V368" i="1"/>
  <c r="W368" i="1" s="1"/>
  <c r="T368" i="1"/>
  <c r="U368" i="1" s="1"/>
  <c r="L368" i="1"/>
  <c r="M368" i="1" s="1"/>
  <c r="F309" i="1"/>
  <c r="F306" i="1"/>
  <c r="H306" i="1" s="1"/>
  <c r="I306" i="1" s="1"/>
  <c r="F295" i="1"/>
  <c r="F277" i="1"/>
  <c r="F540" i="1"/>
  <c r="F245" i="1"/>
  <c r="F254" i="1"/>
  <c r="F241" i="1"/>
  <c r="F230" i="1"/>
  <c r="F221" i="1"/>
  <c r="F217" i="1"/>
  <c r="F195" i="1"/>
  <c r="F185" i="1"/>
  <c r="F165" i="1"/>
  <c r="F164" i="1"/>
  <c r="F161" i="1"/>
  <c r="J161" i="1" s="1"/>
  <c r="F143" i="1"/>
  <c r="W434" i="1"/>
  <c r="U434" i="1"/>
  <c r="S434" i="1"/>
  <c r="Q434" i="1"/>
  <c r="O434" i="1"/>
  <c r="W433" i="1"/>
  <c r="U433" i="1"/>
  <c r="S433" i="1"/>
  <c r="Q433" i="1"/>
  <c r="O433" i="1"/>
  <c r="F26" i="1"/>
  <c r="F28" i="1"/>
  <c r="F29" i="1"/>
  <c r="F16" i="1"/>
  <c r="F17" i="1"/>
  <c r="R143" i="1" l="1"/>
  <c r="S143" i="1" s="1"/>
  <c r="P143" i="1"/>
  <c r="Q143" i="1" s="1"/>
  <c r="J143" i="1"/>
  <c r="K143" i="1" s="1"/>
  <c r="N143" i="1"/>
  <c r="O143" i="1" s="1"/>
  <c r="L143" i="1"/>
  <c r="M143" i="1" s="1"/>
  <c r="V143" i="1"/>
  <c r="W143" i="1" s="1"/>
  <c r="H143" i="1"/>
  <c r="I143" i="1" s="1"/>
  <c r="T143" i="1"/>
  <c r="U143" i="1" s="1"/>
  <c r="N298" i="1"/>
  <c r="O298" i="1" s="1"/>
  <c r="V298" i="1"/>
  <c r="W298" i="1" s="1"/>
  <c r="T298" i="1"/>
  <c r="U298" i="1" s="1"/>
  <c r="R298" i="1"/>
  <c r="S298" i="1" s="1"/>
  <c r="P298" i="1"/>
  <c r="Q298" i="1" s="1"/>
  <c r="L298" i="1"/>
  <c r="M298" i="1" s="1"/>
  <c r="J298" i="1"/>
  <c r="K298" i="1" s="1"/>
  <c r="H298" i="1"/>
  <c r="I298" i="1" s="1"/>
  <c r="K154" i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5" i="1"/>
  <c r="W245" i="1" s="1"/>
  <c r="T249" i="1"/>
  <c r="U249" i="1" s="1"/>
  <c r="R249" i="1"/>
  <c r="S249" i="1" s="1"/>
  <c r="P249" i="1"/>
  <c r="Q249" i="1" s="1"/>
  <c r="N249" i="1"/>
  <c r="O249" i="1" s="1"/>
  <c r="L249" i="1"/>
  <c r="M249" i="1" s="1"/>
  <c r="J249" i="1"/>
  <c r="K249" i="1" s="1"/>
  <c r="H249" i="1"/>
  <c r="I249" i="1" s="1"/>
  <c r="V249" i="1"/>
  <c r="W249" i="1" s="1"/>
  <c r="V306" i="1"/>
  <c r="T306" i="1"/>
  <c r="R306" i="1"/>
  <c r="J306" i="1"/>
  <c r="P306" i="1"/>
  <c r="L306" i="1"/>
  <c r="N306" i="1"/>
  <c r="R540" i="1"/>
  <c r="S540" i="1" s="1"/>
  <c r="T540" i="1"/>
  <c r="U540" i="1" s="1"/>
  <c r="V540" i="1"/>
  <c r="W540" i="1" s="1"/>
  <c r="H540" i="1"/>
  <c r="I540" i="1" s="1"/>
  <c r="J540" i="1"/>
  <c r="K540" i="1" s="1"/>
  <c r="L540" i="1"/>
  <c r="M540" i="1" s="1"/>
  <c r="P540" i="1"/>
  <c r="Q540" i="1" s="1"/>
  <c r="N540" i="1"/>
  <c r="O540" i="1" s="1"/>
  <c r="P161" i="1"/>
  <c r="Q161" i="1" s="1"/>
  <c r="R161" i="1"/>
  <c r="S161" i="1" s="1"/>
  <c r="L161" i="1"/>
  <c r="M161" i="1" s="1"/>
  <c r="K161" i="1"/>
  <c r="N161" i="1"/>
  <c r="O161" i="1" s="1"/>
  <c r="L277" i="1"/>
  <c r="H277" i="1"/>
  <c r="V277" i="1"/>
  <c r="T277" i="1"/>
  <c r="R277" i="1"/>
  <c r="P277" i="1"/>
  <c r="N277" i="1"/>
  <c r="J277" i="1"/>
  <c r="R254" i="1"/>
  <c r="S254" i="1" s="1"/>
  <c r="P254" i="1"/>
  <c r="Q254" i="1" s="1"/>
  <c r="N254" i="1"/>
  <c r="O254" i="1" s="1"/>
  <c r="L254" i="1"/>
  <c r="M254" i="1" s="1"/>
  <c r="H254" i="1"/>
  <c r="I254" i="1" s="1"/>
  <c r="J254" i="1"/>
  <c r="K254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H246" i="1"/>
  <c r="I246" i="1" s="1"/>
  <c r="J246" i="1"/>
  <c r="K246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J283" i="1"/>
  <c r="K283" i="1" s="1"/>
  <c r="H283" i="1"/>
  <c r="L283" i="1"/>
  <c r="M283" i="1" s="1"/>
  <c r="N283" i="1"/>
  <c r="O283" i="1" s="1"/>
  <c r="P283" i="1"/>
  <c r="Q283" i="1" s="1"/>
  <c r="V283" i="1"/>
  <c r="W283" i="1" s="1"/>
  <c r="T283" i="1"/>
  <c r="U283" i="1" s="1"/>
  <c r="R283" i="1"/>
  <c r="S283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H230" i="1"/>
  <c r="I230" i="1" s="1"/>
  <c r="V230" i="1"/>
  <c r="W230" i="1" s="1"/>
  <c r="J163" i="1"/>
  <c r="K163" i="1" s="1"/>
  <c r="L163" i="1"/>
  <c r="M163" i="1" s="1"/>
  <c r="N163" i="1"/>
  <c r="O163" i="1" s="1"/>
  <c r="P163" i="1"/>
  <c r="Q163" i="1" s="1"/>
  <c r="R163" i="1"/>
  <c r="S163" i="1" s="1"/>
  <c r="H163" i="1"/>
  <c r="T163" i="1"/>
  <c r="U163" i="1" s="1"/>
  <c r="V163" i="1"/>
  <c r="W163" i="1" s="1"/>
  <c r="J164" i="1"/>
  <c r="K164" i="1" s="1"/>
  <c r="H164" i="1"/>
  <c r="I164" i="1" s="1"/>
  <c r="T164" i="1"/>
  <c r="U164" i="1" s="1"/>
  <c r="R164" i="1"/>
  <c r="S164" i="1" s="1"/>
  <c r="P164" i="1"/>
  <c r="Q164" i="1" s="1"/>
  <c r="N164" i="1"/>
  <c r="O164" i="1" s="1"/>
  <c r="L164" i="1"/>
  <c r="M164" i="1" s="1"/>
  <c r="R185" i="1"/>
  <c r="S185" i="1" s="1"/>
  <c r="P185" i="1"/>
  <c r="Q185" i="1" s="1"/>
  <c r="N185" i="1"/>
  <c r="O185" i="1" s="1"/>
  <c r="L185" i="1"/>
  <c r="M185" i="1" s="1"/>
  <c r="V185" i="1"/>
  <c r="W185" i="1" s="1"/>
  <c r="T185" i="1"/>
  <c r="U185" i="1" s="1"/>
  <c r="R97" i="1"/>
  <c r="S97" i="1" s="1"/>
  <c r="P97" i="1"/>
  <c r="Q97" i="1" s="1"/>
  <c r="L97" i="1"/>
  <c r="M97" i="1" s="1"/>
  <c r="J97" i="1"/>
  <c r="K97" i="1" s="1"/>
  <c r="N97" i="1"/>
  <c r="O97" i="1" s="1"/>
  <c r="V97" i="1"/>
  <c r="W97" i="1" s="1"/>
  <c r="T97" i="1"/>
  <c r="U97" i="1" s="1"/>
  <c r="P195" i="1"/>
  <c r="Q195" i="1" s="1"/>
  <c r="N195" i="1"/>
  <c r="O195" i="1" s="1"/>
  <c r="L195" i="1"/>
  <c r="M195" i="1" s="1"/>
  <c r="J195" i="1"/>
  <c r="K195" i="1" s="1"/>
  <c r="T195" i="1"/>
  <c r="U195" i="1" s="1"/>
  <c r="V195" i="1"/>
  <c r="W195" i="1" s="1"/>
  <c r="R195" i="1"/>
  <c r="S195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H241" i="1"/>
  <c r="I241" i="1" s="1"/>
  <c r="V241" i="1"/>
  <c r="W241" i="1" s="1"/>
  <c r="H155" i="1"/>
  <c r="I155" i="1" s="1"/>
  <c r="W155" i="1"/>
  <c r="U155" i="1"/>
  <c r="S155" i="1"/>
  <c r="Q155" i="1"/>
  <c r="O155" i="1"/>
  <c r="M155" i="1"/>
  <c r="K155" i="1"/>
  <c r="T165" i="1"/>
  <c r="U165" i="1" s="1"/>
  <c r="R165" i="1"/>
  <c r="S165" i="1" s="1"/>
  <c r="P165" i="1"/>
  <c r="Q165" i="1" s="1"/>
  <c r="N165" i="1"/>
  <c r="O165" i="1" s="1"/>
  <c r="L165" i="1"/>
  <c r="M165" i="1" s="1"/>
  <c r="J165" i="1"/>
  <c r="K165" i="1" s="1"/>
  <c r="H165" i="1"/>
  <c r="I165" i="1" s="1"/>
  <c r="J101" i="1"/>
  <c r="K101" i="1" s="1"/>
  <c r="H101" i="1"/>
  <c r="I1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R286" i="1"/>
  <c r="S286" i="1" s="1"/>
  <c r="H286" i="1"/>
  <c r="I286" i="1" s="1"/>
  <c r="T286" i="1"/>
  <c r="U286" i="1" s="1"/>
  <c r="J286" i="1"/>
  <c r="K286" i="1" s="1"/>
  <c r="N286" i="1"/>
  <c r="O286" i="1" s="1"/>
  <c r="V286" i="1"/>
  <c r="W286" i="1" s="1"/>
  <c r="L286" i="1"/>
  <c r="M286" i="1" s="1"/>
  <c r="P286" i="1"/>
  <c r="Q286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104" i="1"/>
  <c r="I104" i="1" s="1"/>
  <c r="V221" i="1"/>
  <c r="T221" i="1"/>
  <c r="R221" i="1"/>
  <c r="S221" i="1" s="1"/>
  <c r="P221" i="1"/>
  <c r="Q221" i="1" s="1"/>
  <c r="N221" i="1"/>
  <c r="O221" i="1" s="1"/>
  <c r="L221" i="1"/>
  <c r="M221" i="1" s="1"/>
  <c r="J221" i="1"/>
  <c r="K221" i="1" s="1"/>
  <c r="H221" i="1"/>
  <c r="I221" i="1" s="1"/>
  <c r="J295" i="1"/>
  <c r="K295" i="1" s="1"/>
  <c r="V295" i="1"/>
  <c r="W295" i="1" s="1"/>
  <c r="L295" i="1"/>
  <c r="M295" i="1" s="1"/>
  <c r="P295" i="1"/>
  <c r="Q295" i="1" s="1"/>
  <c r="R295" i="1"/>
  <c r="S295" i="1" s="1"/>
  <c r="T295" i="1"/>
  <c r="U295" i="1" s="1"/>
  <c r="N295" i="1"/>
  <c r="O295" i="1" s="1"/>
  <c r="H295" i="1"/>
  <c r="I295" i="1" s="1"/>
  <c r="G306" i="1"/>
  <c r="G540" i="1"/>
  <c r="F386" i="1"/>
  <c r="G386" i="1" l="1"/>
  <c r="L386" i="1"/>
  <c r="M386" i="1" s="1"/>
  <c r="V386" i="1"/>
  <c r="W386" i="1" s="1"/>
  <c r="H386" i="1"/>
  <c r="I386" i="1" s="1"/>
  <c r="T386" i="1"/>
  <c r="U386" i="1" s="1"/>
  <c r="R386" i="1"/>
  <c r="S386" i="1" s="1"/>
  <c r="P386" i="1"/>
  <c r="Q386" i="1" s="1"/>
  <c r="N386" i="1"/>
  <c r="O386" i="1" s="1"/>
  <c r="J386" i="1"/>
  <c r="K386" i="1" s="1"/>
  <c r="T411" i="1"/>
  <c r="R411" i="1"/>
  <c r="P411" i="1"/>
  <c r="N411" i="1"/>
  <c r="L411" i="1"/>
  <c r="F487" i="1" l="1"/>
  <c r="J487" i="1" l="1"/>
  <c r="K487" i="1" s="1"/>
  <c r="H487" i="1"/>
  <c r="I487" i="1" s="1"/>
  <c r="L487" i="1"/>
  <c r="M487" i="1" s="1"/>
  <c r="V487" i="1"/>
  <c r="W487" i="1" s="1"/>
  <c r="T487" i="1"/>
  <c r="U487" i="1" s="1"/>
  <c r="R487" i="1"/>
  <c r="S487" i="1" s="1"/>
  <c r="P487" i="1"/>
  <c r="Q487" i="1" s="1"/>
  <c r="N487" i="1"/>
  <c r="O487" i="1" s="1"/>
  <c r="G487" i="1"/>
  <c r="R361" i="1" l="1"/>
  <c r="S361" i="1" s="1"/>
  <c r="N361" i="1"/>
  <c r="O361" i="1" s="1"/>
  <c r="T361" i="1"/>
  <c r="U361" i="1" s="1"/>
  <c r="P361" i="1"/>
  <c r="Q361" i="1" s="1"/>
  <c r="L361" i="1"/>
  <c r="M361" i="1" s="1"/>
  <c r="V361" i="1"/>
  <c r="W361" i="1" s="1"/>
  <c r="G361" i="1"/>
  <c r="P552" i="1" l="1"/>
  <c r="Q552" i="1" s="1"/>
  <c r="R552" i="1"/>
  <c r="S552" i="1" s="1"/>
  <c r="T552" i="1"/>
  <c r="U552" i="1" s="1"/>
  <c r="N552" i="1"/>
  <c r="O552" i="1" s="1"/>
  <c r="H552" i="1"/>
  <c r="I552" i="1" s="1"/>
  <c r="V552" i="1"/>
  <c r="W552" i="1" s="1"/>
  <c r="L552" i="1"/>
  <c r="M552" i="1" s="1"/>
  <c r="J552" i="1"/>
  <c r="K552" i="1" s="1"/>
  <c r="F509" i="1"/>
  <c r="G509" i="1" l="1"/>
  <c r="R509" i="1"/>
  <c r="S509" i="1" s="1"/>
  <c r="P509" i="1"/>
  <c r="Q509" i="1" s="1"/>
  <c r="N509" i="1"/>
  <c r="O509" i="1" s="1"/>
  <c r="L509" i="1"/>
  <c r="M509" i="1" s="1"/>
  <c r="J509" i="1"/>
  <c r="K509" i="1" s="1"/>
  <c r="H509" i="1"/>
  <c r="I509" i="1" s="1"/>
  <c r="T509" i="1"/>
  <c r="U509" i="1" s="1"/>
  <c r="V509" i="1"/>
  <c r="W509" i="1" s="1"/>
  <c r="G363" i="1" l="1"/>
  <c r="F359" i="1"/>
  <c r="R359" i="1" l="1"/>
  <c r="S359" i="1" s="1"/>
  <c r="N359" i="1"/>
  <c r="O359" i="1" s="1"/>
  <c r="P359" i="1"/>
  <c r="Q359" i="1" s="1"/>
  <c r="V359" i="1"/>
  <c r="W359" i="1" s="1"/>
  <c r="T359" i="1"/>
  <c r="U359" i="1" s="1"/>
  <c r="L359" i="1"/>
  <c r="M359" i="1" s="1"/>
  <c r="G359" i="1"/>
  <c r="F335" i="1" l="1"/>
  <c r="P622" i="1"/>
  <c r="Q622" i="1" s="1"/>
  <c r="F244" i="1"/>
  <c r="L244" i="1" l="1"/>
  <c r="M244" i="1" s="1"/>
  <c r="J244" i="1"/>
  <c r="K244" i="1" s="1"/>
  <c r="H244" i="1"/>
  <c r="I244" i="1" s="1"/>
  <c r="V244" i="1"/>
  <c r="W244" i="1" s="1"/>
  <c r="T244" i="1"/>
  <c r="U244" i="1" s="1"/>
  <c r="P244" i="1"/>
  <c r="Q244" i="1" s="1"/>
  <c r="N244" i="1"/>
  <c r="O244" i="1" s="1"/>
  <c r="R244" i="1"/>
  <c r="S244" i="1" s="1"/>
  <c r="T523" i="1"/>
  <c r="U523" i="1" s="1"/>
  <c r="V523" i="1"/>
  <c r="W523" i="1" s="1"/>
  <c r="H523" i="1"/>
  <c r="I523" i="1" s="1"/>
  <c r="J523" i="1"/>
  <c r="K523" i="1" s="1"/>
  <c r="L523" i="1"/>
  <c r="M523" i="1" s="1"/>
  <c r="N523" i="1"/>
  <c r="O523" i="1" s="1"/>
  <c r="P523" i="1"/>
  <c r="Q523" i="1" s="1"/>
  <c r="R523" i="1"/>
  <c r="S523" i="1" s="1"/>
  <c r="T522" i="1"/>
  <c r="U522" i="1" s="1"/>
  <c r="V522" i="1"/>
  <c r="W522" i="1" s="1"/>
  <c r="H522" i="1"/>
  <c r="I522" i="1" s="1"/>
  <c r="J522" i="1"/>
  <c r="K522" i="1" s="1"/>
  <c r="L522" i="1"/>
  <c r="M522" i="1" s="1"/>
  <c r="N522" i="1"/>
  <c r="O522" i="1" s="1"/>
  <c r="R522" i="1"/>
  <c r="S522" i="1" s="1"/>
  <c r="P522" i="1"/>
  <c r="Q522" i="1" s="1"/>
  <c r="R335" i="1"/>
  <c r="S335" i="1" s="1"/>
  <c r="T335" i="1"/>
  <c r="U335" i="1" s="1"/>
  <c r="P335" i="1"/>
  <c r="Q335" i="1" s="1"/>
  <c r="N335" i="1"/>
  <c r="O335" i="1" s="1"/>
  <c r="L335" i="1"/>
  <c r="M335" i="1" s="1"/>
  <c r="V335" i="1"/>
  <c r="W335" i="1" s="1"/>
  <c r="M622" i="1"/>
  <c r="V622" i="1"/>
  <c r="W622" i="1" s="1"/>
  <c r="G622" i="1"/>
  <c r="R622" i="1"/>
  <c r="S622" i="1" s="1"/>
  <c r="N622" i="1"/>
  <c r="O622" i="1" s="1"/>
  <c r="T622" i="1"/>
  <c r="U622" i="1" s="1"/>
  <c r="G523" i="1"/>
  <c r="G552" i="1"/>
  <c r="G101" i="1"/>
  <c r="G143" i="1"/>
  <c r="R629" i="1" l="1"/>
  <c r="R628" i="1"/>
  <c r="P629" i="1"/>
  <c r="P628" i="1"/>
  <c r="N629" i="1"/>
  <c r="N628" i="1"/>
  <c r="T628" i="1"/>
  <c r="T629" i="1"/>
  <c r="G425" i="1" l="1"/>
  <c r="V621" i="1"/>
  <c r="W621" i="1" s="1"/>
  <c r="G424" i="1"/>
  <c r="P621" i="1"/>
  <c r="Q621" i="1" s="1"/>
  <c r="R621" i="1"/>
  <c r="S621" i="1" s="1"/>
  <c r="N621" i="1"/>
  <c r="O621" i="1" s="1"/>
  <c r="T621" i="1"/>
  <c r="U621" i="1" s="1"/>
  <c r="G621" i="1"/>
  <c r="M621" i="1"/>
  <c r="F430" i="1"/>
  <c r="F427" i="1"/>
  <c r="F426" i="1"/>
  <c r="F429" i="1"/>
  <c r="P426" i="1" l="1"/>
  <c r="Q426" i="1" s="1"/>
  <c r="N426" i="1"/>
  <c r="O426" i="1" s="1"/>
  <c r="L426" i="1"/>
  <c r="M426" i="1" s="1"/>
  <c r="J426" i="1"/>
  <c r="K426" i="1" s="1"/>
  <c r="H426" i="1"/>
  <c r="I426" i="1" s="1"/>
  <c r="V426" i="1"/>
  <c r="W426" i="1" s="1"/>
  <c r="T426" i="1"/>
  <c r="U426" i="1" s="1"/>
  <c r="R426" i="1"/>
  <c r="S426" i="1" s="1"/>
  <c r="L427" i="1"/>
  <c r="M427" i="1" s="1"/>
  <c r="J427" i="1"/>
  <c r="K427" i="1" s="1"/>
  <c r="V427" i="1"/>
  <c r="W427" i="1" s="1"/>
  <c r="H427" i="1"/>
  <c r="I427" i="1" s="1"/>
  <c r="T427" i="1"/>
  <c r="U427" i="1" s="1"/>
  <c r="R427" i="1"/>
  <c r="S427" i="1" s="1"/>
  <c r="P427" i="1"/>
  <c r="Q427" i="1" s="1"/>
  <c r="N427" i="1"/>
  <c r="O427" i="1" s="1"/>
  <c r="V430" i="1"/>
  <c r="W430" i="1" s="1"/>
  <c r="T430" i="1"/>
  <c r="U430" i="1" s="1"/>
  <c r="L430" i="1"/>
  <c r="M430" i="1" s="1"/>
  <c r="J430" i="1"/>
  <c r="K430" i="1" s="1"/>
  <c r="H430" i="1"/>
  <c r="I430" i="1" s="1"/>
  <c r="R430" i="1"/>
  <c r="S430" i="1" s="1"/>
  <c r="P430" i="1"/>
  <c r="Q430" i="1" s="1"/>
  <c r="N430" i="1"/>
  <c r="O430" i="1" s="1"/>
  <c r="R429" i="1"/>
  <c r="S429" i="1" s="1"/>
  <c r="P429" i="1"/>
  <c r="Q429" i="1" s="1"/>
  <c r="V429" i="1"/>
  <c r="W429" i="1" s="1"/>
  <c r="T429" i="1"/>
  <c r="U429" i="1" s="1"/>
  <c r="N429" i="1"/>
  <c r="O429" i="1" s="1"/>
  <c r="L429" i="1"/>
  <c r="M429" i="1" s="1"/>
  <c r="J429" i="1"/>
  <c r="K429" i="1" s="1"/>
  <c r="H429" i="1"/>
  <c r="I42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G426" i="1"/>
  <c r="G427" i="1"/>
  <c r="G429" i="1"/>
  <c r="G430" i="1"/>
  <c r="G360" i="1" l="1"/>
  <c r="F305" i="1" l="1"/>
  <c r="H305" i="1" s="1"/>
  <c r="I305" i="1" s="1"/>
  <c r="R305" i="1" l="1"/>
  <c r="S305" i="1" s="1"/>
  <c r="P305" i="1"/>
  <c r="Q305" i="1" s="1"/>
  <c r="N305" i="1"/>
  <c r="O305" i="1" s="1"/>
  <c r="L305" i="1"/>
  <c r="M305" i="1" s="1"/>
  <c r="J305" i="1"/>
  <c r="K305" i="1" s="1"/>
  <c r="T305" i="1"/>
  <c r="U305" i="1" s="1"/>
  <c r="V305" i="1"/>
  <c r="W305" i="1" s="1"/>
  <c r="W146" i="1"/>
  <c r="U146" i="1"/>
  <c r="S146" i="1"/>
  <c r="Q146" i="1"/>
  <c r="O146" i="1"/>
  <c r="M146" i="1"/>
  <c r="K146" i="1"/>
  <c r="W442" i="1"/>
  <c r="W441" i="1"/>
  <c r="W438" i="1"/>
  <c r="W437" i="1"/>
  <c r="U442" i="1"/>
  <c r="U441" i="1"/>
  <c r="U438" i="1"/>
  <c r="U437" i="1"/>
  <c r="S442" i="1"/>
  <c r="S441" i="1"/>
  <c r="S438" i="1"/>
  <c r="S437" i="1"/>
  <c r="Q442" i="1"/>
  <c r="Q441" i="1"/>
  <c r="Q438" i="1"/>
  <c r="Q437" i="1"/>
  <c r="O442" i="1"/>
  <c r="O441" i="1"/>
  <c r="O438" i="1"/>
  <c r="O437" i="1"/>
  <c r="G440" i="1"/>
  <c r="G441" i="1"/>
  <c r="G442" i="1"/>
  <c r="G439" i="1"/>
  <c r="G438" i="1"/>
  <c r="G437" i="1"/>
  <c r="G295" i="1" l="1"/>
  <c r="F372" i="1" l="1"/>
  <c r="T372" i="1" l="1"/>
  <c r="U372" i="1" s="1"/>
  <c r="P372" i="1"/>
  <c r="Q372" i="1" s="1"/>
  <c r="L372" i="1"/>
  <c r="M372" i="1" s="1"/>
  <c r="R372" i="1"/>
  <c r="S372" i="1" s="1"/>
  <c r="V372" i="1"/>
  <c r="W372" i="1" s="1"/>
  <c r="N372" i="1"/>
  <c r="O372" i="1" s="1"/>
  <c r="F356" i="1"/>
  <c r="F354" i="1"/>
  <c r="T374" i="1" l="1"/>
  <c r="U374" i="1" s="1"/>
  <c r="P374" i="1"/>
  <c r="Q374" i="1" s="1"/>
  <c r="L374" i="1"/>
  <c r="M374" i="1" s="1"/>
  <c r="V374" i="1"/>
  <c r="W374" i="1" s="1"/>
  <c r="R374" i="1"/>
  <c r="S374" i="1" s="1"/>
  <c r="N374" i="1"/>
  <c r="O374" i="1" s="1"/>
  <c r="P387" i="1"/>
  <c r="Q387" i="1" s="1"/>
  <c r="R387" i="1"/>
  <c r="S387" i="1" s="1"/>
  <c r="N387" i="1"/>
  <c r="O387" i="1" s="1"/>
  <c r="L387" i="1"/>
  <c r="M387" i="1" s="1"/>
  <c r="J387" i="1"/>
  <c r="K387" i="1" s="1"/>
  <c r="H387" i="1"/>
  <c r="I387" i="1" s="1"/>
  <c r="V387" i="1"/>
  <c r="W387" i="1" s="1"/>
  <c r="T387" i="1"/>
  <c r="U387" i="1" s="1"/>
  <c r="R354" i="1"/>
  <c r="S354" i="1" s="1"/>
  <c r="N354" i="1"/>
  <c r="O354" i="1" s="1"/>
  <c r="L354" i="1"/>
  <c r="M354" i="1" s="1"/>
  <c r="P354" i="1"/>
  <c r="Q354" i="1" s="1"/>
  <c r="V354" i="1"/>
  <c r="W354" i="1" s="1"/>
  <c r="T354" i="1"/>
  <c r="U354" i="1" s="1"/>
  <c r="P338" i="1"/>
  <c r="Q338" i="1" s="1"/>
  <c r="V338" i="1"/>
  <c r="W338" i="1" s="1"/>
  <c r="L338" i="1"/>
  <c r="M338" i="1" s="1"/>
  <c r="T338" i="1"/>
  <c r="U338" i="1" s="1"/>
  <c r="R338" i="1"/>
  <c r="S338" i="1" s="1"/>
  <c r="N338" i="1"/>
  <c r="O338" i="1" s="1"/>
  <c r="R346" i="1"/>
  <c r="N346" i="1"/>
  <c r="P346" i="1"/>
  <c r="V346" i="1"/>
  <c r="L346" i="1"/>
  <c r="T346" i="1"/>
  <c r="N356" i="1"/>
  <c r="O356" i="1" s="1"/>
  <c r="L356" i="1"/>
  <c r="M356" i="1" s="1"/>
  <c r="N381" i="1"/>
  <c r="O381" i="1" s="1"/>
  <c r="V381" i="1"/>
  <c r="W381" i="1" s="1"/>
  <c r="T381" i="1"/>
  <c r="U381" i="1" s="1"/>
  <c r="R381" i="1"/>
  <c r="S381" i="1" s="1"/>
  <c r="P381" i="1"/>
  <c r="Q381" i="1" s="1"/>
  <c r="L381" i="1"/>
  <c r="M381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G334" i="1"/>
  <c r="T313" i="1" l="1"/>
  <c r="U313" i="1" s="1"/>
  <c r="R313" i="1"/>
  <c r="S313" i="1" s="1"/>
  <c r="V313" i="1"/>
  <c r="W313" i="1" s="1"/>
  <c r="L313" i="1"/>
  <c r="M313" i="1" s="1"/>
  <c r="N313" i="1"/>
  <c r="O313" i="1" s="1"/>
  <c r="P313" i="1"/>
  <c r="Q313" i="1" s="1"/>
  <c r="T322" i="1"/>
  <c r="U322" i="1" s="1"/>
  <c r="R322" i="1"/>
  <c r="S322" i="1" s="1"/>
  <c r="V322" i="1"/>
  <c r="W322" i="1" s="1"/>
  <c r="L322" i="1"/>
  <c r="M322" i="1" s="1"/>
  <c r="N322" i="1"/>
  <c r="O322" i="1" s="1"/>
  <c r="P322" i="1"/>
  <c r="Q322" i="1" s="1"/>
  <c r="T314" i="1"/>
  <c r="U314" i="1" s="1"/>
  <c r="V314" i="1"/>
  <c r="W314" i="1" s="1"/>
  <c r="L314" i="1"/>
  <c r="M314" i="1" s="1"/>
  <c r="R314" i="1"/>
  <c r="S314" i="1" s="1"/>
  <c r="N314" i="1"/>
  <c r="O314" i="1" s="1"/>
  <c r="P314" i="1"/>
  <c r="Q314" i="1" s="1"/>
  <c r="T321" i="1"/>
  <c r="U321" i="1" s="1"/>
  <c r="V321" i="1"/>
  <c r="W321" i="1" s="1"/>
  <c r="R321" i="1"/>
  <c r="S321" i="1" s="1"/>
  <c r="L321" i="1"/>
  <c r="M321" i="1" s="1"/>
  <c r="N321" i="1"/>
  <c r="O321" i="1" s="1"/>
  <c r="P321" i="1"/>
  <c r="Q321" i="1" s="1"/>
  <c r="T328" i="1"/>
  <c r="U328" i="1" s="1"/>
  <c r="V328" i="1"/>
  <c r="W328" i="1" s="1"/>
  <c r="R328" i="1"/>
  <c r="S328" i="1" s="1"/>
  <c r="L328" i="1"/>
  <c r="M328" i="1" s="1"/>
  <c r="N328" i="1"/>
  <c r="O328" i="1" s="1"/>
  <c r="P328" i="1"/>
  <c r="Q328" i="1" s="1"/>
  <c r="T315" i="1"/>
  <c r="U315" i="1" s="1"/>
  <c r="V315" i="1"/>
  <c r="W315" i="1" s="1"/>
  <c r="L315" i="1"/>
  <c r="M315" i="1" s="1"/>
  <c r="N315" i="1"/>
  <c r="O315" i="1" s="1"/>
  <c r="P315" i="1"/>
  <c r="Q315" i="1" s="1"/>
  <c r="R315" i="1"/>
  <c r="S315" i="1" s="1"/>
  <c r="T324" i="1"/>
  <c r="U324" i="1" s="1"/>
  <c r="V324" i="1"/>
  <c r="W324" i="1" s="1"/>
  <c r="L324" i="1"/>
  <c r="M324" i="1" s="1"/>
  <c r="N324" i="1"/>
  <c r="O324" i="1" s="1"/>
  <c r="R324" i="1"/>
  <c r="S324" i="1" s="1"/>
  <c r="P324" i="1"/>
  <c r="Q324" i="1" s="1"/>
  <c r="L323" i="1"/>
  <c r="M323" i="1" s="1"/>
  <c r="N323" i="1"/>
  <c r="O323" i="1" s="1"/>
  <c r="T325" i="1"/>
  <c r="U325" i="1" s="1"/>
  <c r="V325" i="1"/>
  <c r="W325" i="1" s="1"/>
  <c r="L325" i="1"/>
  <c r="M325" i="1" s="1"/>
  <c r="R325" i="1"/>
  <c r="S325" i="1" s="1"/>
  <c r="N325" i="1"/>
  <c r="O325" i="1" s="1"/>
  <c r="P325" i="1"/>
  <c r="Q325" i="1" s="1"/>
  <c r="T326" i="1"/>
  <c r="U326" i="1" s="1"/>
  <c r="V326" i="1"/>
  <c r="W326" i="1" s="1"/>
  <c r="R326" i="1"/>
  <c r="S326" i="1" s="1"/>
  <c r="L326" i="1"/>
  <c r="M326" i="1" s="1"/>
  <c r="N326" i="1"/>
  <c r="O326" i="1" s="1"/>
  <c r="P326" i="1"/>
  <c r="Q326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T327" i="1"/>
  <c r="U327" i="1" s="1"/>
  <c r="V327" i="1"/>
  <c r="W327" i="1" s="1"/>
  <c r="L327" i="1"/>
  <c r="M327" i="1" s="1"/>
  <c r="N327" i="1"/>
  <c r="O327" i="1" s="1"/>
  <c r="P327" i="1"/>
  <c r="Q327" i="1" s="1"/>
  <c r="R327" i="1"/>
  <c r="S327" i="1" s="1"/>
  <c r="P311" i="1"/>
  <c r="Q311" i="1" s="1"/>
  <c r="V311" i="1"/>
  <c r="W311" i="1" s="1"/>
  <c r="T311" i="1"/>
  <c r="U311" i="1" s="1"/>
  <c r="R311" i="1"/>
  <c r="S311" i="1" s="1"/>
  <c r="N311" i="1"/>
  <c r="O311" i="1" s="1"/>
  <c r="T312" i="1"/>
  <c r="U312" i="1" s="1"/>
  <c r="V312" i="1"/>
  <c r="W312" i="1" s="1"/>
  <c r="R312" i="1"/>
  <c r="S312" i="1" s="1"/>
  <c r="L312" i="1"/>
  <c r="M312" i="1" s="1"/>
  <c r="N312" i="1"/>
  <c r="O312" i="1" s="1"/>
  <c r="P312" i="1"/>
  <c r="Q312" i="1" s="1"/>
  <c r="T329" i="1"/>
  <c r="U329" i="1" s="1"/>
  <c r="R329" i="1"/>
  <c r="S329" i="1" s="1"/>
  <c r="V329" i="1"/>
  <c r="W329" i="1" s="1"/>
  <c r="L329" i="1"/>
  <c r="M329" i="1" s="1"/>
  <c r="N329" i="1"/>
  <c r="O329" i="1" s="1"/>
  <c r="P329" i="1"/>
  <c r="Q329" i="1" s="1"/>
  <c r="L311" i="1"/>
  <c r="M311" i="1" s="1"/>
  <c r="F469" i="1"/>
  <c r="R469" i="1" l="1"/>
  <c r="J469" i="1"/>
  <c r="V469" i="1"/>
  <c r="N469" i="1"/>
  <c r="L469" i="1"/>
  <c r="T469" i="1"/>
  <c r="P469" i="1"/>
  <c r="H469" i="1"/>
  <c r="M124" i="1"/>
  <c r="F510" i="1" l="1"/>
  <c r="R510" i="1" l="1"/>
  <c r="S510" i="1" s="1"/>
  <c r="P510" i="1"/>
  <c r="Q510" i="1" s="1"/>
  <c r="N510" i="1"/>
  <c r="O510" i="1" s="1"/>
  <c r="L510" i="1"/>
  <c r="M510" i="1" s="1"/>
  <c r="T510" i="1"/>
  <c r="U510" i="1" s="1"/>
  <c r="J510" i="1"/>
  <c r="K510" i="1" s="1"/>
  <c r="H510" i="1"/>
  <c r="I510" i="1" s="1"/>
  <c r="V510" i="1"/>
  <c r="W510" i="1" s="1"/>
  <c r="H20" i="1"/>
  <c r="I20" i="1" s="1"/>
  <c r="H21" i="1"/>
  <c r="I21" i="1" s="1"/>
  <c r="F392" i="1"/>
  <c r="H392" i="1" l="1"/>
  <c r="I392" i="1" s="1"/>
  <c r="V392" i="1"/>
  <c r="W392" i="1" s="1"/>
  <c r="T392" i="1"/>
  <c r="U392" i="1" s="1"/>
  <c r="N392" i="1"/>
  <c r="O392" i="1" s="1"/>
  <c r="R392" i="1"/>
  <c r="S392" i="1" s="1"/>
  <c r="P392" i="1"/>
  <c r="Q392" i="1" s="1"/>
  <c r="L392" i="1"/>
  <c r="M392" i="1" s="1"/>
  <c r="J392" i="1"/>
  <c r="K392" i="1" s="1"/>
  <c r="W277" i="1"/>
  <c r="F297" i="1"/>
  <c r="L297" i="1" l="1"/>
  <c r="M297" i="1" s="1"/>
  <c r="H297" i="1"/>
  <c r="I297" i="1" s="1"/>
  <c r="V297" i="1"/>
  <c r="W297" i="1" s="1"/>
  <c r="T297" i="1"/>
  <c r="U297" i="1" s="1"/>
  <c r="J297" i="1"/>
  <c r="K297" i="1" s="1"/>
  <c r="R297" i="1"/>
  <c r="S297" i="1" s="1"/>
  <c r="P297" i="1"/>
  <c r="Q297" i="1" s="1"/>
  <c r="N297" i="1"/>
  <c r="O297" i="1" s="1"/>
  <c r="U277" i="1"/>
  <c r="K277" i="1"/>
  <c r="O277" i="1"/>
  <c r="Q277" i="1"/>
  <c r="S277" i="1"/>
  <c r="M277" i="1"/>
  <c r="G277" i="1"/>
  <c r="I277" i="1"/>
  <c r="G297" i="1"/>
  <c r="F501" i="1" l="1"/>
  <c r="F503" i="1"/>
  <c r="F502" i="1"/>
  <c r="V503" i="1" l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R350" i="1"/>
  <c r="S350" i="1" s="1"/>
  <c r="N350" i="1"/>
  <c r="O350" i="1" s="1"/>
  <c r="V350" i="1"/>
  <c r="W350" i="1" s="1"/>
  <c r="T350" i="1"/>
  <c r="U350" i="1" s="1"/>
  <c r="P350" i="1"/>
  <c r="Q350" i="1" s="1"/>
  <c r="L350" i="1"/>
  <c r="M350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1" i="1"/>
  <c r="W501" i="1" s="1"/>
  <c r="L502" i="1"/>
  <c r="M502" i="1" s="1"/>
  <c r="J502" i="1"/>
  <c r="K502" i="1" s="1"/>
  <c r="H502" i="1"/>
  <c r="I502" i="1" s="1"/>
  <c r="V502" i="1"/>
  <c r="W502" i="1" s="1"/>
  <c r="T502" i="1"/>
  <c r="U502" i="1" s="1"/>
  <c r="R502" i="1"/>
  <c r="S502" i="1" s="1"/>
  <c r="P502" i="1"/>
  <c r="Q502" i="1" s="1"/>
  <c r="N502" i="1"/>
  <c r="O502" i="1" s="1"/>
  <c r="G501" i="1"/>
  <c r="G350" i="1"/>
  <c r="F371" i="1" l="1"/>
  <c r="F366" i="1"/>
  <c r="F345" i="1"/>
  <c r="F294" i="1"/>
  <c r="F172" i="1"/>
  <c r="F171" i="1"/>
  <c r="F170" i="1"/>
  <c r="F169" i="1"/>
  <c r="F168" i="1"/>
  <c r="F167" i="1"/>
  <c r="T171" i="1" l="1"/>
  <c r="U171" i="1" s="1"/>
  <c r="N171" i="1"/>
  <c r="O171" i="1" s="1"/>
  <c r="R171" i="1"/>
  <c r="S171" i="1" s="1"/>
  <c r="H171" i="1"/>
  <c r="I171" i="1" s="1"/>
  <c r="P171" i="1"/>
  <c r="Q171" i="1" s="1"/>
  <c r="L171" i="1"/>
  <c r="M171" i="1" s="1"/>
  <c r="J171" i="1"/>
  <c r="K171" i="1" s="1"/>
  <c r="T167" i="1"/>
  <c r="U167" i="1" s="1"/>
  <c r="N167" i="1"/>
  <c r="O167" i="1" s="1"/>
  <c r="L167" i="1"/>
  <c r="M167" i="1" s="1"/>
  <c r="H167" i="1"/>
  <c r="I167" i="1" s="1"/>
  <c r="R167" i="1"/>
  <c r="S167" i="1" s="1"/>
  <c r="P167" i="1"/>
  <c r="Q167" i="1" s="1"/>
  <c r="J167" i="1"/>
  <c r="K167" i="1" s="1"/>
  <c r="L168" i="1"/>
  <c r="M168" i="1" s="1"/>
  <c r="J168" i="1"/>
  <c r="K168" i="1" s="1"/>
  <c r="H168" i="1"/>
  <c r="I168" i="1" s="1"/>
  <c r="N168" i="1"/>
  <c r="O168" i="1" s="1"/>
  <c r="T168" i="1"/>
  <c r="U168" i="1" s="1"/>
  <c r="R168" i="1"/>
  <c r="S168" i="1" s="1"/>
  <c r="P168" i="1"/>
  <c r="Q168" i="1" s="1"/>
  <c r="L170" i="1"/>
  <c r="M170" i="1" s="1"/>
  <c r="N170" i="1"/>
  <c r="O170" i="1" s="1"/>
  <c r="P170" i="1"/>
  <c r="Q170" i="1" s="1"/>
  <c r="R170" i="1"/>
  <c r="T170" i="1"/>
  <c r="J170" i="1"/>
  <c r="T172" i="1"/>
  <c r="U172" i="1" s="1"/>
  <c r="R172" i="1"/>
  <c r="S172" i="1" s="1"/>
  <c r="P172" i="1"/>
  <c r="Q172" i="1" s="1"/>
  <c r="N172" i="1"/>
  <c r="O172" i="1" s="1"/>
  <c r="L172" i="1"/>
  <c r="M172" i="1" s="1"/>
  <c r="J172" i="1"/>
  <c r="K172" i="1" s="1"/>
  <c r="H172" i="1"/>
  <c r="I172" i="1" s="1"/>
  <c r="L169" i="1"/>
  <c r="R169" i="1"/>
  <c r="P169" i="1"/>
  <c r="N169" i="1"/>
  <c r="J169" i="1"/>
  <c r="H169" i="1"/>
  <c r="J285" i="1"/>
  <c r="K285" i="1" s="1"/>
  <c r="V285" i="1"/>
  <c r="W285" i="1" s="1"/>
  <c r="L285" i="1"/>
  <c r="M285" i="1" s="1"/>
  <c r="P285" i="1"/>
  <c r="Q285" i="1" s="1"/>
  <c r="R285" i="1"/>
  <c r="S285" i="1" s="1"/>
  <c r="T285" i="1"/>
  <c r="U285" i="1" s="1"/>
  <c r="H285" i="1"/>
  <c r="I285" i="1" s="1"/>
  <c r="N285" i="1"/>
  <c r="O285" i="1" s="1"/>
  <c r="R366" i="1"/>
  <c r="S366" i="1" s="1"/>
  <c r="N366" i="1"/>
  <c r="O366" i="1" s="1"/>
  <c r="T366" i="1"/>
  <c r="U366" i="1" s="1"/>
  <c r="P366" i="1"/>
  <c r="Q366" i="1" s="1"/>
  <c r="L366" i="1"/>
  <c r="M366" i="1" s="1"/>
  <c r="V366" i="1"/>
  <c r="W366" i="1" s="1"/>
  <c r="S170" i="1"/>
  <c r="K170" i="1"/>
  <c r="U170" i="1"/>
  <c r="N294" i="1"/>
  <c r="O294" i="1" s="1"/>
  <c r="P294" i="1"/>
  <c r="Q294" i="1" s="1"/>
  <c r="H294" i="1"/>
  <c r="I294" i="1" s="1"/>
  <c r="J294" i="1"/>
  <c r="K294" i="1" s="1"/>
  <c r="L294" i="1"/>
  <c r="M294" i="1" s="1"/>
  <c r="T294" i="1"/>
  <c r="U294" i="1" s="1"/>
  <c r="R294" i="1"/>
  <c r="S294" i="1" s="1"/>
  <c r="V294" i="1"/>
  <c r="W294" i="1" s="1"/>
  <c r="T299" i="1"/>
  <c r="U299" i="1" s="1"/>
  <c r="P299" i="1"/>
  <c r="Q299" i="1" s="1"/>
  <c r="L299" i="1"/>
  <c r="M299" i="1" s="1"/>
  <c r="J299" i="1"/>
  <c r="K299" i="1" s="1"/>
  <c r="H299" i="1"/>
  <c r="I299" i="1" s="1"/>
  <c r="V299" i="1"/>
  <c r="W299" i="1" s="1"/>
  <c r="R299" i="1"/>
  <c r="S299" i="1" s="1"/>
  <c r="N299" i="1"/>
  <c r="O299" i="1" s="1"/>
  <c r="H300" i="1"/>
  <c r="I300" i="1" s="1"/>
  <c r="T345" i="1"/>
  <c r="U345" i="1" s="1"/>
  <c r="R345" i="1"/>
  <c r="S345" i="1" s="1"/>
  <c r="N345" i="1"/>
  <c r="O345" i="1" s="1"/>
  <c r="P345" i="1"/>
  <c r="Q345" i="1" s="1"/>
  <c r="L345" i="1"/>
  <c r="M345" i="1" s="1"/>
  <c r="V371" i="1"/>
  <c r="W371" i="1" s="1"/>
  <c r="T371" i="1"/>
  <c r="U371" i="1" s="1"/>
  <c r="R371" i="1"/>
  <c r="S371" i="1" s="1"/>
  <c r="P371" i="1"/>
  <c r="Q371" i="1" s="1"/>
  <c r="N371" i="1"/>
  <c r="O371" i="1" s="1"/>
  <c r="T169" i="1"/>
  <c r="V282" i="1" l="1"/>
  <c r="W282" i="1" s="1"/>
  <c r="P282" i="1"/>
  <c r="Q282" i="1" s="1"/>
  <c r="N282" i="1"/>
  <c r="O282" i="1" s="1"/>
  <c r="L282" i="1"/>
  <c r="M282" i="1" s="1"/>
  <c r="T282" i="1"/>
  <c r="U282" i="1" s="1"/>
  <c r="J282" i="1"/>
  <c r="K282" i="1" s="1"/>
  <c r="R282" i="1"/>
  <c r="S282" i="1" s="1"/>
  <c r="H282" i="1"/>
  <c r="I282" i="1" s="1"/>
  <c r="I283" i="1"/>
  <c r="F369" i="1"/>
  <c r="V369" i="1" l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F252" i="1"/>
  <c r="F251" i="1"/>
  <c r="F243" i="1"/>
  <c r="F235" i="1"/>
  <c r="F220" i="1"/>
  <c r="F201" i="1"/>
  <c r="F162" i="1"/>
  <c r="V242" i="1" l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J243" i="1"/>
  <c r="K243" i="1" s="1"/>
  <c r="H243" i="1"/>
  <c r="I243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H201" i="1"/>
  <c r="I201" i="1" s="1"/>
  <c r="V215" i="1"/>
  <c r="W215" i="1" s="1"/>
  <c r="T215" i="1"/>
  <c r="U215" i="1" s="1"/>
  <c r="R215" i="1"/>
  <c r="S215" i="1" s="1"/>
  <c r="P215" i="1"/>
  <c r="Q215" i="1" s="1"/>
  <c r="N215" i="1"/>
  <c r="O215" i="1" s="1"/>
  <c r="J215" i="1"/>
  <c r="K215" i="1" s="1"/>
  <c r="L215" i="1"/>
  <c r="M215" i="1" s="1"/>
  <c r="R103" i="1"/>
  <c r="S103" i="1" s="1"/>
  <c r="P103" i="1"/>
  <c r="Q103" i="1" s="1"/>
  <c r="N103" i="1"/>
  <c r="O103" i="1" s="1"/>
  <c r="L103" i="1"/>
  <c r="M103" i="1" s="1"/>
  <c r="J103" i="1"/>
  <c r="K103" i="1" s="1"/>
  <c r="H103" i="1"/>
  <c r="I103" i="1" s="1"/>
  <c r="T103" i="1"/>
  <c r="U103" i="1" s="1"/>
  <c r="V103" i="1"/>
  <c r="W103" i="1" s="1"/>
  <c r="J220" i="1"/>
  <c r="K220" i="1" s="1"/>
  <c r="H220" i="1"/>
  <c r="I220" i="1" s="1"/>
  <c r="R251" i="1"/>
  <c r="S251" i="1" s="1"/>
  <c r="P251" i="1"/>
  <c r="Q251" i="1" s="1"/>
  <c r="N251" i="1"/>
  <c r="O251" i="1" s="1"/>
  <c r="L251" i="1"/>
  <c r="M251" i="1" s="1"/>
  <c r="V251" i="1"/>
  <c r="W251" i="1" s="1"/>
  <c r="J251" i="1"/>
  <c r="K251" i="1" s="1"/>
  <c r="H251" i="1"/>
  <c r="I251" i="1" s="1"/>
  <c r="T251" i="1"/>
  <c r="U251" i="1" s="1"/>
  <c r="L235" i="1"/>
  <c r="M235" i="1" s="1"/>
  <c r="J235" i="1"/>
  <c r="K235" i="1" s="1"/>
  <c r="H235" i="1"/>
  <c r="I235" i="1" s="1"/>
  <c r="V235" i="1"/>
  <c r="W235" i="1" s="1"/>
  <c r="T235" i="1"/>
  <c r="U235" i="1" s="1"/>
  <c r="P235" i="1"/>
  <c r="Q235" i="1" s="1"/>
  <c r="R235" i="1"/>
  <c r="S235" i="1" s="1"/>
  <c r="N235" i="1"/>
  <c r="O235" i="1" s="1"/>
  <c r="L248" i="1"/>
  <c r="M248" i="1" s="1"/>
  <c r="J248" i="1"/>
  <c r="K248" i="1" s="1"/>
  <c r="H248" i="1"/>
  <c r="I248" i="1" s="1"/>
  <c r="V248" i="1"/>
  <c r="W248" i="1" s="1"/>
  <c r="T248" i="1"/>
  <c r="U248" i="1" s="1"/>
  <c r="R248" i="1"/>
  <c r="S248" i="1" s="1"/>
  <c r="P248" i="1"/>
  <c r="Q248" i="1" s="1"/>
  <c r="N248" i="1"/>
  <c r="O248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V252" i="1"/>
  <c r="W252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L229" i="1"/>
  <c r="M229" i="1" s="1"/>
  <c r="J229" i="1"/>
  <c r="K229" i="1" s="1"/>
  <c r="H229" i="1"/>
  <c r="I229" i="1" s="1"/>
  <c r="V229" i="1"/>
  <c r="W229" i="1" s="1"/>
  <c r="T229" i="1"/>
  <c r="U229" i="1" s="1"/>
  <c r="R229" i="1"/>
  <c r="S229" i="1" s="1"/>
  <c r="P229" i="1"/>
  <c r="Q229" i="1" s="1"/>
  <c r="N229" i="1"/>
  <c r="O229" i="1" s="1"/>
  <c r="J102" i="1"/>
  <c r="K102" i="1" s="1"/>
  <c r="H102" i="1"/>
  <c r="I102" i="1" s="1"/>
  <c r="V102" i="1"/>
  <c r="W102" i="1" s="1"/>
  <c r="T102" i="1"/>
  <c r="U102" i="1" s="1"/>
  <c r="R102" i="1"/>
  <c r="S102" i="1" s="1"/>
  <c r="L102" i="1"/>
  <c r="M102" i="1" s="1"/>
  <c r="P102" i="1"/>
  <c r="Q102" i="1" s="1"/>
  <c r="N102" i="1"/>
  <c r="O102" i="1" s="1"/>
  <c r="V100" i="1"/>
  <c r="W100" i="1" s="1"/>
  <c r="T100" i="1"/>
  <c r="U100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L218" i="1"/>
  <c r="M218" i="1" s="1"/>
  <c r="J218" i="1"/>
  <c r="K218" i="1" s="1"/>
  <c r="V218" i="1"/>
  <c r="W218" i="1" s="1"/>
  <c r="T218" i="1"/>
  <c r="U218" i="1" s="1"/>
  <c r="R218" i="1"/>
  <c r="S218" i="1" s="1"/>
  <c r="P218" i="1"/>
  <c r="Q218" i="1" s="1"/>
  <c r="N218" i="1"/>
  <c r="O218" i="1" s="1"/>
  <c r="J228" i="1"/>
  <c r="K228" i="1" s="1"/>
  <c r="H228" i="1"/>
  <c r="I228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H231" i="1"/>
  <c r="I231" i="1" s="1"/>
  <c r="J231" i="1"/>
  <c r="K231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4" i="1"/>
  <c r="W214" i="1" s="1"/>
  <c r="L162" i="1"/>
  <c r="M162" i="1" s="1"/>
  <c r="J162" i="1"/>
  <c r="K162" i="1" s="1"/>
  <c r="P216" i="1"/>
  <c r="Q216" i="1" s="1"/>
  <c r="N216" i="1"/>
  <c r="O216" i="1" s="1"/>
  <c r="L216" i="1"/>
  <c r="M216" i="1" s="1"/>
  <c r="J216" i="1"/>
  <c r="K216" i="1" s="1"/>
  <c r="V216" i="1"/>
  <c r="W216" i="1" s="1"/>
  <c r="T216" i="1"/>
  <c r="U216" i="1" s="1"/>
  <c r="R216" i="1"/>
  <c r="S216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H234" i="1"/>
  <c r="I234" i="1" s="1"/>
  <c r="J234" i="1"/>
  <c r="K234" i="1" s="1"/>
  <c r="F125" i="1"/>
  <c r="F126" i="1"/>
  <c r="F633" i="1"/>
  <c r="F377" i="1"/>
  <c r="V126" i="1" l="1"/>
  <c r="W126" i="1" s="1"/>
  <c r="J126" i="1"/>
  <c r="K126" i="1" s="1"/>
  <c r="T126" i="1"/>
  <c r="U126" i="1" s="1"/>
  <c r="R126" i="1"/>
  <c r="S126" i="1" s="1"/>
  <c r="P126" i="1"/>
  <c r="Q126" i="1" s="1"/>
  <c r="N126" i="1"/>
  <c r="O126" i="1" s="1"/>
  <c r="L126" i="1"/>
  <c r="M126" i="1" s="1"/>
  <c r="N125" i="1"/>
  <c r="O125" i="1" s="1"/>
  <c r="V125" i="1"/>
  <c r="W125" i="1" s="1"/>
  <c r="R125" i="1"/>
  <c r="S125" i="1" s="1"/>
  <c r="L125" i="1"/>
  <c r="M125" i="1" s="1"/>
  <c r="J125" i="1"/>
  <c r="K125" i="1" s="1"/>
  <c r="T125" i="1"/>
  <c r="U125" i="1" s="1"/>
  <c r="P125" i="1"/>
  <c r="Q125" i="1" s="1"/>
  <c r="T349" i="1"/>
  <c r="U349" i="1" s="1"/>
  <c r="R349" i="1"/>
  <c r="S349" i="1" s="1"/>
  <c r="P349" i="1"/>
  <c r="Q349" i="1" s="1"/>
  <c r="N349" i="1"/>
  <c r="O349" i="1" s="1"/>
  <c r="L349" i="1"/>
  <c r="M349" i="1" s="1"/>
  <c r="P331" i="1"/>
  <c r="Q331" i="1" s="1"/>
  <c r="V331" i="1"/>
  <c r="W331" i="1" s="1"/>
  <c r="L331" i="1"/>
  <c r="M331" i="1" s="1"/>
  <c r="T331" i="1"/>
  <c r="U331" i="1" s="1"/>
  <c r="R331" i="1"/>
  <c r="S331" i="1" s="1"/>
  <c r="N331" i="1"/>
  <c r="O331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T377" i="1"/>
  <c r="U377" i="1" s="1"/>
  <c r="P377" i="1"/>
  <c r="Q377" i="1" s="1"/>
  <c r="L377" i="1"/>
  <c r="M377" i="1" s="1"/>
  <c r="R377" i="1"/>
  <c r="S377" i="1" s="1"/>
  <c r="V377" i="1"/>
  <c r="W377" i="1" s="1"/>
  <c r="N377" i="1"/>
  <c r="O377" i="1" s="1"/>
  <c r="G367" i="1"/>
  <c r="G375" i="1"/>
  <c r="F623" i="1"/>
  <c r="L623" i="1" s="1"/>
  <c r="V623" i="1" l="1"/>
  <c r="T623" i="1"/>
  <c r="R623" i="1"/>
  <c r="P623" i="1"/>
  <c r="N623" i="1"/>
  <c r="F410" i="1"/>
  <c r="F422" i="1"/>
  <c r="O648" i="1"/>
  <c r="L625" i="1"/>
  <c r="F556" i="1"/>
  <c r="N422" i="1" l="1"/>
  <c r="O422" i="1" s="1"/>
  <c r="H422" i="1"/>
  <c r="I422" i="1" s="1"/>
  <c r="V422" i="1"/>
  <c r="W422" i="1" s="1"/>
  <c r="R422" i="1"/>
  <c r="S422" i="1" s="1"/>
  <c r="P422" i="1"/>
  <c r="Q422" i="1" s="1"/>
  <c r="L422" i="1"/>
  <c r="M422" i="1" s="1"/>
  <c r="J422" i="1"/>
  <c r="K422" i="1" s="1"/>
  <c r="T422" i="1"/>
  <c r="U422" i="1" s="1"/>
  <c r="N105" i="1"/>
  <c r="O105" i="1" s="1"/>
  <c r="L105" i="1"/>
  <c r="M105" i="1" s="1"/>
  <c r="J105" i="1"/>
  <c r="K105" i="1" s="1"/>
  <c r="T105" i="1"/>
  <c r="U105" i="1" s="1"/>
  <c r="R105" i="1"/>
  <c r="S105" i="1" s="1"/>
  <c r="P105" i="1"/>
  <c r="Q105" i="1" s="1"/>
  <c r="H547" i="1"/>
  <c r="I547" i="1" s="1"/>
  <c r="V547" i="1"/>
  <c r="W547" i="1" s="1"/>
  <c r="T547" i="1"/>
  <c r="U547" i="1" s="1"/>
  <c r="J547" i="1"/>
  <c r="K547" i="1" s="1"/>
  <c r="L547" i="1"/>
  <c r="M547" i="1" s="1"/>
  <c r="R547" i="1"/>
  <c r="S547" i="1" s="1"/>
  <c r="N547" i="1"/>
  <c r="O547" i="1" s="1"/>
  <c r="P547" i="1"/>
  <c r="Q547" i="1" s="1"/>
  <c r="L194" i="1"/>
  <c r="M194" i="1" s="1"/>
  <c r="J194" i="1"/>
  <c r="K194" i="1" s="1"/>
  <c r="V194" i="1"/>
  <c r="W194" i="1" s="1"/>
  <c r="T194" i="1"/>
  <c r="U194" i="1" s="1"/>
  <c r="R194" i="1"/>
  <c r="S194" i="1" s="1"/>
  <c r="N194" i="1"/>
  <c r="O194" i="1" s="1"/>
  <c r="P194" i="1"/>
  <c r="Q194" i="1" s="1"/>
  <c r="N410" i="1"/>
  <c r="O410" i="1" s="1"/>
  <c r="J410" i="1"/>
  <c r="K410" i="1" s="1"/>
  <c r="T410" i="1"/>
  <c r="U410" i="1" s="1"/>
  <c r="P410" i="1"/>
  <c r="Q410" i="1" s="1"/>
  <c r="L410" i="1"/>
  <c r="M410" i="1" s="1"/>
  <c r="V410" i="1"/>
  <c r="W410" i="1" s="1"/>
  <c r="R410" i="1"/>
  <c r="S410" i="1" s="1"/>
  <c r="P489" i="1"/>
  <c r="Q489" i="1" s="1"/>
  <c r="N489" i="1"/>
  <c r="O489" i="1" s="1"/>
  <c r="R489" i="1"/>
  <c r="S489" i="1" s="1"/>
  <c r="L489" i="1"/>
  <c r="M489" i="1" s="1"/>
  <c r="J489" i="1"/>
  <c r="K489" i="1" s="1"/>
  <c r="H489" i="1"/>
  <c r="I489" i="1" s="1"/>
  <c r="T489" i="1"/>
  <c r="U489" i="1" s="1"/>
  <c r="V489" i="1"/>
  <c r="W489" i="1" s="1"/>
  <c r="T529" i="1"/>
  <c r="U529" i="1" s="1"/>
  <c r="V529" i="1"/>
  <c r="W529" i="1" s="1"/>
  <c r="H529" i="1"/>
  <c r="I529" i="1" s="1"/>
  <c r="J529" i="1"/>
  <c r="K529" i="1" s="1"/>
  <c r="P529" i="1"/>
  <c r="Q529" i="1" s="1"/>
  <c r="L529" i="1"/>
  <c r="M529" i="1" s="1"/>
  <c r="N529" i="1"/>
  <c r="O529" i="1" s="1"/>
  <c r="R529" i="1"/>
  <c r="S529" i="1" s="1"/>
  <c r="T532" i="1"/>
  <c r="U532" i="1" s="1"/>
  <c r="V532" i="1"/>
  <c r="W532" i="1" s="1"/>
  <c r="R532" i="1"/>
  <c r="S532" i="1" s="1"/>
  <c r="H532" i="1"/>
  <c r="I532" i="1" s="1"/>
  <c r="P532" i="1"/>
  <c r="Q532" i="1" s="1"/>
  <c r="J532" i="1"/>
  <c r="K532" i="1" s="1"/>
  <c r="L532" i="1"/>
  <c r="M532" i="1" s="1"/>
  <c r="N532" i="1"/>
  <c r="O532" i="1" s="1"/>
  <c r="N556" i="1"/>
  <c r="O556" i="1" s="1"/>
  <c r="L556" i="1"/>
  <c r="M556" i="1" s="1"/>
  <c r="J556" i="1"/>
  <c r="K556" i="1" s="1"/>
  <c r="H556" i="1"/>
  <c r="I556" i="1" s="1"/>
  <c r="T556" i="1"/>
  <c r="U556" i="1" s="1"/>
  <c r="V556" i="1"/>
  <c r="W556" i="1" s="1"/>
  <c r="R556" i="1"/>
  <c r="S556" i="1" s="1"/>
  <c r="P556" i="1"/>
  <c r="Q556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J187" i="1"/>
  <c r="K187" i="1" s="1"/>
  <c r="H187" i="1"/>
  <c r="I187" i="1" s="1"/>
  <c r="T530" i="1"/>
  <c r="U530" i="1" s="1"/>
  <c r="V530" i="1"/>
  <c r="W530" i="1" s="1"/>
  <c r="H530" i="1"/>
  <c r="I530" i="1" s="1"/>
  <c r="J530" i="1"/>
  <c r="K530" i="1" s="1"/>
  <c r="L530" i="1"/>
  <c r="M530" i="1" s="1"/>
  <c r="N530" i="1"/>
  <c r="O530" i="1" s="1"/>
  <c r="P530" i="1"/>
  <c r="Q530" i="1" s="1"/>
  <c r="R530" i="1"/>
  <c r="S530" i="1" s="1"/>
  <c r="V548" i="1"/>
  <c r="W548" i="1" s="1"/>
  <c r="T548" i="1"/>
  <c r="U548" i="1" s="1"/>
  <c r="H548" i="1"/>
  <c r="I548" i="1" s="1"/>
  <c r="J548" i="1"/>
  <c r="K548" i="1" s="1"/>
  <c r="L548" i="1"/>
  <c r="M548" i="1" s="1"/>
  <c r="R548" i="1"/>
  <c r="S548" i="1" s="1"/>
  <c r="N548" i="1"/>
  <c r="O548" i="1" s="1"/>
  <c r="P548" i="1"/>
  <c r="Q548" i="1" s="1"/>
  <c r="V105" i="1"/>
  <c r="W105" i="1" s="1"/>
  <c r="H105" i="1"/>
  <c r="I105" i="1" s="1"/>
  <c r="R494" i="1"/>
  <c r="S494" i="1" s="1"/>
  <c r="J494" i="1"/>
  <c r="K494" i="1" s="1"/>
  <c r="T494" i="1"/>
  <c r="U494" i="1" s="1"/>
  <c r="P494" i="1"/>
  <c r="Q494" i="1" s="1"/>
  <c r="N494" i="1"/>
  <c r="O494" i="1" s="1"/>
  <c r="L494" i="1"/>
  <c r="M494" i="1" s="1"/>
  <c r="V494" i="1"/>
  <c r="W494" i="1" s="1"/>
  <c r="N488" i="1"/>
  <c r="L488" i="1"/>
  <c r="J488" i="1"/>
  <c r="H488" i="1"/>
  <c r="R488" i="1"/>
  <c r="P488" i="1"/>
  <c r="T488" i="1"/>
  <c r="V488" i="1"/>
  <c r="V492" i="1"/>
  <c r="W492" i="1" s="1"/>
  <c r="L492" i="1"/>
  <c r="M492" i="1" s="1"/>
  <c r="T492" i="1"/>
  <c r="U492" i="1" s="1"/>
  <c r="R492" i="1"/>
  <c r="S492" i="1" s="1"/>
  <c r="P492" i="1"/>
  <c r="Q492" i="1" s="1"/>
  <c r="N492" i="1"/>
  <c r="O492" i="1" s="1"/>
  <c r="J492" i="1"/>
  <c r="K492" i="1" s="1"/>
  <c r="H492" i="1"/>
  <c r="I492" i="1" s="1"/>
  <c r="N504" i="1"/>
  <c r="O504" i="1" s="1"/>
  <c r="L504" i="1"/>
  <c r="M504" i="1" s="1"/>
  <c r="J504" i="1"/>
  <c r="K504" i="1" s="1"/>
  <c r="V504" i="1"/>
  <c r="W504" i="1" s="1"/>
  <c r="H504" i="1"/>
  <c r="I504" i="1" s="1"/>
  <c r="T504" i="1"/>
  <c r="U504" i="1" s="1"/>
  <c r="R504" i="1"/>
  <c r="S504" i="1" s="1"/>
  <c r="P504" i="1"/>
  <c r="Q504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T625" i="1"/>
  <c r="R625" i="1"/>
  <c r="P625" i="1"/>
  <c r="N625" i="1"/>
  <c r="G303" i="1" l="1"/>
  <c r="F184" i="1" l="1"/>
  <c r="V184" i="1" l="1"/>
  <c r="W184" i="1" s="1"/>
  <c r="T184" i="1"/>
  <c r="U184" i="1" s="1"/>
  <c r="R184" i="1"/>
  <c r="S184" i="1" s="1"/>
  <c r="P184" i="1"/>
  <c r="Q184" i="1" s="1"/>
  <c r="N184" i="1"/>
  <c r="O184" i="1" s="1"/>
  <c r="L184" i="1"/>
  <c r="M184" i="1" s="1"/>
  <c r="G302" i="1"/>
  <c r="N341" i="1" l="1"/>
  <c r="O341" i="1" s="1"/>
  <c r="L341" i="1"/>
  <c r="M341" i="1" s="1"/>
  <c r="J341" i="1"/>
  <c r="K341" i="1" s="1"/>
  <c r="H341" i="1"/>
  <c r="I341" i="1" s="1"/>
  <c r="F339" i="1"/>
  <c r="P339" i="1" l="1"/>
  <c r="Q339" i="1" s="1"/>
  <c r="T339" i="1"/>
  <c r="U339" i="1" s="1"/>
  <c r="R339" i="1"/>
  <c r="S339" i="1" s="1"/>
  <c r="N339" i="1"/>
  <c r="O339" i="1" s="1"/>
  <c r="L339" i="1"/>
  <c r="M339" i="1" s="1"/>
  <c r="V339" i="1"/>
  <c r="W339" i="1" s="1"/>
  <c r="G634" i="1"/>
  <c r="G505" i="1" l="1"/>
  <c r="G504" i="1" l="1"/>
  <c r="G494" i="1" l="1"/>
  <c r="H494" i="1"/>
  <c r="I494" i="1" s="1"/>
  <c r="G489" i="1"/>
  <c r="I488" i="1"/>
  <c r="M488" i="1" l="1"/>
  <c r="K488" i="1"/>
  <c r="Q488" i="1"/>
  <c r="S488" i="1"/>
  <c r="U488" i="1"/>
  <c r="W488" i="1"/>
  <c r="O488" i="1"/>
  <c r="G488" i="1"/>
  <c r="G246" i="1" l="1"/>
  <c r="G244" i="1"/>
  <c r="G231" i="1" l="1"/>
  <c r="G228" i="1"/>
  <c r="G555" i="1" l="1"/>
  <c r="G556" i="1"/>
  <c r="G468" i="1" l="1"/>
  <c r="G196" i="1" l="1"/>
  <c r="G195" i="1" l="1"/>
  <c r="G211" i="1"/>
  <c r="G533" i="1" l="1"/>
  <c r="G532" i="1"/>
  <c r="G531" i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R413" i="1"/>
  <c r="P413" i="1"/>
  <c r="N413" i="1"/>
  <c r="L413" i="1"/>
  <c r="G554" i="1" l="1"/>
  <c r="G349" i="1" l="1"/>
  <c r="F405" i="1"/>
  <c r="R405" i="1" l="1"/>
  <c r="S405" i="1" s="1"/>
  <c r="V405" i="1"/>
  <c r="W405" i="1" s="1"/>
  <c r="P405" i="1"/>
  <c r="Q405" i="1" s="1"/>
  <c r="N405" i="1"/>
  <c r="O405" i="1" s="1"/>
  <c r="L405" i="1"/>
  <c r="M405" i="1" s="1"/>
  <c r="J405" i="1"/>
  <c r="K405" i="1" s="1"/>
  <c r="T405" i="1"/>
  <c r="U405" i="1" s="1"/>
  <c r="H405" i="1"/>
  <c r="I405" i="1" s="1"/>
  <c r="G230" i="1"/>
  <c r="G362" i="1" l="1"/>
  <c r="G171" i="1" l="1"/>
  <c r="G172" i="1"/>
  <c r="U169" i="1"/>
  <c r="G164" i="1" l="1"/>
  <c r="G168" i="1"/>
  <c r="G170" i="1"/>
  <c r="I169" i="1"/>
  <c r="S169" i="1"/>
  <c r="Q169" i="1"/>
  <c r="M169" i="1"/>
  <c r="G169" i="1"/>
  <c r="K169" i="1"/>
  <c r="O169" i="1"/>
  <c r="G167" i="1"/>
  <c r="G165" i="1"/>
  <c r="G163" i="1"/>
  <c r="I163" i="1"/>
  <c r="G408" i="1" l="1"/>
  <c r="G296" i="1" l="1"/>
  <c r="G538" i="1" l="1"/>
  <c r="W558" i="1" l="1"/>
  <c r="U558" i="1"/>
  <c r="S558" i="1"/>
  <c r="Q558" i="1"/>
  <c r="O558" i="1"/>
  <c r="M558" i="1"/>
  <c r="K558" i="1"/>
  <c r="I558" i="1"/>
  <c r="W514" i="1" l="1"/>
  <c r="U514" i="1"/>
  <c r="S514" i="1"/>
  <c r="Q514" i="1"/>
  <c r="O514" i="1"/>
  <c r="M514" i="1"/>
  <c r="K514" i="1"/>
  <c r="I514" i="1"/>
  <c r="L26" i="1" l="1"/>
  <c r="M26" i="1" s="1"/>
  <c r="W37" i="1"/>
  <c r="U37" i="1"/>
  <c r="S37" i="1"/>
  <c r="Q37" i="1"/>
  <c r="O37" i="1"/>
  <c r="W58" i="1"/>
  <c r="U58" i="1"/>
  <c r="S58" i="1"/>
  <c r="Q58" i="1"/>
  <c r="O58" i="1"/>
  <c r="M58" i="1"/>
  <c r="J58" i="1"/>
  <c r="K58" i="1" s="1"/>
  <c r="W57" i="1"/>
  <c r="U57" i="1"/>
  <c r="S57" i="1"/>
  <c r="Q57" i="1"/>
  <c r="O57" i="1"/>
  <c r="M57" i="1"/>
  <c r="J57" i="1"/>
  <c r="K57" i="1" s="1"/>
  <c r="W56" i="1"/>
  <c r="U56" i="1"/>
  <c r="S56" i="1"/>
  <c r="Q56" i="1"/>
  <c r="O56" i="1"/>
  <c r="M56" i="1"/>
  <c r="J56" i="1"/>
  <c r="K56" i="1" s="1"/>
  <c r="J55" i="1"/>
  <c r="G62" i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P29" i="1"/>
  <c r="Q29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29" i="1"/>
  <c r="U29" i="1" s="1"/>
  <c r="R29" i="1"/>
  <c r="S29" i="1" s="1"/>
  <c r="J29" i="1"/>
  <c r="K29" i="1" s="1"/>
  <c r="L29" i="1"/>
  <c r="M29" i="1" s="1"/>
  <c r="N29" i="1"/>
  <c r="O29" i="1" s="1"/>
  <c r="P28" i="1"/>
  <c r="T28" i="1"/>
  <c r="R28" i="1"/>
  <c r="N28" i="1"/>
  <c r="G278" i="1" l="1"/>
  <c r="G254" i="1" l="1"/>
  <c r="G405" i="1" l="1"/>
  <c r="G252" i="1"/>
  <c r="G242" i="1"/>
  <c r="G245" i="1" l="1"/>
  <c r="G493" i="1" l="1"/>
  <c r="G492" i="1" l="1"/>
  <c r="G182" i="1"/>
  <c r="G181" i="1"/>
  <c r="G178" i="1"/>
  <c r="G176" i="1"/>
  <c r="G175" i="1"/>
  <c r="G174" i="1"/>
  <c r="G173" i="1"/>
  <c r="W176" i="1"/>
  <c r="W175" i="1"/>
  <c r="W174" i="1"/>
  <c r="W173" i="1"/>
  <c r="U173" i="1"/>
  <c r="S173" i="1"/>
  <c r="Q173" i="1"/>
  <c r="O173" i="1"/>
  <c r="I222" i="1"/>
  <c r="K615" i="1"/>
  <c r="K418" i="1"/>
  <c r="G180" i="1" l="1"/>
  <c r="G179" i="1"/>
  <c r="W178" i="1"/>
  <c r="G183" i="1"/>
  <c r="G542" i="1"/>
  <c r="I651" i="1" l="1"/>
  <c r="I650" i="1"/>
  <c r="I648" i="1"/>
  <c r="I649" i="1"/>
  <c r="W648" i="1"/>
  <c r="U648" i="1"/>
  <c r="S648" i="1"/>
  <c r="Q648" i="1"/>
  <c r="M648" i="1"/>
  <c r="K648" i="1"/>
  <c r="W513" i="1" l="1"/>
  <c r="U513" i="1" l="1"/>
  <c r="I513" i="1"/>
  <c r="M513" i="1"/>
  <c r="Q513" i="1"/>
  <c r="K513" i="1"/>
  <c r="O513" i="1"/>
  <c r="S513" i="1"/>
  <c r="G491" i="1" l="1"/>
  <c r="G490" i="1"/>
  <c r="Q346" i="1" l="1"/>
  <c r="O346" i="1"/>
  <c r="M346" i="1"/>
  <c r="U346" i="1"/>
  <c r="S346" i="1"/>
  <c r="K340" i="1"/>
  <c r="W340" i="1"/>
  <c r="Q340" i="1"/>
  <c r="I340" i="1"/>
  <c r="S340" i="1"/>
  <c r="M340" i="1"/>
  <c r="U340" i="1"/>
  <c r="O340" i="1"/>
  <c r="K308" i="1" l="1"/>
  <c r="H250" i="1" l="1"/>
  <c r="I250" i="1" s="1"/>
  <c r="W221" i="1"/>
  <c r="U221" i="1"/>
  <c r="U306" i="1"/>
  <c r="Q306" i="1"/>
  <c r="K306" i="1"/>
  <c r="O306" i="1"/>
  <c r="S306" i="1"/>
  <c r="M306" i="1"/>
  <c r="W306" i="1"/>
  <c r="V467" i="1" l="1"/>
  <c r="T467" i="1"/>
  <c r="R467" i="1"/>
  <c r="P467" i="1"/>
  <c r="N467" i="1"/>
  <c r="I467" i="1"/>
  <c r="W469" i="1"/>
  <c r="U469" i="1"/>
  <c r="S469" i="1"/>
  <c r="Q469" i="1"/>
  <c r="O469" i="1"/>
  <c r="M469" i="1"/>
  <c r="K469" i="1"/>
  <c r="I469" i="1"/>
  <c r="I566" i="1"/>
  <c r="G229" i="1" l="1"/>
  <c r="G539" i="1" l="1"/>
  <c r="G548" i="1" l="1"/>
  <c r="G545" i="1"/>
  <c r="G547" i="1"/>
  <c r="G525" i="1" l="1"/>
  <c r="S519" i="1" l="1"/>
  <c r="Q519" i="1"/>
  <c r="W519" i="1"/>
  <c r="O519" i="1"/>
  <c r="U519" i="1"/>
  <c r="M519" i="1"/>
  <c r="K519" i="1"/>
  <c r="G521" i="1"/>
  <c r="G530" i="1"/>
  <c r="G522" i="1" l="1"/>
  <c r="G529" i="1"/>
  <c r="G527" i="1"/>
  <c r="I519" i="1"/>
  <c r="G546" i="1"/>
  <c r="G544" i="1"/>
  <c r="G543" i="1"/>
  <c r="G537" i="1"/>
  <c r="G536" i="1"/>
  <c r="G535" i="1"/>
  <c r="G534" i="1"/>
  <c r="G524" i="1"/>
  <c r="G519" i="1"/>
  <c r="G280" i="1" l="1"/>
  <c r="G380" i="1" l="1"/>
  <c r="G279" i="1" l="1"/>
  <c r="G304" i="1"/>
  <c r="G293" i="1"/>
  <c r="G291" i="1"/>
  <c r="G292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4" i="1"/>
  <c r="G153" i="1" l="1"/>
  <c r="G218" i="1" l="1"/>
  <c r="G384" i="1" l="1"/>
  <c r="G632" i="1" l="1"/>
  <c r="U627" i="1" l="1"/>
  <c r="K627" i="1"/>
  <c r="S627" i="1"/>
  <c r="Q627" i="1"/>
  <c r="O627" i="1"/>
  <c r="M627" i="1"/>
  <c r="G627" i="1"/>
  <c r="U629" i="1"/>
  <c r="S629" i="1"/>
  <c r="Q629" i="1"/>
  <c r="O629" i="1"/>
  <c r="M629" i="1"/>
  <c r="K629" i="1"/>
  <c r="G629" i="1"/>
  <c r="G416" i="1" l="1"/>
  <c r="G415" i="1"/>
  <c r="M418" i="1" l="1"/>
  <c r="Q59" i="1" l="1"/>
  <c r="M59" i="1"/>
  <c r="K59" i="1"/>
  <c r="W59" i="1"/>
  <c r="U59" i="1"/>
  <c r="S59" i="1"/>
  <c r="O59" i="1"/>
  <c r="G59" i="1"/>
  <c r="G335" i="1" l="1"/>
  <c r="G220" i="1" l="1"/>
  <c r="G351" i="1" l="1"/>
  <c r="G288" i="1"/>
  <c r="G222" i="1" l="1"/>
  <c r="G223" i="1"/>
  <c r="G225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I100" i="1" l="1"/>
  <c r="M121" i="1" l="1"/>
  <c r="M119" i="1"/>
  <c r="M118" i="1"/>
  <c r="M116" i="1"/>
  <c r="M115" i="1"/>
  <c r="O110" i="1"/>
  <c r="O109" i="1"/>
  <c r="Q75" i="1" l="1"/>
  <c r="Q74" i="1"/>
  <c r="Q72" i="1"/>
  <c r="Q70" i="1"/>
  <c r="Q71" i="1"/>
  <c r="U628" i="1" l="1"/>
  <c r="S628" i="1"/>
  <c r="Q628" i="1"/>
  <c r="O628" i="1"/>
  <c r="M628" i="1"/>
  <c r="W623" i="1"/>
  <c r="U623" i="1"/>
  <c r="S623" i="1"/>
  <c r="Q623" i="1"/>
  <c r="O623" i="1"/>
  <c r="M623" i="1"/>
  <c r="W467" i="1"/>
  <c r="U467" i="1"/>
  <c r="S467" i="1"/>
  <c r="Q467" i="1"/>
  <c r="O467" i="1"/>
  <c r="M467" i="1"/>
  <c r="K467" i="1"/>
  <c r="Q432" i="1"/>
  <c r="Q413" i="1"/>
  <c r="Q411" i="1"/>
  <c r="I394" i="1"/>
  <c r="Q394" i="1"/>
  <c r="G616" i="1" l="1"/>
  <c r="G615" i="1"/>
  <c r="O212" i="1" l="1"/>
  <c r="K212" i="1"/>
  <c r="Q177" i="1"/>
  <c r="W140" i="1" l="1"/>
  <c r="U140" i="1"/>
  <c r="S140" i="1"/>
  <c r="Q140" i="1"/>
  <c r="O140" i="1"/>
  <c r="M140" i="1"/>
  <c r="K140" i="1"/>
  <c r="Q121" i="1"/>
  <c r="Q119" i="1"/>
  <c r="Q118" i="1"/>
  <c r="Q116" i="1"/>
  <c r="Q115" i="1"/>
  <c r="Q111" i="1"/>
  <c r="Q110" i="1"/>
  <c r="Q109" i="1"/>
  <c r="Q108" i="1"/>
  <c r="Q107" i="1"/>
  <c r="K106" i="1"/>
  <c r="K55" i="1"/>
  <c r="Q55" i="1"/>
  <c r="Q123" i="1" l="1"/>
  <c r="Q48" i="1" l="1"/>
  <c r="Q42" i="1"/>
  <c r="Q40" i="1"/>
  <c r="Q39" i="1"/>
  <c r="Q36" i="1"/>
  <c r="Q31" i="1"/>
  <c r="Q28" i="1" l="1"/>
  <c r="Q27" i="1"/>
  <c r="G510" i="1" l="1"/>
  <c r="G219" i="1"/>
  <c r="G233" i="1" l="1"/>
  <c r="G205" i="1"/>
  <c r="G422" i="1" l="1"/>
  <c r="G378" i="1" l="1"/>
  <c r="G410" i="1"/>
  <c r="G285" i="1"/>
  <c r="G356" i="1"/>
  <c r="G355" i="1"/>
  <c r="Q139" i="1"/>
  <c r="Q138" i="1"/>
  <c r="W40" i="1"/>
  <c r="W394" i="1"/>
  <c r="W112" i="1" l="1"/>
  <c r="O112" i="1"/>
  <c r="G126" i="1" l="1"/>
  <c r="G249" i="1" l="1"/>
  <c r="G186" i="1"/>
  <c r="G281" i="1" l="1"/>
  <c r="G377" i="1"/>
  <c r="O72" i="1" l="1"/>
  <c r="G200" i="1"/>
  <c r="G286" i="1" l="1"/>
  <c r="W70" i="1" l="1"/>
  <c r="U70" i="1"/>
  <c r="S70" i="1"/>
  <c r="O70" i="1"/>
  <c r="G282" i="1"/>
  <c r="U28" i="1" l="1"/>
  <c r="S28" i="1"/>
  <c r="O28" i="1"/>
  <c r="M28" i="1"/>
  <c r="G369" i="1" l="1"/>
  <c r="G161" i="1" l="1"/>
  <c r="G339" i="1" l="1"/>
  <c r="G633" i="1"/>
  <c r="G635" i="1"/>
  <c r="G420" i="1" l="1"/>
  <c r="G495" i="1" l="1"/>
  <c r="G41" i="1" l="1"/>
  <c r="U40" i="1"/>
  <c r="S40" i="1"/>
  <c r="O40" i="1"/>
  <c r="G40" i="1"/>
  <c r="G283" i="1" l="1"/>
  <c r="I565" i="1" l="1"/>
  <c r="G235" i="1" l="1"/>
  <c r="G243" i="1" l="1"/>
  <c r="G241" i="1"/>
  <c r="G162" i="1" l="1"/>
  <c r="G574" i="1" l="1"/>
  <c r="G573" i="1"/>
  <c r="G572" i="1"/>
  <c r="V99" i="1" l="1"/>
  <c r="T99" i="1"/>
  <c r="R99" i="1"/>
  <c r="N99" i="1"/>
  <c r="K99" i="1"/>
  <c r="G389" i="1" l="1"/>
  <c r="G294" i="1" l="1"/>
  <c r="G503" i="1" l="1"/>
  <c r="G201" i="1" l="1"/>
  <c r="G456" i="1" l="1"/>
  <c r="G392" i="1"/>
  <c r="I675" i="1" l="1"/>
  <c r="M123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19" i="1" l="1"/>
  <c r="W123" i="1" l="1"/>
  <c r="G512" i="1" l="1"/>
  <c r="G511" i="1"/>
  <c r="G498" i="1"/>
  <c r="G500" i="1"/>
  <c r="G508" i="1"/>
  <c r="G507" i="1"/>
  <c r="G449" i="1" l="1"/>
  <c r="G383" i="1" l="1"/>
  <c r="G284" i="1" l="1"/>
  <c r="G301" i="1"/>
  <c r="G287" i="1"/>
  <c r="G300" i="1" l="1"/>
  <c r="G299" i="1"/>
  <c r="G217" i="1" l="1"/>
  <c r="G10" i="1"/>
  <c r="G207" i="1" l="1"/>
  <c r="G623" i="1" l="1"/>
  <c r="U394" i="1" l="1"/>
  <c r="S394" i="1"/>
  <c r="O394" i="1"/>
  <c r="M394" i="1"/>
  <c r="K394" i="1"/>
  <c r="G208" i="1"/>
  <c r="O36" i="1"/>
  <c r="G185" i="1" l="1"/>
  <c r="G269" i="1" l="1"/>
  <c r="G271" i="1"/>
  <c r="G270" i="1"/>
  <c r="G381" i="1" l="1"/>
  <c r="G382" i="1"/>
  <c r="S42" i="1" l="1"/>
  <c r="G112" i="1" l="1"/>
  <c r="G446" i="1" l="1"/>
  <c r="G631" i="1" l="1"/>
  <c r="G628" i="1"/>
  <c r="G268" i="1"/>
  <c r="G209" i="1"/>
  <c r="G206" i="1"/>
  <c r="G204" i="1"/>
  <c r="G198" i="1"/>
  <c r="G199" i="1"/>
  <c r="G197" i="1"/>
  <c r="G106" i="1"/>
  <c r="G65" i="1"/>
  <c r="G64" i="1"/>
  <c r="G24" i="1"/>
  <c r="G22" i="1"/>
  <c r="G23" i="1"/>
  <c r="G374" i="1" l="1"/>
  <c r="U411" i="1" l="1"/>
  <c r="S411" i="1"/>
  <c r="M411" i="1"/>
  <c r="O411" i="1"/>
  <c r="G411" i="1"/>
  <c r="J454" i="1" l="1"/>
  <c r="J452" i="1"/>
  <c r="J451" i="1"/>
  <c r="J450" i="1"/>
  <c r="J453" i="1"/>
  <c r="J449" i="1"/>
  <c r="W111" i="1" l="1"/>
  <c r="U111" i="1"/>
  <c r="S111" i="1"/>
  <c r="O111" i="1"/>
  <c r="G21" i="1"/>
  <c r="K20" i="1"/>
  <c r="G413" i="1"/>
  <c r="M413" i="1"/>
  <c r="O413" i="1"/>
  <c r="S413" i="1"/>
  <c r="U413" i="1"/>
  <c r="W346" i="1"/>
  <c r="G152" i="1"/>
  <c r="G258" i="1" l="1"/>
  <c r="G261" i="1" l="1"/>
  <c r="G26" i="1" l="1"/>
  <c r="G502" i="1" l="1"/>
  <c r="G56" i="1" l="1"/>
  <c r="G58" i="1"/>
  <c r="O31" i="1"/>
  <c r="G60" i="1"/>
  <c r="U31" i="1" l="1"/>
  <c r="G194" i="1"/>
  <c r="W563" i="1" l="1"/>
  <c r="U563" i="1"/>
  <c r="S563" i="1"/>
  <c r="Q563" i="1"/>
  <c r="O563" i="1"/>
  <c r="M563" i="1"/>
  <c r="K563" i="1"/>
  <c r="G29" i="1"/>
  <c r="G305" i="1"/>
  <c r="O123" i="1"/>
  <c r="S123" i="1"/>
  <c r="U123" i="1"/>
  <c r="G298" i="1" l="1"/>
  <c r="G570" i="1" l="1"/>
  <c r="G13" i="1" l="1"/>
  <c r="G469" i="1" l="1"/>
  <c r="G142" i="1" l="1"/>
  <c r="G114" i="1"/>
  <c r="G113" i="1"/>
  <c r="G12" i="1"/>
  <c r="G20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6" i="1"/>
  <c r="K96" i="1"/>
  <c r="M96" i="1"/>
  <c r="N96" i="1"/>
  <c r="G97" i="1"/>
  <c r="G98" i="1"/>
  <c r="G99" i="1"/>
  <c r="G100" i="1"/>
  <c r="G102" i="1"/>
  <c r="G103" i="1"/>
  <c r="G104" i="1"/>
  <c r="G105" i="1"/>
  <c r="G111" i="1"/>
  <c r="G123" i="1"/>
  <c r="G125" i="1"/>
  <c r="G134" i="1"/>
  <c r="Q134" i="1"/>
  <c r="G135" i="1"/>
  <c r="Q135" i="1"/>
  <c r="G138" i="1"/>
  <c r="G139" i="1"/>
  <c r="G146" i="1"/>
  <c r="G154" i="1"/>
  <c r="G155" i="1"/>
  <c r="G177" i="1"/>
  <c r="M177" i="1"/>
  <c r="O177" i="1"/>
  <c r="S177" i="1"/>
  <c r="U177" i="1"/>
  <c r="W177" i="1"/>
  <c r="G184" i="1"/>
  <c r="G187" i="1"/>
  <c r="G203" i="1"/>
  <c r="G212" i="1"/>
  <c r="G213" i="1"/>
  <c r="M213" i="1"/>
  <c r="P213" i="1"/>
  <c r="G214" i="1"/>
  <c r="G215" i="1"/>
  <c r="G216" i="1"/>
  <c r="G221" i="1"/>
  <c r="G234" i="1"/>
  <c r="G248" i="1"/>
  <c r="G250" i="1"/>
  <c r="G251" i="1"/>
  <c r="G253" i="1"/>
  <c r="G255" i="1"/>
  <c r="G256" i="1"/>
  <c r="G257" i="1"/>
  <c r="G259" i="1"/>
  <c r="G260" i="1"/>
  <c r="G272" i="1"/>
  <c r="G273" i="1"/>
  <c r="G307" i="1"/>
  <c r="G308" i="1"/>
  <c r="G309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6" i="1"/>
  <c r="G337" i="1"/>
  <c r="G338" i="1"/>
  <c r="G340" i="1"/>
  <c r="G341" i="1"/>
  <c r="G345" i="1"/>
  <c r="G346" i="1"/>
  <c r="G347" i="1"/>
  <c r="G348" i="1"/>
  <c r="G352" i="1"/>
  <c r="G353" i="1"/>
  <c r="G354" i="1"/>
  <c r="G357" i="1"/>
  <c r="G364" i="1"/>
  <c r="G365" i="1"/>
  <c r="G366" i="1"/>
  <c r="G368" i="1"/>
  <c r="G370" i="1"/>
  <c r="G371" i="1"/>
  <c r="G372" i="1"/>
  <c r="G373" i="1"/>
  <c r="G385" i="1"/>
  <c r="G387" i="1"/>
  <c r="G391" i="1"/>
  <c r="G393" i="1"/>
  <c r="G394" i="1"/>
  <c r="G414" i="1"/>
  <c r="G417" i="1"/>
  <c r="G421" i="1"/>
  <c r="G432" i="1"/>
  <c r="O432" i="1"/>
  <c r="S432" i="1"/>
  <c r="U432" i="1"/>
  <c r="W432" i="1"/>
  <c r="G433" i="1"/>
  <c r="G434" i="1"/>
  <c r="G435" i="1"/>
  <c r="G436" i="1"/>
  <c r="G443" i="1"/>
  <c r="G444" i="1"/>
  <c r="G447" i="1"/>
  <c r="G450" i="1"/>
  <c r="G451" i="1"/>
  <c r="G452" i="1"/>
  <c r="G453" i="1"/>
  <c r="G454" i="1"/>
  <c r="G457" i="1"/>
  <c r="G458" i="1"/>
  <c r="G459" i="1"/>
  <c r="G461" i="1"/>
  <c r="G462" i="1"/>
  <c r="G464" i="1"/>
  <c r="G465" i="1"/>
  <c r="G467" i="1"/>
  <c r="G506" i="1"/>
  <c r="G625" i="1"/>
  <c r="M625" i="1"/>
  <c r="O625" i="1"/>
  <c r="Q625" i="1"/>
  <c r="S625" i="1"/>
  <c r="U625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charset val="1"/>
          </rPr>
          <t>CONSULTAR ADICIONAL POR IMPRESIÓN DE LOGO EN LA CAJA</t>
        </r>
      </text>
    </commen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<sst xmlns="http://schemas.openxmlformats.org/spreadsheetml/2006/main" count="1108" uniqueCount="921">
  <si>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</si>
  <si>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</si>
  <si>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</si>
  <si>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</si>
  <si>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</si>
  <si>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</si>
  <si>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</si>
  <si>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</si>
  <si>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</si>
  <si>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</si>
  <si>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</si>
  <si>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</si>
  <si>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</si>
  <si>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</si>
  <si>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</si>
  <si>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</si>
  <si>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</si>
  <si>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</si>
  <si>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</si>
  <si>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</si>
  <si>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</si>
  <si>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</si>
  <si>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</si>
  <si>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</si>
  <si>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</si>
  <si>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</si>
  <si>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</si>
  <si>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</si>
  <si>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</si>
  <si>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</si>
  <si>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</si>
  <si>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</si>
  <si>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</si>
  <si>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</si>
  <si>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</si>
  <si>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</si>
  <si>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</si>
  <si>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</si>
  <si>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</si>
  <si>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</si>
  <si>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</si>
  <si>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</si>
  <si>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</si>
  <si>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</si>
  <si>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</si>
  <si>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</si>
  <si>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</si>
  <si>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</si>
  <si>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</si>
  <si>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</si>
  <si>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</si>
  <si>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</si>
  <si>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</si>
  <si>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</si>
  <si>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</si>
  <si>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</si>
  <si>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</si>
  <si>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</si>
  <si>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</si>
  <si>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</si>
  <si>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</si>
  <si>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</si>
  <si>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</si>
  <si>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</si>
  <si>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</si>
  <si>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</si>
  <si>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</si>
  <si>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</si>
  <si>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</si>
  <si>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</si>
  <si>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</si>
  <si>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</si>
  <si>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</si>
  <si>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</si>
  <si>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</si>
  <si>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</si>
  <si>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</si>
  <si>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</si>
  <si>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</si>
  <si>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</si>
  <si>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</si>
  <si>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</si>
  <si>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</si>
  <si>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</si>
  <si>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</si>
  <si>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</si>
  <si>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</si>
  <si>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</si>
  <si>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</si>
  <si>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</si>
  <si>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</si>
  <si>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</si>
  <si>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</si>
  <si>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</si>
  <si>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</si>
  <si>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</si>
  <si>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</si>
  <si>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</si>
  <si>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</si>
  <si>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</si>
  <si>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</si>
  <si>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</si>
  <si>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</si>
  <si>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</si>
  <si>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</si>
  <si>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</si>
  <si>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</si>
  <si>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</si>
  <si>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</si>
  <si>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</si>
  <si>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</si>
  <si>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</si>
  <si>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</si>
  <si>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</si>
  <si>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</si>
  <si>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</si>
  <si>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</si>
  <si>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</si>
  <si>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</si>
  <si>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</si>
  <si>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</si>
  <si>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</si>
  <si>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</si>
  <si>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</si>
  <si>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</si>
  <si>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</si>
  <si>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</si>
  <si>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</si>
  <si>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</si>
  <si>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</si>
  <si>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</si>
  <si>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</si>
  <si>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</si>
  <si>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</si>
  <si>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</si>
  <si>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</si>
  <si>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</si>
  <si>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</si>
  <si>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</si>
  <si>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</si>
  <si>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</si>
  <si>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</si>
  <si>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</si>
  <si>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</si>
  <si>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</si>
  <si>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</si>
  <si>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</si>
  <si>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</si>
  <si>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</si>
  <si>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</si>
  <si>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</si>
  <si>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</si>
  <si>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</si>
  <si>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</si>
  <si>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</si>
  <si>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</si>
  <si>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</si>
  <si>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</si>
  <si>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</si>
  <si>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</si>
  <si>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</si>
  <si>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</si>
  <si>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</si>
  <si>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</si>
  <si>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</si>
  <si>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</si>
  <si>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</si>
  <si>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</si>
  <si>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</si>
  <si>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</si>
  <si>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</si>
  <si>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</si>
  <si>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</si>
  <si>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</si>
  <si>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</si>
  <si>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</si>
  <si>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</si>
  <si>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</si>
  <si>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</si>
  <si>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</si>
  <si>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</si>
  <si>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</si>
  <si>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</si>
  <si>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</si>
  <si>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</si>
  <si>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</si>
  <si>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</si>
  <si>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</si>
  <si>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</si>
  <si>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</si>
  <si>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</si>
  <si>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</si>
  <si>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</si>
  <si>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</si>
  <si>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</si>
  <si>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</si>
  <si>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</si>
  <si>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</si>
  <si>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</si>
  <si>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</si>
  <si>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</si>
  <si>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</si>
  <si>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</si>
  <si>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</si>
  <si>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</si>
  <si>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</si>
  <si>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</si>
  <si>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</si>
  <si>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</si>
  <si>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</si>
  <si>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</si>
  <si>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</si>
  <si>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</si>
  <si>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</si>
  <si>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</si>
  <si>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</si>
  <si>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</si>
  <si>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</si>
  <si>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</si>
  <si>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</si>
  <si>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</si>
  <si>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</si>
  <si>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</si>
  <si>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</si>
  <si>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</si>
  <si>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</si>
  <si>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</si>
  <si>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</si>
  <si>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</si>
  <si>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</si>
  <si>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</si>
  <si>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</si>
  <si>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</si>
  <si>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</si>
  <si>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</si>
  <si>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</si>
  <si>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</si>
  <si>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</si>
  <si>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</si>
  <si>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</si>
  <si>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</si>
  <si>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</si>
  <si>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</si>
  <si>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</si>
  <si>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</si>
  <si>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</si>
  <si>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</si>
  <si>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</si>
  <si>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</si>
  <si>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</si>
  <si>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</si>
  <si>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</si>
  <si>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</si>
  <si>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</si>
  <si>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</si>
  <si>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</si>
  <si>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</si>
  <si>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</si>
  <si>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</si>
  <si>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</si>
  <si>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</si>
  <si>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</si>
  <si>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</si>
  <si>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</si>
  <si>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</si>
  <si>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</si>
  <si>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</si>
  <si>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</si>
  <si>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</si>
  <si>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</si>
  <si>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</si>
  <si>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</si>
  <si>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</si>
  <si>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</si>
  <si>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</si>
  <si>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</si>
  <si>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</si>
  <si>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</si>
  <si>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</si>
  <si>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</si>
  <si>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</si>
  <si>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</si>
  <si>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</si>
  <si>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</si>
  <si>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</si>
  <si>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</si>
  <si>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</si>
  <si>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</si>
  <si>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</si>
  <si>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</si>
  <si>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</si>
  <si>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</si>
  <si>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</si>
  <si>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</si>
  <si>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</si>
  <si>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</si>
  <si>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</si>
  <si>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</si>
  <si>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</si>
  <si>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</si>
  <si>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</si>
  <si>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</si>
  <si>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</si>
  <si>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</si>
  <si>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</si>
  <si>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</si>
  <si>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</si>
  <si>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</si>
  <si>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</si>
  <si>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</si>
  <si>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</si>
  <si>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</si>
  <si>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</si>
  <si>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</si>
  <si>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</si>
  <si>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</si>
  <si>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</si>
  <si>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</si>
  <si>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</si>
  <si>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</si>
  <si>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</si>
  <si>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</si>
  <si>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</si>
  <si>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</si>
  <si>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</si>
  <si>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</si>
  <si>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</si>
  <si>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</si>
  <si>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</si>
  <si>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</si>
  <si>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</si>
  <si>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</si>
  <si>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</si>
  <si>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</si>
  <si>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</si>
  <si>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</si>
  <si>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</si>
  <si>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</si>
  <si>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</si>
  <si>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</si>
  <si>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</si>
  <si>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</si>
  <si>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</si>
  <si>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</si>
  <si>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</si>
  <si>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</si>
  <si>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</si>
  <si>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</si>
  <si>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</si>
  <si>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</si>
  <si>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</si>
  <si>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</si>
  <si>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</si>
  <si>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</si>
  <si>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</si>
  <si>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</si>
  <si>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</si>
  <si>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</si>
  <si>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</si>
  <si>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</si>
  <si>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</si>
  <si>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</si>
  <si>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</si>
  <si>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</si>
  <si>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</si>
  <si>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</si>
  <si>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</si>
  <si>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</si>
  <si>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</si>
  <si>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</si>
  <si>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</si>
  <si>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</si>
  <si>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</si>
  <si>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</si>
  <si>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</si>
  <si>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</si>
  <si>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</si>
  <si>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</si>
  <si>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</si>
  <si>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</si>
  <si>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</si>
  <si>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</si>
  <si>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</si>
  <si>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</si>
  <si>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</si>
  <si>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</si>
  <si>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</si>
  <si>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</si>
  <si>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</si>
  <si>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</si>
  <si>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</si>
  <si>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</si>
  <si>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</si>
  <si>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</si>
  <si>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</si>
  <si>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</si>
  <si>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</si>
  <si>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</si>
  <si>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</si>
  <si>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</si>
  <si>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</si>
  <si>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</si>
  <si>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</si>
  <si>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</si>
  <si>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</si>
  <si>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</si>
  <si>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</si>
  <si>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</si>
  <si>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</si>
  <si>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</si>
  <si>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</si>
  <si>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</si>
  <si>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</si>
  <si>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</si>
  <si>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</si>
  <si>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</si>
  <si>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</si>
  <si>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</si>
  <si>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</si>
  <si>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</si>
  <si>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</si>
  <si>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</si>
  <si>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</si>
  <si>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</si>
  <si>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</si>
  <si>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</si>
  <si>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</si>
  <si>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</si>
  <si>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</si>
  <si>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</si>
  <si>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</si>
  <si>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</si>
  <si>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</si>
  <si>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</si>
  <si>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</si>
  <si>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</si>
  <si>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</si>
  <si>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</si>
  <si>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</si>
  <si>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</si>
  <si>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</si>
  <si>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</si>
  <si>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</si>
  <si>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</si>
  <si>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</si>
  <si>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</si>
  <si>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</si>
  <si>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</si>
  <si>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</si>
  <si>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</si>
  <si>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</si>
  <si>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</si>
  <si>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</si>
  <si>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</si>
  <si>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</si>
  <si>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</si>
  <si>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</si>
  <si>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</si>
  <si>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</si>
  <si>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</si>
  <si>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</si>
  <si>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</si>
  <si>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</si>
  <si>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</si>
  <si>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</si>
  <si>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</si>
  <si>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</si>
  <si>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</si>
  <si>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</si>
  <si>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</si>
  <si>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</si>
  <si>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</si>
  <si>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</si>
  <si>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</si>
  <si>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</si>
  <si>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</si>
  <si>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</si>
  <si>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</si>
  <si>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</si>
  <si>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</si>
  <si>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00028 - Mate de madera forrado en cuero</t>
  </si>
  <si>
    <t>IR A PAGINA 4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</si>
  <si>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</si>
  <si>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</si>
  <si>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</si>
  <si>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</si>
  <si>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</si>
  <si>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</si>
  <si>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</si>
  <si>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</si>
  <si>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</si>
  <si>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</si>
  <si>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</si>
  <si>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</si>
  <si>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</si>
  <si>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</si>
  <si>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</si>
  <si>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</si>
  <si>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</si>
  <si>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</si>
  <si>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</si>
  <si>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</si>
  <si>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</si>
  <si>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</si>
  <si>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</si>
  <si>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</si>
  <si>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</si>
  <si>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</si>
  <si>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</si>
  <si>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</si>
  <si>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</si>
  <si>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</si>
  <si>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</si>
  <si>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</si>
  <si>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</si>
  <si>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</si>
  <si>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</si>
  <si>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</si>
  <si>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</si>
  <si>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</si>
  <si>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</si>
  <si>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</si>
  <si>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</si>
  <si>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</si>
  <si>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</si>
  <si>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</si>
  <si>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</si>
  <si>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</si>
  <si>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</si>
  <si>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</si>
  <si>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</si>
  <si>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</si>
  <si>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</si>
  <si>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</si>
  <si>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</si>
  <si>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</si>
  <si>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</si>
  <si>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</si>
  <si>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</si>
  <si>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</si>
  <si>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</si>
  <si>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</si>
  <si>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</si>
  <si>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</si>
  <si>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</si>
  <si>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</si>
  <si>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</si>
  <si>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</si>
  <si>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</si>
  <si>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</si>
  <si>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</si>
  <si>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</si>
  <si>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</si>
  <si>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</si>
  <si>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</si>
  <si>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</si>
  <si>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</si>
  <si>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</si>
  <si>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</si>
  <si>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</si>
  <si>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</si>
  <si>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</si>
  <si>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</si>
  <si>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</si>
  <si>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</si>
  <si>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</si>
  <si>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</si>
  <si>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</si>
  <si>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</si>
  <si>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</si>
  <si>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</si>
  <si>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</si>
  <si>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</si>
  <si>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</si>
  <si>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</si>
  <si>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</si>
  <si>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</si>
  <si>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</si>
  <si>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</si>
  <si>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</si>
  <si>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</si>
  <si>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</si>
  <si>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</si>
  <si>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</si>
  <si>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</si>
  <si>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</si>
  <si>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</si>
  <si>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</si>
  <si>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</si>
  <si>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</si>
  <si>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</si>
  <si>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</si>
  <si>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</si>
  <si>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</si>
  <si>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</si>
  <si>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</si>
  <si>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</si>
  <si>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</si>
  <si>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</si>
  <si>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</si>
  <si>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</si>
  <si>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</si>
  <si>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</si>
  <si>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</si>
  <si>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</si>
  <si>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</si>
  <si>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</si>
  <si>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</si>
  <si>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</si>
  <si>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</si>
  <si>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</si>
  <si>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</si>
  <si>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</si>
  <si>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</si>
  <si>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</si>
  <si>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</si>
  <si>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</si>
  <si>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</si>
  <si>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</si>
  <si>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</si>
  <si>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</si>
  <si>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</si>
  <si>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</si>
  <si>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</si>
  <si>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</si>
  <si>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</si>
  <si>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</si>
  <si>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</si>
  <si>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</si>
  <si>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</si>
  <si>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</si>
  <si>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</si>
  <si>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</si>
  <si>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</si>
  <si>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</si>
  <si>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</si>
  <si>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</si>
  <si>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</si>
  <si>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</si>
  <si>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</si>
  <si>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</si>
  <si>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</si>
  <si>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</si>
  <si>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</si>
  <si>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</si>
  <si>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</si>
  <si>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02257 - Lapiz Infinity metálico aleación grafito - Con goma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</si>
  <si>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</si>
  <si>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</si>
  <si>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</si>
  <si>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</si>
  <si>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</si>
  <si>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</si>
  <si>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</si>
  <si>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</si>
  <si>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</si>
  <si>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</si>
  <si>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</si>
  <si>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</si>
  <si>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</si>
  <si>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</si>
  <si>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</si>
  <si>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</si>
  <si>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</si>
  <si>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</si>
  <si>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</si>
  <si>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</si>
  <si>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</si>
  <si>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</si>
  <si>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</si>
  <si>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</si>
  <si>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</si>
  <si>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</si>
  <si>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</si>
  <si>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</si>
  <si>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</si>
  <si>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</si>
  <si>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</si>
  <si>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</si>
  <si>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</si>
  <si>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</si>
  <si>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</si>
  <si>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</si>
  <si>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</si>
  <si>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</si>
  <si>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</si>
  <si>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</si>
  <si>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</si>
  <si>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</si>
  <si>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</si>
  <si>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</si>
  <si>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</si>
  <si>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</si>
  <si>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</si>
  <si>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</si>
  <si>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</si>
  <si>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</si>
  <si>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</si>
  <si>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</si>
  <si>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</si>
  <si>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</si>
  <si>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</si>
  <si>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</si>
  <si>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</si>
  <si>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</si>
  <si>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</si>
  <si>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</si>
  <si>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</si>
  <si>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</si>
  <si>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</si>
  <si>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</si>
  <si>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</si>
  <si>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</si>
  <si>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</si>
  <si>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</si>
  <si>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</si>
  <si>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</si>
  <si>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</si>
  <si>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</si>
  <si>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</si>
  <si>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</si>
  <si>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</si>
  <si>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</si>
  <si>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</si>
  <si>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</si>
  <si>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</si>
  <si>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</si>
  <si>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</si>
  <si>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</si>
  <si>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</si>
  <si>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</si>
  <si>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</si>
  <si>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</si>
  <si>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</si>
  <si>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</si>
  <si>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</si>
  <si>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</si>
  <si>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</si>
  <si>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</si>
  <si>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</si>
  <si>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</si>
  <si>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</si>
  <si>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</si>
  <si>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</si>
  <si>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</si>
  <si>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</si>
  <si>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</si>
  <si>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</si>
  <si>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</si>
  <si>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</si>
  <si>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</si>
  <si>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</si>
  <si>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</si>
  <si>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</si>
  <si>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</si>
  <si>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</si>
  <si>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</si>
  <si>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</si>
  <si>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</si>
  <si>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</si>
  <si>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</si>
  <si>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</si>
  <si>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</si>
  <si>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</si>
  <si>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</si>
  <si>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</si>
  <si>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</si>
  <si>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</si>
  <si>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</si>
  <si>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</si>
  <si>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</si>
  <si>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</si>
  <si>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</si>
  <si>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</si>
  <si>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</si>
  <si>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</si>
  <si>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</si>
  <si>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</si>
  <si>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</si>
  <si>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</si>
  <si>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</si>
  <si>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</si>
  <si>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</si>
  <si>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</si>
  <si>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</si>
  <si>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</si>
  <si>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</si>
  <si>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</si>
  <si>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</si>
  <si>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</si>
  <si>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</si>
  <si>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02505 - Tubo con 8 lápices de colores</t>
  </si>
  <si>
    <t>00896 - Paraguas gigante reforzado combinado o blanco</t>
  </si>
  <si>
    <t>02351 - Bolígrafo metálico Stylus medio giro touch</t>
  </si>
  <si>
    <t>00045 - Encendedor blanco impreso de un lado</t>
  </si>
  <si>
    <t>05003-1 - Llavero Cinta Métrica 1 metro con impresión digital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</si>
  <si>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</si>
  <si>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</si>
  <si>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</si>
  <si>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</si>
  <si>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</si>
  <si>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</si>
  <si>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</si>
  <si>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</si>
  <si>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</si>
  <si>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</si>
  <si>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</si>
  <si>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</si>
  <si>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</si>
  <si>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</si>
  <si>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01027 - Botella de plástico 550ml tapa a rosca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</si>
  <si>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</si>
  <si>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</si>
  <si>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</si>
  <si>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</si>
  <si>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</si>
  <si>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</si>
  <si>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</si>
  <si>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</si>
  <si>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</si>
  <si>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</si>
  <si>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</si>
  <si>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</si>
  <si>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00014 - Regla 30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</si>
  <si>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</si>
  <si>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</si>
  <si>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</si>
  <si>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</si>
  <si>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</si>
  <si>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</si>
  <si>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</si>
  <si>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00085 - Portapatente cerrado blanco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</si>
  <si>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</si>
  <si>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</si>
  <si>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</si>
  <si>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</si>
  <si>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</si>
  <si>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02332 - Set Bolígrafo touch y Portaminas Bambú clip de metal</t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</si>
  <si>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</si>
  <si>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</si>
  <si>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</si>
  <si>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</si>
  <si>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</si>
  <si>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</si>
  <si>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</si>
  <si>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</si>
  <si>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</si>
  <si>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</si>
  <si>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</si>
  <si>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45/01</t>
  </si>
  <si>
    <t>45/01 - Juego cuchillo y tenedor parrillero en estuche</t>
  </si>
  <si>
    <t>27/02</t>
  </si>
  <si>
    <t>46/01 - Tabla premium bambú 40x30cm con cuchilla y afilador</t>
  </si>
  <si>
    <t>46/01</t>
  </si>
  <si>
    <t>00940 - Libreta ecológica 13,8 x 18cm con bolígrafo hoja lisa</t>
  </si>
  <si>
    <t>00991</t>
  </si>
  <si>
    <t>00994 - Set parrillero 4 piezas en estuche</t>
  </si>
  <si>
    <t>00991 - Set parrillero grande premium 3 piezas en estuche</t>
  </si>
  <si>
    <t>00994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</si>
  <si>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</si>
  <si>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</si>
  <si>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</si>
  <si>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</si>
  <si>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</si>
  <si>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</si>
  <si>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</si>
  <si>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</si>
  <si>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</si>
  <si>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</si>
  <si>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</si>
  <si>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</si>
  <si>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</si>
  <si>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</si>
  <si>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00605 - Mochila NOMAWALK® Picnic 18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</si>
  <si>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</si>
  <si>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</si>
  <si>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</si>
  <si>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</si>
  <si>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</si>
  <si>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</si>
  <si>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</si>
  <si>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</si>
  <si>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</si>
  <si>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</si>
  <si>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</si>
  <si>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</si>
  <si>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</si>
  <si>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</si>
  <si>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</si>
  <si>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</si>
  <si>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</si>
  <si>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</si>
  <si>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t>00608 - Mochila NOMAWALK® Free Flow 12 litros</t>
  </si>
  <si>
    <t>00572-1 - Bolsa mochila botinero poliéster 210D 14 litros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</si>
  <si>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</si>
  <si>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</si>
  <si>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</si>
  <si>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</si>
  <si>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</si>
  <si>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LISTA DE PRECIOS Nº 6 / 2024 (En Pesos)  -  NO INCLUYE I.V.A.  -  JUNIO 2024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</si>
  <si>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</si>
  <si>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</si>
  <si>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</si>
  <si>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</si>
  <si>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</si>
  <si>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01026 - Botella de plástico 550ml tapa a rosca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</si>
  <si>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</si>
  <si>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</si>
  <si>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</si>
  <si>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>01045 - Vaso térmico acero PAMPERO® PUELO 590 ml</t>
  </si>
  <si>
    <t>01046 - Vaso térmico acero PAMPERO® MAIPO 600 ml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</si>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</sst>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7" formatCode="00000"/>
    <numFmt numFmtId="168" formatCode="_-[$€]* #.##0.00_-;\-[$€]* #.##0.00_-;_-[$€]* &quot;-&quot;??_-;_-@_-"/>
    <numFmt numFmtId="169" formatCode="&quot;$&quot;\ #,##0"/>
  </numFmts>
  <fonts count="12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1"/>
      <name val="Tahoma"/>
      <charset val="1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9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8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0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61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0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2" fillId="2" borderId="0" xfId="0" applyFont="1" applyFill="1"/>
    <xf numFmtId="0" fontId="73" fillId="2" borderId="0" xfId="0" applyFont="1" applyFill="1"/>
    <xf numFmtId="2" fontId="72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3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4" fillId="2" borderId="0" xfId="0" applyFont="1" applyFill="1"/>
    <xf numFmtId="2" fontId="69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69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10" xfId="0" applyNumberFormat="1" applyFont="1" applyFill="1" applyBorder="1" applyAlignment="1">
      <alignment horizontal="center" vertical="center"/>
    </xf>
    <xf numFmtId="2" fontId="64" fillId="8" borderId="7" xfId="0" applyNumberFormat="1" applyFont="1" applyFill="1" applyBorder="1" applyAlignment="1">
      <alignment horizontal="center" vertical="center"/>
    </xf>
    <xf numFmtId="2" fontId="64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5" fillId="5" borderId="0" xfId="2" applyFont="1" applyFill="1" applyAlignment="1" applyProtection="1"/>
    <xf numFmtId="0" fontId="72" fillId="5" borderId="0" xfId="0" applyFont="1" applyFill="1" applyAlignment="1"/>
    <xf numFmtId="0" fontId="70" fillId="2" borderId="0" xfId="0" applyFont="1" applyFill="1" applyBorder="1"/>
    <xf numFmtId="2" fontId="76" fillId="8" borderId="3" xfId="0" applyNumberFormat="1" applyFont="1" applyFill="1" applyBorder="1" applyAlignment="1">
      <alignment horizontal="center" vertical="center"/>
    </xf>
    <xf numFmtId="0" fontId="65" fillId="5" borderId="3" xfId="0" applyFont="1" applyFill="1" applyBorder="1"/>
    <xf numFmtId="2" fontId="64" fillId="8" borderId="5" xfId="0" applyNumberFormat="1" applyFont="1" applyFill="1" applyBorder="1" applyAlignment="1">
      <alignment horizontal="center" vertical="center"/>
    </xf>
    <xf numFmtId="2" fontId="64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6" fillId="5" borderId="0" xfId="0" applyFont="1" applyFill="1" applyAlignment="1">
      <alignment horizontal="center" vertical="center"/>
    </xf>
    <xf numFmtId="0" fontId="65" fillId="8" borderId="3" xfId="0" applyFont="1" applyFill="1" applyBorder="1"/>
    <xf numFmtId="2" fontId="63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5" fillId="5" borderId="0" xfId="0" applyFont="1" applyFill="1" applyBorder="1" applyAlignment="1">
      <alignment horizontal="center" vertical="center" wrapText="1"/>
    </xf>
    <xf numFmtId="2" fontId="64" fillId="0" borderId="3" xfId="0" applyNumberFormat="1" applyFont="1" applyBorder="1" applyAlignment="1">
      <alignment horizontal="center" vertical="center"/>
    </xf>
    <xf numFmtId="2" fontId="64" fillId="5" borderId="7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4" fillId="5" borderId="3" xfId="3" applyNumberFormat="1" applyFont="1" applyFill="1" applyBorder="1" applyAlignment="1">
      <alignment horizontal="center" vertical="center"/>
    </xf>
    <xf numFmtId="2" fontId="64" fillId="8" borderId="3" xfId="3" applyNumberFormat="1" applyFont="1" applyFill="1" applyBorder="1" applyAlignment="1">
      <alignment horizontal="center" vertical="center"/>
    </xf>
    <xf numFmtId="2" fontId="64" fillId="5" borderId="13" xfId="0" applyNumberFormat="1" applyFont="1" applyFill="1" applyBorder="1" applyAlignment="1">
      <alignment horizontal="center" vertical="center"/>
    </xf>
    <xf numFmtId="2" fontId="64" fillId="5" borderId="0" xfId="0" applyNumberFormat="1" applyFont="1" applyFill="1" applyBorder="1" applyAlignment="1">
      <alignment horizontal="center" vertical="center"/>
    </xf>
    <xf numFmtId="2" fontId="64" fillId="5" borderId="17" xfId="0" applyNumberFormat="1" applyFont="1" applyFill="1" applyBorder="1" applyAlignment="1">
      <alignment horizontal="center" vertical="center"/>
    </xf>
    <xf numFmtId="2" fontId="64" fillId="8" borderId="17" xfId="0" applyNumberFormat="1" applyFont="1" applyFill="1" applyBorder="1" applyAlignment="1">
      <alignment horizontal="center" vertical="center"/>
    </xf>
    <xf numFmtId="2" fontId="67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0" fillId="5" borderId="0" xfId="0" applyFont="1" applyFill="1" applyAlignment="1">
      <alignment horizontal="right"/>
    </xf>
    <xf numFmtId="0" fontId="70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6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1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9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9" xfId="0" applyNumberFormat="1" applyFill="1" applyBorder="1"/>
    <xf numFmtId="0" fontId="26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9" fillId="10" borderId="0" xfId="0" applyFont="1" applyFill="1"/>
    <xf numFmtId="0" fontId="79" fillId="10" borderId="0" xfId="0" applyFont="1" applyFill="1" applyBorder="1"/>
    <xf numFmtId="0" fontId="70" fillId="10" borderId="0" xfId="0" applyFont="1" applyFill="1"/>
    <xf numFmtId="0" fontId="70" fillId="10" borderId="0" xfId="0" applyFont="1" applyFill="1" applyBorder="1"/>
    <xf numFmtId="0" fontId="70" fillId="10" borderId="29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2" fillId="10" borderId="0" xfId="0" applyFont="1" applyFill="1"/>
    <xf numFmtId="0" fontId="80" fillId="10" borderId="1" xfId="0" applyFont="1" applyFill="1" applyBorder="1" applyAlignment="1">
      <alignment horizontal="center" vertical="center"/>
    </xf>
    <xf numFmtId="0" fontId="70" fillId="10" borderId="0" xfId="0" applyFont="1" applyFill="1" applyBorder="1" applyAlignment="1">
      <alignment horizontal="center" vertical="center"/>
    </xf>
    <xf numFmtId="0" fontId="70" fillId="10" borderId="29" xfId="0" applyFont="1" applyFill="1" applyBorder="1" applyAlignment="1">
      <alignment horizontal="center" vertical="center"/>
    </xf>
    <xf numFmtId="2" fontId="70" fillId="10" borderId="0" xfId="0" applyNumberFormat="1" applyFont="1" applyFill="1"/>
    <xf numFmtId="0" fontId="80" fillId="10" borderId="0" xfId="0" applyFont="1" applyFill="1"/>
    <xf numFmtId="167" fontId="12" fillId="2" borderId="26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2" fontId="59" fillId="11" borderId="30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29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3" fillId="10" borderId="0" xfId="0" applyFont="1" applyFill="1"/>
    <xf numFmtId="0" fontId="43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3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71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167" fontId="85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3" fillId="7" borderId="24" xfId="0" applyFont="1" applyFill="1" applyBorder="1" applyAlignment="1">
      <alignment horizontal="center" vertical="center"/>
    </xf>
    <xf numFmtId="2" fontId="64" fillId="7" borderId="4" xfId="0" applyNumberFormat="1" applyFont="1" applyFill="1" applyBorder="1" applyAlignment="1">
      <alignment horizontal="center" vertical="center"/>
    </xf>
    <xf numFmtId="0" fontId="43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2" fillId="5" borderId="0" xfId="0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center" vertical="center" wrapText="1"/>
    </xf>
    <xf numFmtId="2" fontId="67" fillId="5" borderId="7" xfId="0" applyNumberFormat="1" applyFont="1" applyFill="1" applyBorder="1" applyAlignment="1">
      <alignment horizontal="center" vertical="center"/>
    </xf>
    <xf numFmtId="0" fontId="87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2" fillId="2" borderId="0" xfId="2" applyFont="1" applyFill="1" applyAlignment="1" applyProtection="1"/>
    <xf numFmtId="2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1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87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Alignment="1"/>
    <xf numFmtId="0" fontId="70" fillId="10" borderId="0" xfId="0" applyFont="1" applyFill="1" applyBorder="1" applyAlignment="1"/>
    <xf numFmtId="0" fontId="71" fillId="10" borderId="0" xfId="0" applyFont="1" applyFill="1" applyBorder="1" applyAlignment="1"/>
    <xf numFmtId="0" fontId="70" fillId="10" borderId="0" xfId="0" applyFont="1" applyFill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4" fillId="8" borderId="60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1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Alignment="1">
      <alignment vertical="center"/>
    </xf>
    <xf numFmtId="2" fontId="64" fillId="9" borderId="5" xfId="3" applyNumberFormat="1" applyFont="1" applyFill="1" applyBorder="1" applyAlignment="1">
      <alignment horizontal="center" vertical="center"/>
    </xf>
    <xf numFmtId="0" fontId="70" fillId="5" borderId="0" xfId="0" applyFont="1" applyFill="1"/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36" fillId="8" borderId="22" xfId="0" applyFont="1" applyFill="1" applyBorder="1" applyAlignment="1"/>
    <xf numFmtId="0" fontId="36" fillId="8" borderId="38" xfId="0" applyFont="1" applyFill="1" applyBorder="1" applyAlignment="1"/>
    <xf numFmtId="2" fontId="63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2" fillId="10" borderId="0" xfId="0" applyFont="1" applyFill="1" applyAlignment="1"/>
    <xf numFmtId="0" fontId="84" fillId="14" borderId="27" xfId="0" applyFont="1" applyFill="1" applyBorder="1"/>
    <xf numFmtId="0" fontId="82" fillId="14" borderId="31" xfId="0" applyFont="1" applyFill="1" applyBorder="1" applyAlignment="1">
      <alignment horizontal="center" vertical="center"/>
    </xf>
    <xf numFmtId="0" fontId="82" fillId="14" borderId="32" xfId="0" applyFont="1" applyFill="1" applyBorder="1" applyAlignment="1">
      <alignment horizontal="center" vertical="center"/>
    </xf>
    <xf numFmtId="0" fontId="71" fillId="14" borderId="31" xfId="0" applyFont="1" applyFill="1" applyBorder="1" applyAlignment="1">
      <alignment horizontal="center" vertical="center"/>
    </xf>
    <xf numFmtId="2" fontId="49" fillId="14" borderId="31" xfId="0" applyNumberFormat="1" applyFont="1" applyFill="1" applyBorder="1" applyAlignment="1">
      <alignment horizontal="center" vertical="center"/>
    </xf>
    <xf numFmtId="2" fontId="46" fillId="14" borderId="31" xfId="0" applyNumberFormat="1" applyFont="1" applyFill="1" applyBorder="1" applyAlignment="1">
      <alignment horizontal="center" vertical="center"/>
    </xf>
    <xf numFmtId="2" fontId="82" fillId="14" borderId="31" xfId="0" applyNumberFormat="1" applyFont="1" applyFill="1" applyBorder="1" applyAlignment="1">
      <alignment horizontal="center" vertical="center"/>
    </xf>
    <xf numFmtId="2" fontId="82" fillId="14" borderId="7" xfId="0" applyNumberFormat="1" applyFont="1" applyFill="1" applyBorder="1" applyAlignment="1">
      <alignment horizontal="center" vertical="center"/>
    </xf>
    <xf numFmtId="2" fontId="82" fillId="14" borderId="32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4" fillId="5" borderId="10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4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4" fillId="5" borderId="3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left" vertical="center"/>
    </xf>
    <xf numFmtId="0" fontId="43" fillId="7" borderId="22" xfId="0" applyFont="1" applyFill="1" applyBorder="1" applyAlignment="1">
      <alignment horizontal="center" vertical="center"/>
    </xf>
    <xf numFmtId="0" fontId="43" fillId="7" borderId="38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left" vertical="center"/>
    </xf>
    <xf numFmtId="2" fontId="4" fillId="7" borderId="38" xfId="0" applyNumberFormat="1" applyFont="1" applyFill="1" applyBorder="1" applyAlignment="1">
      <alignment horizontal="center" vertical="center"/>
    </xf>
    <xf numFmtId="2" fontId="64" fillId="7" borderId="26" xfId="0" applyNumberFormat="1" applyFont="1" applyFill="1" applyBorder="1" applyAlignment="1">
      <alignment horizontal="center" vertical="center"/>
    </xf>
    <xf numFmtId="0" fontId="43" fillId="8" borderId="38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2" fontId="64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3" fillId="8" borderId="3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4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4" fillId="5" borderId="3" xfId="0" applyNumberFormat="1" applyFont="1" applyFill="1" applyBorder="1" applyAlignment="1">
      <alignment horizontal="center" vertical="center"/>
    </xf>
    <xf numFmtId="1" fontId="64" fillId="8" borderId="3" xfId="0" applyNumberFormat="1" applyFont="1" applyFill="1" applyBorder="1" applyAlignment="1">
      <alignment horizontal="center" vertical="center"/>
    </xf>
    <xf numFmtId="1" fontId="64" fillId="5" borderId="7" xfId="0" applyNumberFormat="1" applyFont="1" applyFill="1" applyBorder="1" applyAlignment="1">
      <alignment horizontal="center" vertical="center"/>
    </xf>
    <xf numFmtId="1" fontId="64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4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9" fillId="8" borderId="3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2" fillId="17" borderId="19" xfId="0" applyNumberFormat="1" applyFont="1" applyFill="1" applyBorder="1" applyAlignment="1">
      <alignment horizontal="center" vertical="center"/>
    </xf>
    <xf numFmtId="2" fontId="82" fillId="17" borderId="20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67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4" fillId="8" borderId="26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4" fillId="8" borderId="10" xfId="0" applyNumberFormat="1" applyFont="1" applyFill="1" applyBorder="1" applyAlignment="1">
      <alignment horizontal="center" vertical="center"/>
    </xf>
    <xf numFmtId="1" fontId="64" fillId="5" borderId="5" xfId="0" applyNumberFormat="1" applyFont="1" applyFill="1" applyBorder="1" applyAlignment="1">
      <alignment horizontal="center" vertical="center"/>
    </xf>
    <xf numFmtId="1" fontId="64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4" fillId="8" borderId="16" xfId="0" applyNumberFormat="1" applyFont="1" applyFill="1" applyBorder="1" applyAlignment="1">
      <alignment horizontal="center" vertical="center"/>
    </xf>
    <xf numFmtId="1" fontId="64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4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4" fillId="5" borderId="14" xfId="0" applyNumberFormat="1" applyFont="1" applyFill="1" applyBorder="1" applyAlignment="1">
      <alignment horizontal="center" vertical="center"/>
    </xf>
    <xf numFmtId="2" fontId="64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4" fillId="8" borderId="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4" fillId="8" borderId="4" xfId="0" applyNumberFormat="1" applyFont="1" applyFill="1" applyBorder="1" applyAlignment="1">
      <alignment horizontal="center" vertical="center"/>
    </xf>
    <xf numFmtId="1" fontId="64" fillId="5" borderId="4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6" fillId="8" borderId="3" xfId="0" applyNumberFormat="1" applyFont="1" applyFill="1" applyBorder="1" applyAlignment="1">
      <alignment horizontal="center" vertical="center"/>
    </xf>
    <xf numFmtId="1" fontId="76" fillId="5" borderId="3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0" fillId="5" borderId="0" xfId="0" applyFill="1" applyBorder="1" applyAlignment="1"/>
    <xf numFmtId="1" fontId="64" fillId="5" borderId="0" xfId="0" applyNumberFormat="1" applyFont="1" applyFill="1" applyBorder="1" applyAlignment="1">
      <alignment horizontal="center" vertical="center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1" fontId="64" fillId="9" borderId="3" xfId="0" applyNumberFormat="1" applyFont="1" applyFill="1" applyBorder="1" applyAlignment="1">
      <alignment horizontal="center" vertical="center"/>
    </xf>
    <xf numFmtId="1" fontId="64" fillId="9" borderId="5" xfId="0" applyNumberFormat="1" applyFont="1" applyFill="1" applyBorder="1" applyAlignment="1">
      <alignment horizontal="center" vertical="center"/>
    </xf>
    <xf numFmtId="1" fontId="64" fillId="5" borderId="24" xfId="0" applyNumberFormat="1" applyFont="1" applyFill="1" applyBorder="1" applyAlignment="1">
      <alignment horizontal="center" vertical="center"/>
    </xf>
    <xf numFmtId="1" fontId="64" fillId="8" borderId="13" xfId="0" applyNumberFormat="1" applyFont="1" applyFill="1" applyBorder="1" applyAlignment="1">
      <alignment horizontal="center" vertical="center"/>
    </xf>
    <xf numFmtId="1" fontId="64" fillId="8" borderId="24" xfId="0" applyNumberFormat="1" applyFont="1" applyFill="1" applyBorder="1" applyAlignment="1">
      <alignment horizontal="center" vertical="center"/>
    </xf>
    <xf numFmtId="1" fontId="77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7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9" borderId="3" xfId="0" applyNumberFormat="1" applyFont="1" applyFill="1" applyBorder="1" applyAlignment="1">
      <alignment horizontal="center" vertical="center"/>
    </xf>
    <xf numFmtId="1" fontId="64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4" fillId="5" borderId="23" xfId="0" applyNumberFormat="1" applyFont="1" applyFill="1" applyBorder="1" applyAlignment="1">
      <alignment horizontal="center" vertical="center"/>
    </xf>
    <xf numFmtId="1" fontId="64" fillId="5" borderId="17" xfId="0" applyNumberFormat="1" applyFont="1" applyFill="1" applyBorder="1" applyAlignment="1">
      <alignment horizontal="center" vertical="center"/>
    </xf>
    <xf numFmtId="1" fontId="64" fillId="8" borderId="59" xfId="0" applyNumberFormat="1" applyFont="1" applyFill="1" applyBorder="1" applyAlignment="1">
      <alignment horizontal="center" vertical="center"/>
    </xf>
    <xf numFmtId="1" fontId="64" fillId="8" borderId="23" xfId="0" applyNumberFormat="1" applyFont="1" applyFill="1" applyBorder="1" applyAlignment="1">
      <alignment horizontal="center" vertical="center"/>
    </xf>
    <xf numFmtId="1" fontId="64" fillId="8" borderId="6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4" fillId="5" borderId="66" xfId="0" applyNumberFormat="1" applyFont="1" applyFill="1" applyBorder="1" applyAlignment="1">
      <alignment horizontal="center" vertical="center"/>
    </xf>
    <xf numFmtId="1" fontId="43" fillId="5" borderId="3" xfId="0" applyNumberFormat="1" applyFont="1" applyFill="1" applyBorder="1" applyAlignment="1">
      <alignment horizontal="center" vertical="center" wrapText="1"/>
    </xf>
    <xf numFmtId="1" fontId="43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4" fillId="0" borderId="3" xfId="0" applyNumberFormat="1" applyFont="1" applyBorder="1" applyAlignment="1">
      <alignment horizontal="center" vertical="center"/>
    </xf>
    <xf numFmtId="1" fontId="64" fillId="9" borderId="16" xfId="0" applyNumberFormat="1" applyFont="1" applyFill="1" applyBorder="1" applyAlignment="1">
      <alignment horizontal="center" vertical="center"/>
    </xf>
    <xf numFmtId="1" fontId="64" fillId="9" borderId="23" xfId="0" applyNumberFormat="1" applyFont="1" applyFill="1" applyBorder="1" applyAlignment="1">
      <alignment horizontal="center" vertical="center"/>
    </xf>
    <xf numFmtId="1" fontId="64" fillId="8" borderId="67" xfId="0" applyNumberFormat="1" applyFont="1" applyFill="1" applyBorder="1" applyAlignment="1">
      <alignment horizontal="center" vertical="center"/>
    </xf>
    <xf numFmtId="1" fontId="67" fillId="5" borderId="3" xfId="0" applyNumberFormat="1" applyFont="1" applyFill="1" applyBorder="1" applyAlignment="1">
      <alignment horizontal="center" vertical="center" wrapText="1"/>
    </xf>
    <xf numFmtId="1" fontId="67" fillId="8" borderId="3" xfId="0" applyNumberFormat="1" applyFont="1" applyFill="1" applyBorder="1" applyAlignment="1">
      <alignment horizontal="center" vertical="center" wrapText="1"/>
    </xf>
    <xf numFmtId="1" fontId="64" fillId="8" borderId="28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4" fillId="8" borderId="11" xfId="0" applyNumberFormat="1" applyFont="1" applyFill="1" applyBorder="1" applyAlignment="1">
      <alignment horizontal="center" vertical="center"/>
    </xf>
    <xf numFmtId="169" fontId="77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4" fillId="8" borderId="3" xfId="0" applyNumberFormat="1" applyFont="1" applyFill="1" applyBorder="1" applyAlignment="1">
      <alignment horizontal="center" vertical="center"/>
    </xf>
    <xf numFmtId="169" fontId="64" fillId="8" borderId="7" xfId="0" applyNumberFormat="1" applyFont="1" applyFill="1" applyBorder="1" applyAlignment="1">
      <alignment horizontal="center" vertical="center"/>
    </xf>
    <xf numFmtId="169" fontId="64" fillId="8" borderId="21" xfId="0" applyNumberFormat="1" applyFont="1" applyFill="1" applyBorder="1" applyAlignment="1">
      <alignment horizontal="center" vertical="center"/>
    </xf>
    <xf numFmtId="169" fontId="64" fillId="5" borderId="3" xfId="0" applyNumberFormat="1" applyFont="1" applyFill="1" applyBorder="1" applyAlignment="1">
      <alignment horizontal="center" vertical="center"/>
    </xf>
    <xf numFmtId="169" fontId="64" fillId="8" borderId="10" xfId="0" applyNumberFormat="1" applyFont="1" applyFill="1" applyBorder="1" applyAlignment="1">
      <alignment horizontal="center" vertical="center"/>
    </xf>
    <xf numFmtId="0" fontId="3" fillId="13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4" fillId="5" borderId="22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6" fillId="5" borderId="17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1" fillId="10" borderId="1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9" borderId="10" xfId="0" applyNumberFormat="1" applyFont="1" applyFill="1" applyBorder="1" applyAlignment="1">
      <alignment horizontal="center" vertical="center"/>
    </xf>
    <xf numFmtId="1" fontId="64" fillId="8" borderId="62" xfId="0" applyNumberFormat="1" applyFont="1" applyFill="1" applyBorder="1" applyAlignment="1">
      <alignment horizontal="center" vertical="center"/>
    </xf>
    <xf numFmtId="1" fontId="113" fillId="5" borderId="3" xfId="0" applyNumberFormat="1" applyFont="1" applyFill="1" applyBorder="1" applyAlignment="1">
      <alignment horizontal="center" vertical="center"/>
    </xf>
    <xf numFmtId="1" fontId="113" fillId="8" borderId="3" xfId="0" applyNumberFormat="1" applyFont="1" applyFill="1" applyBorder="1" applyAlignment="1">
      <alignment horizontal="center" vertical="center"/>
    </xf>
    <xf numFmtId="1" fontId="113" fillId="8" borderId="4" xfId="0" applyNumberFormat="1" applyFont="1" applyFill="1" applyBorder="1" applyAlignment="1">
      <alignment horizontal="center" vertical="center"/>
    </xf>
    <xf numFmtId="1" fontId="113" fillId="5" borderId="4" xfId="0" applyNumberFormat="1" applyFont="1" applyFill="1" applyBorder="1" applyAlignment="1">
      <alignment horizontal="center" vertical="center"/>
    </xf>
    <xf numFmtId="1" fontId="113" fillId="9" borderId="3" xfId="0" applyNumberFormat="1" applyFont="1" applyFill="1" applyBorder="1" applyAlignment="1">
      <alignment horizontal="center" vertical="center"/>
    </xf>
    <xf numFmtId="1" fontId="113" fillId="8" borderId="5" xfId="0" applyNumberFormat="1" applyFont="1" applyFill="1" applyBorder="1" applyAlignment="1">
      <alignment horizontal="center" vertical="center"/>
    </xf>
    <xf numFmtId="1" fontId="113" fillId="5" borderId="5" xfId="0" applyNumberFormat="1" applyFont="1" applyFill="1" applyBorder="1" applyAlignment="1">
      <alignment horizontal="center" vertical="center"/>
    </xf>
    <xf numFmtId="1" fontId="113" fillId="8" borderId="7" xfId="0" applyNumberFormat="1" applyFont="1" applyFill="1" applyBorder="1" applyAlignment="1">
      <alignment horizontal="center" vertical="center"/>
    </xf>
    <xf numFmtId="1" fontId="113" fillId="5" borderId="7" xfId="0" applyNumberFormat="1" applyFont="1" applyFill="1" applyBorder="1" applyAlignment="1">
      <alignment horizontal="center" vertical="center"/>
    </xf>
    <xf numFmtId="1" fontId="113" fillId="8" borderId="17" xfId="0" applyNumberFormat="1" applyFont="1" applyFill="1" applyBorder="1" applyAlignment="1">
      <alignment horizontal="center" vertical="center"/>
    </xf>
    <xf numFmtId="0" fontId="80" fillId="11" borderId="33" xfId="0" applyFont="1" applyFill="1" applyBorder="1" applyAlignment="1">
      <alignment horizontal="center" vertical="center" wrapText="1"/>
    </xf>
    <xf numFmtId="0" fontId="70" fillId="8" borderId="3" xfId="0" applyFont="1" applyFill="1" applyBorder="1"/>
    <xf numFmtId="0" fontId="78" fillId="8" borderId="13" xfId="0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8" borderId="63" xfId="0" applyNumberFormat="1" applyFont="1" applyFill="1" applyBorder="1" applyAlignment="1">
      <alignment horizontal="center" vertical="center"/>
    </xf>
    <xf numFmtId="1" fontId="64" fillId="5" borderId="63" xfId="0" applyNumberFormat="1" applyFont="1" applyFill="1" applyBorder="1" applyAlignment="1">
      <alignment horizontal="center" vertical="center"/>
    </xf>
    <xf numFmtId="2" fontId="64" fillId="8" borderId="11" xfId="0" applyNumberFormat="1" applyFont="1" applyFill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0" fontId="67" fillId="8" borderId="3" xfId="0" applyFont="1" applyFill="1" applyBorder="1" applyAlignment="1">
      <alignment vertical="center"/>
    </xf>
    <xf numFmtId="2" fontId="64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4" fillId="19" borderId="3" xfId="0" applyNumberFormat="1" applyFont="1" applyFill="1" applyBorder="1" applyAlignment="1">
      <alignment horizontal="center" vertical="center"/>
    </xf>
    <xf numFmtId="2" fontId="76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4" fillId="20" borderId="7" xfId="0" applyNumberFormat="1" applyFont="1" applyFill="1" applyBorder="1" applyAlignment="1">
      <alignment horizontal="center" vertical="center"/>
    </xf>
    <xf numFmtId="169" fontId="64" fillId="5" borderId="7" xfId="0" applyNumberFormat="1" applyFont="1" applyFill="1" applyBorder="1" applyAlignment="1">
      <alignment horizontal="center" vertical="center"/>
    </xf>
    <xf numFmtId="169" fontId="64" fillId="5" borderId="25" xfId="0" applyNumberFormat="1" applyFont="1" applyFill="1" applyBorder="1" applyAlignment="1">
      <alignment horizontal="center" vertical="center"/>
    </xf>
    <xf numFmtId="2" fontId="64" fillId="20" borderId="3" xfId="0" applyNumberFormat="1" applyFont="1" applyFill="1" applyBorder="1" applyAlignment="1">
      <alignment horizontal="center" vertical="center"/>
    </xf>
    <xf numFmtId="169" fontId="64" fillId="5" borderId="21" xfId="0" applyNumberFormat="1" applyFont="1" applyFill="1" applyBorder="1" applyAlignment="1">
      <alignment horizontal="center" vertical="center"/>
    </xf>
    <xf numFmtId="2" fontId="69" fillId="5" borderId="31" xfId="0" applyNumberFormat="1" applyFont="1" applyFill="1" applyBorder="1" applyAlignment="1">
      <alignment horizontal="center" vertical="center"/>
    </xf>
    <xf numFmtId="169" fontId="64" fillId="5" borderId="10" xfId="0" applyNumberFormat="1" applyFont="1" applyFill="1" applyBorder="1" applyAlignment="1">
      <alignment horizontal="center" vertical="center"/>
    </xf>
    <xf numFmtId="169" fontId="64" fillId="5" borderId="58" xfId="0" applyNumberFormat="1" applyFont="1" applyFill="1" applyBorder="1" applyAlignment="1">
      <alignment horizontal="center" vertical="center"/>
    </xf>
    <xf numFmtId="2" fontId="4" fillId="5" borderId="31" xfId="0" applyNumberFormat="1" applyFont="1" applyFill="1" applyBorder="1" applyAlignment="1">
      <alignment horizontal="center" vertical="center"/>
    </xf>
    <xf numFmtId="169" fontId="64" fillId="5" borderId="68" xfId="0" applyNumberFormat="1" applyFont="1" applyFill="1" applyBorder="1" applyAlignment="1">
      <alignment horizontal="center" vertical="center"/>
    </xf>
    <xf numFmtId="2" fontId="64" fillId="5" borderId="31" xfId="0" applyNumberFormat="1" applyFont="1" applyFill="1" applyBorder="1" applyAlignment="1">
      <alignment horizontal="center" vertical="center"/>
    </xf>
    <xf numFmtId="169" fontId="64" fillId="5" borderId="31" xfId="0" applyNumberFormat="1" applyFont="1" applyFill="1" applyBorder="1" applyAlignment="1">
      <alignment horizontal="center" vertical="center"/>
    </xf>
    <xf numFmtId="169" fontId="64" fillId="5" borderId="32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29" xfId="0" applyNumberFormat="1" applyFont="1" applyFill="1" applyBorder="1" applyAlignment="1">
      <alignment horizontal="center" vertical="center"/>
    </xf>
    <xf numFmtId="1" fontId="64" fillId="8" borderId="17" xfId="0" applyNumberFormat="1" applyFont="1" applyFill="1" applyBorder="1" applyAlignment="1">
      <alignment horizontal="center" vertical="center"/>
    </xf>
    <xf numFmtId="167" fontId="85" fillId="2" borderId="3" xfId="2" applyNumberFormat="1" applyFont="1" applyFill="1" applyBorder="1" applyAlignment="1" applyProtection="1">
      <alignment horizontal="center" vertical="center"/>
    </xf>
    <xf numFmtId="167" fontId="85" fillId="2" borderId="5" xfId="2" applyNumberFormat="1" applyFont="1" applyFill="1" applyBorder="1" applyAlignment="1" applyProtection="1">
      <alignment horizontal="center"/>
    </xf>
    <xf numFmtId="167" fontId="116" fillId="2" borderId="5" xfId="2" applyNumberFormat="1" applyFont="1" applyFill="1" applyBorder="1" applyAlignment="1" applyProtection="1">
      <alignment horizontal="center"/>
    </xf>
    <xf numFmtId="167" fontId="117" fillId="2" borderId="5" xfId="2" applyNumberFormat="1" applyFont="1" applyFill="1" applyBorder="1" applyAlignment="1" applyProtection="1">
      <alignment horizontal="center"/>
    </xf>
    <xf numFmtId="0" fontId="85" fillId="2" borderId="3" xfId="2" applyFont="1" applyFill="1" applyBorder="1" applyAlignment="1" applyProtection="1">
      <alignment horizontal="center"/>
    </xf>
    <xf numFmtId="167" fontId="85" fillId="2" borderId="26" xfId="2" applyNumberFormat="1" applyFont="1" applyFill="1" applyBorder="1" applyAlignment="1" applyProtection="1">
      <alignment horizontal="center"/>
    </xf>
    <xf numFmtId="0" fontId="85" fillId="0" borderId="3" xfId="2" applyNumberFormat="1" applyFont="1" applyBorder="1" applyAlignment="1" applyProtection="1">
      <alignment horizontal="center"/>
    </xf>
    <xf numFmtId="0" fontId="70" fillId="2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0" fontId="85" fillId="0" borderId="3" xfId="2" applyFont="1" applyBorder="1" applyAlignment="1" applyProtection="1">
      <alignment horizontal="center"/>
    </xf>
    <xf numFmtId="0" fontId="85" fillId="2" borderId="7" xfId="2" applyFont="1" applyFill="1" applyBorder="1" applyAlignment="1" applyProtection="1">
      <alignment horizontal="center"/>
    </xf>
    <xf numFmtId="167" fontId="85" fillId="2" borderId="4" xfId="2" applyNumberFormat="1" applyFont="1" applyFill="1" applyBorder="1" applyAlignment="1" applyProtection="1">
      <alignment horizontal="center" vertical="center"/>
    </xf>
    <xf numFmtId="167" fontId="85" fillId="2" borderId="4" xfId="2" applyNumberFormat="1" applyFont="1" applyFill="1" applyBorder="1" applyAlignment="1" applyProtection="1">
      <alignment horizontal="center"/>
    </xf>
    <xf numFmtId="0" fontId="5" fillId="21" borderId="27" xfId="0" applyFont="1" applyFill="1" applyBorder="1" applyAlignment="1">
      <alignment horizontal="left" vertical="center"/>
    </xf>
    <xf numFmtId="0" fontId="5" fillId="21" borderId="41" xfId="0" applyFont="1" applyFill="1" applyBorder="1" applyAlignment="1">
      <alignment horizontal="left" vertical="center"/>
    </xf>
    <xf numFmtId="2" fontId="41" fillId="8" borderId="3" xfId="0" applyNumberFormat="1" applyFont="1" applyFill="1" applyBorder="1" applyAlignment="1">
      <alignment horizontal="center" vertical="center" wrapText="1"/>
    </xf>
    <xf numFmtId="167" fontId="85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5" fillId="2" borderId="5" xfId="2" applyNumberFormat="1" applyFont="1" applyFill="1" applyBorder="1" applyAlignment="1" applyProtection="1">
      <alignment horizontal="center" vertical="center"/>
    </xf>
    <xf numFmtId="167" fontId="70" fillId="2" borderId="4" xfId="0" applyNumberFormat="1" applyFont="1" applyFill="1" applyBorder="1" applyAlignment="1">
      <alignment horizontal="center"/>
    </xf>
    <xf numFmtId="167" fontId="70" fillId="2" borderId="3" xfId="0" applyNumberFormat="1" applyFont="1" applyFill="1" applyBorder="1" applyAlignment="1">
      <alignment horizontal="center"/>
    </xf>
    <xf numFmtId="167" fontId="85" fillId="5" borderId="3" xfId="2" applyNumberFormat="1" applyFont="1" applyFill="1" applyBorder="1" applyAlignment="1" applyProtection="1">
      <alignment horizontal="center"/>
    </xf>
    <xf numFmtId="167" fontId="70" fillId="5" borderId="3" xfId="0" applyNumberFormat="1" applyFont="1" applyFill="1" applyBorder="1" applyAlignment="1">
      <alignment horizontal="center"/>
    </xf>
    <xf numFmtId="49" fontId="85" fillId="2" borderId="3" xfId="2" applyNumberFormat="1" applyFont="1" applyFill="1" applyBorder="1" applyAlignment="1" applyProtection="1">
      <alignment horizontal="center"/>
    </xf>
    <xf numFmtId="49" fontId="85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 wrapText="1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5" borderId="24" xfId="3" applyNumberFormat="1" applyFont="1" applyFill="1" applyBorder="1" applyAlignment="1">
      <alignment horizontal="center" vertical="center"/>
    </xf>
    <xf numFmtId="2" fontId="64" fillId="8" borderId="67" xfId="0" applyNumberFormat="1" applyFont="1" applyFill="1" applyBorder="1" applyAlignment="1">
      <alignment horizontal="center" vertical="center"/>
    </xf>
    <xf numFmtId="1" fontId="113" fillId="5" borderId="0" xfId="0" applyNumberFormat="1" applyFont="1" applyFill="1" applyBorder="1" applyAlignment="1">
      <alignment horizontal="center" vertical="center"/>
    </xf>
    <xf numFmtId="49" fontId="85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7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1" fontId="76" fillId="8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7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9" xfId="0" applyFont="1" applyFill="1" applyBorder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113" fillId="9" borderId="5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5" fillId="9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4" fillId="8" borderId="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1" fontId="64" fillId="5" borderId="12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167" fontId="85" fillId="2" borderId="11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4" fillId="5" borderId="3" xfId="0" applyNumberFormat="1" applyFont="1" applyFill="1" applyBorder="1" applyAlignment="1">
      <alignment horizontal="center"/>
    </xf>
    <xf numFmtId="1" fontId="64" fillId="5" borderId="3" xfId="0" applyNumberFormat="1" applyFont="1" applyFill="1" applyBorder="1" applyAlignment="1">
      <alignment horizontal="center"/>
    </xf>
    <xf numFmtId="0" fontId="0" fillId="0" borderId="5" xfId="0" applyBorder="1"/>
    <xf numFmtId="2" fontId="77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0" fontId="82" fillId="5" borderId="3" xfId="0" applyFont="1" applyFill="1" applyBorder="1" applyAlignment="1">
      <alignment horizontal="center" vertical="center"/>
    </xf>
    <xf numFmtId="0" fontId="82" fillId="8" borderId="3" xfId="0" applyFont="1" applyFill="1" applyBorder="1" applyAlignment="1">
      <alignment horizontal="center" vertical="center"/>
    </xf>
    <xf numFmtId="2" fontId="64" fillId="5" borderId="24" xfId="0" applyNumberFormat="1" applyFont="1" applyFill="1" applyBorder="1" applyAlignment="1">
      <alignment horizontal="center" vertical="center"/>
    </xf>
    <xf numFmtId="2" fontId="64" fillId="8" borderId="24" xfId="0" applyNumberFormat="1" applyFont="1" applyFill="1" applyBorder="1" applyAlignment="1">
      <alignment horizontal="center" vertical="center"/>
    </xf>
    <xf numFmtId="2" fontId="64" fillId="8" borderId="13" xfId="0" applyNumberFormat="1" applyFont="1" applyFill="1" applyBorder="1" applyAlignment="1">
      <alignment horizontal="center" vertical="center"/>
    </xf>
    <xf numFmtId="2" fontId="64" fillId="5" borderId="22" xfId="0" applyNumberFormat="1" applyFont="1" applyFill="1" applyBorder="1" applyAlignment="1">
      <alignment horizontal="center" vertical="center"/>
    </xf>
    <xf numFmtId="1" fontId="113" fillId="5" borderId="13" xfId="0" applyNumberFormat="1" applyFont="1" applyFill="1" applyBorder="1" applyAlignment="1">
      <alignment horizontal="center" vertical="center"/>
    </xf>
    <xf numFmtId="1" fontId="113" fillId="8" borderId="1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5" borderId="3" xfId="0" applyFont="1" applyFill="1" applyBorder="1" applyAlignment="1"/>
    <xf numFmtId="0" fontId="2" fillId="5" borderId="3" xfId="0" applyFont="1" applyFill="1" applyBorder="1"/>
    <xf numFmtId="0" fontId="71" fillId="5" borderId="3" xfId="0" applyFont="1" applyFill="1" applyBorder="1" applyAlignment="1"/>
    <xf numFmtId="0" fontId="82" fillId="5" borderId="3" xfId="2" applyFont="1" applyFill="1" applyBorder="1" applyAlignment="1" applyProtection="1">
      <alignment horizontal="center" vertical="center" wrapText="1"/>
    </xf>
    <xf numFmtId="0" fontId="26" fillId="8" borderId="3" xfId="0" applyFont="1" applyFill="1" applyBorder="1"/>
    <xf numFmtId="0" fontId="2" fillId="8" borderId="3" xfId="0" applyFont="1" applyFill="1" applyBorder="1" applyAlignment="1"/>
    <xf numFmtId="0" fontId="82" fillId="8" borderId="3" xfId="2" applyFont="1" applyFill="1" applyBorder="1" applyAlignment="1" applyProtection="1">
      <alignment horizontal="center" vertical="center" wrapText="1"/>
    </xf>
    <xf numFmtId="0" fontId="71" fillId="8" borderId="3" xfId="0" applyFont="1" applyFill="1" applyBorder="1" applyAlignment="1"/>
    <xf numFmtId="0" fontId="42" fillId="8" borderId="3" xfId="0" applyFont="1" applyFill="1" applyBorder="1"/>
    <xf numFmtId="0" fontId="2" fillId="8" borderId="3" xfId="0" applyFont="1" applyFill="1" applyBorder="1"/>
    <xf numFmtId="0" fontId="0" fillId="2" borderId="5" xfId="0" applyFill="1" applyBorder="1"/>
    <xf numFmtId="0" fontId="2" fillId="5" borderId="5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5" borderId="7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1" fontId="76" fillId="8" borderId="13" xfId="0" applyNumberFormat="1" applyFont="1" applyFill="1" applyBorder="1" applyAlignment="1">
      <alignment horizontal="center" vertical="center"/>
    </xf>
    <xf numFmtId="1" fontId="76" fillId="5" borderId="1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1" fontId="126" fillId="5" borderId="10" xfId="0" applyNumberFormat="1" applyFont="1" applyFill="1" applyBorder="1" applyAlignment="1">
      <alignment horizontal="center" vertical="center"/>
    </xf>
    <xf numFmtId="1" fontId="127" fillId="8" borderId="10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0" fontId="71" fillId="10" borderId="1" xfId="0" applyFont="1" applyFill="1" applyBorder="1" applyAlignment="1">
      <alignment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9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55" fillId="5" borderId="0" xfId="2" applyFont="1" applyFill="1" applyAlignment="1" applyProtection="1"/>
    <xf numFmtId="0" fontId="5" fillId="8" borderId="3" xfId="0" applyFont="1" applyFill="1" applyBorder="1" applyAlignment="1"/>
    <xf numFmtId="0" fontId="0" fillId="8" borderId="3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9" xfId="0" applyFont="1" applyFill="1" applyBorder="1" applyAlignment="1"/>
    <xf numFmtId="0" fontId="79" fillId="10" borderId="1" xfId="0" applyFont="1" applyFill="1" applyBorder="1" applyAlignment="1">
      <alignment vertical="center"/>
    </xf>
    <xf numFmtId="0" fontId="81" fillId="10" borderId="0" xfId="0" applyFont="1" applyFill="1" applyBorder="1" applyAlignment="1">
      <alignment vertical="center"/>
    </xf>
    <xf numFmtId="0" fontId="81" fillId="10" borderId="29" xfId="0" applyFont="1" applyFill="1" applyBorder="1" applyAlignment="1">
      <alignment vertical="center"/>
    </xf>
    <xf numFmtId="0" fontId="71" fillId="10" borderId="0" xfId="0" applyFont="1" applyFill="1" applyBorder="1" applyAlignment="1">
      <alignment vertical="center"/>
    </xf>
    <xf numFmtId="0" fontId="71" fillId="10" borderId="29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1" fillId="10" borderId="1" xfId="0" applyFont="1" applyFill="1" applyBorder="1" applyAlignment="1"/>
    <xf numFmtId="0" fontId="71" fillId="10" borderId="0" xfId="0" applyFont="1" applyFill="1" applyAlignment="1"/>
    <xf numFmtId="0" fontId="71" fillId="10" borderId="29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1" fillId="10" borderId="1" xfId="0" applyFont="1" applyFill="1" applyBorder="1" applyAlignment="1">
      <alignment vertical="center"/>
    </xf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2" fontId="5" fillId="8" borderId="24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1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9" xfId="0" applyFont="1" applyBorder="1" applyAlignment="1"/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5" borderId="3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9" xfId="0" applyFont="1" applyFill="1" applyBorder="1" applyAlignment="1"/>
    <xf numFmtId="0" fontId="53" fillId="2" borderId="0" xfId="2" applyFont="1" applyFill="1" applyAlignment="1" applyProtection="1"/>
    <xf numFmtId="0" fontId="53" fillId="0" borderId="0" xfId="2" applyFont="1" applyAlignment="1" applyProtection="1"/>
    <xf numFmtId="0" fontId="66" fillId="21" borderId="36" xfId="0" applyFont="1" applyFill="1" applyBorder="1" applyAlignment="1">
      <alignment horizontal="center" vertical="center" wrapText="1"/>
    </xf>
    <xf numFmtId="0" fontId="66" fillId="21" borderId="37" xfId="0" applyFont="1" applyFill="1" applyBorder="1" applyAlignment="1">
      <alignment horizontal="center" vertical="center" wrapText="1"/>
    </xf>
    <xf numFmtId="0" fontId="4" fillId="21" borderId="30" xfId="2" applyFont="1" applyFill="1" applyBorder="1" applyAlignment="1" applyProtection="1">
      <alignment horizontal="center" vertical="center" wrapText="1"/>
    </xf>
    <xf numFmtId="0" fontId="4" fillId="21" borderId="39" xfId="2" applyFont="1" applyFill="1" applyBorder="1" applyAlignment="1" applyProtection="1">
      <alignment horizontal="center" vertical="center" wrapText="1"/>
    </xf>
    <xf numFmtId="0" fontId="4" fillId="21" borderId="33" xfId="2" applyFont="1" applyFill="1" applyBorder="1" applyAlignment="1" applyProtection="1">
      <alignment horizontal="center" vertical="center" wrapText="1"/>
    </xf>
    <xf numFmtId="0" fontId="4" fillId="21" borderId="27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6" fillId="12" borderId="19" xfId="0" applyNumberFormat="1" applyFont="1" applyFill="1" applyBorder="1" applyAlignment="1">
      <alignment horizontal="center" vertical="center" wrapText="1"/>
    </xf>
    <xf numFmtId="0" fontId="39" fillId="12" borderId="19" xfId="0" applyFont="1" applyFill="1" applyBorder="1" applyAlignment="1">
      <alignment horizontal="center" vertical="center" wrapText="1"/>
    </xf>
    <xf numFmtId="0" fontId="39" fillId="12" borderId="20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13" xfId="0" applyFill="1" applyBorder="1" applyAlignment="1"/>
    <xf numFmtId="0" fontId="0" fillId="5" borderId="13" xfId="0" applyFill="1" applyBorder="1" applyAlignment="1"/>
    <xf numFmtId="2" fontId="5" fillId="5" borderId="13" xfId="0" applyNumberFormat="1" applyFont="1" applyFill="1" applyBorder="1" applyAlignment="1">
      <alignment horizontal="left"/>
    </xf>
    <xf numFmtId="2" fontId="64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2" fontId="2" fillId="7" borderId="22" xfId="0" applyNumberFormat="1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29" xfId="0" applyBorder="1" applyAlignment="1"/>
    <xf numFmtId="0" fontId="100" fillId="10" borderId="0" xfId="0" applyFont="1" applyFill="1" applyBorder="1" applyAlignment="1"/>
    <xf numFmtId="0" fontId="70" fillId="10" borderId="0" xfId="0" applyFont="1" applyFill="1" applyBorder="1" applyAlignment="1"/>
    <xf numFmtId="0" fontId="79" fillId="5" borderId="1" xfId="0" applyFont="1" applyFill="1" applyBorder="1" applyAlignment="1"/>
    <xf numFmtId="0" fontId="0" fillId="5" borderId="0" xfId="0" applyFill="1" applyBorder="1" applyAlignment="1"/>
    <xf numFmtId="0" fontId="115" fillId="13" borderId="22" xfId="0" applyFont="1" applyFill="1" applyBorder="1" applyAlignment="1">
      <alignment horizontal="center" vertical="center" wrapText="1"/>
    </xf>
    <xf numFmtId="0" fontId="115" fillId="13" borderId="3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5" fillId="13" borderId="24" xfId="0" applyFont="1" applyFill="1" applyBorder="1" applyAlignment="1">
      <alignment horizontal="center" vertical="center" wrapText="1"/>
    </xf>
    <xf numFmtId="0" fontId="115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" fontId="5" fillId="8" borderId="5" xfId="0" applyNumberFormat="1" applyFont="1" applyFill="1" applyBorder="1" applyAlignment="1"/>
    <xf numFmtId="0" fontId="0" fillId="8" borderId="5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14" fillId="0" borderId="0" xfId="0" applyFont="1" applyAlignment="1"/>
    <xf numFmtId="0" fontId="14" fillId="0" borderId="29" xfId="0" applyFont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66" fillId="12" borderId="19" xfId="0" applyFont="1" applyFill="1" applyBorder="1" applyAlignment="1">
      <alignment horizontal="center" vertical="center" wrapText="1"/>
    </xf>
    <xf numFmtId="0" fontId="65" fillId="12" borderId="31" xfId="0" applyFont="1" applyFill="1" applyBorder="1" applyAlignment="1">
      <alignment horizontal="center" vertical="center" wrapText="1"/>
    </xf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64" fillId="5" borderId="22" xfId="0" applyNumberFormat="1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/>
    <xf numFmtId="0" fontId="0" fillId="0" borderId="0" xfId="0" applyBorder="1" applyAlignment="1"/>
    <xf numFmtId="0" fontId="79" fillId="10" borderId="0" xfId="0" applyFont="1" applyFill="1" applyBorder="1" applyAlignment="1"/>
    <xf numFmtId="0" fontId="79" fillId="10" borderId="29" xfId="0" applyFont="1" applyFill="1" applyBorder="1" applyAlignment="1"/>
    <xf numFmtId="2" fontId="71" fillId="13" borderId="22" xfId="0" applyNumberFormat="1" applyFont="1" applyFill="1" applyBorder="1" applyAlignment="1">
      <alignment horizontal="center" vertical="center" wrapText="1"/>
    </xf>
    <xf numFmtId="0" fontId="78" fillId="13" borderId="38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1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4" xfId="0" applyFont="1" applyFill="1" applyBorder="1" applyAlignment="1">
      <alignment horizontal="center" vertical="center" wrapText="1"/>
    </xf>
    <xf numFmtId="0" fontId="78" fillId="13" borderId="11" xfId="0" applyFont="1" applyFill="1" applyBorder="1" applyAlignment="1">
      <alignment horizontal="center" vertical="center" wrapText="1"/>
    </xf>
    <xf numFmtId="2" fontId="4" fillId="9" borderId="24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63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68" fillId="2" borderId="36" xfId="2" applyFont="1" applyFill="1" applyBorder="1" applyAlignment="1" applyProtection="1">
      <alignment horizontal="center" vertical="center"/>
    </xf>
    <xf numFmtId="0" fontId="68" fillId="0" borderId="37" xfId="2" applyFont="1" applyBorder="1" applyAlignment="1" applyProtection="1">
      <alignment horizontal="center" vertical="center"/>
    </xf>
    <xf numFmtId="0" fontId="48" fillId="21" borderId="30" xfId="0" applyFont="1" applyFill="1" applyBorder="1" applyAlignment="1">
      <alignment horizontal="left" vertical="center" wrapText="1"/>
    </xf>
    <xf numFmtId="0" fontId="18" fillId="21" borderId="39" xfId="0" applyFont="1" applyFill="1" applyBorder="1" applyAlignment="1">
      <alignment horizontal="left" vertical="center" wrapText="1"/>
    </xf>
    <xf numFmtId="0" fontId="18" fillId="21" borderId="40" xfId="0" applyFont="1" applyFill="1" applyBorder="1" applyAlignment="1">
      <alignment horizontal="left" vertical="center" wrapText="1"/>
    </xf>
    <xf numFmtId="0" fontId="8" fillId="21" borderId="39" xfId="0" applyFont="1" applyFill="1" applyBorder="1" applyAlignment="1">
      <alignment horizontal="center" vertical="center" wrapText="1"/>
    </xf>
    <xf numFmtId="0" fontId="47" fillId="21" borderId="39" xfId="0" applyFont="1" applyFill="1" applyBorder="1" applyAlignment="1">
      <alignment horizontal="center" vertical="center" wrapText="1"/>
    </xf>
    <xf numFmtId="0" fontId="47" fillId="21" borderId="40" xfId="0" applyFont="1" applyFill="1" applyBorder="1" applyAlignment="1">
      <alignment horizontal="center" vertical="center" wrapText="1"/>
    </xf>
    <xf numFmtId="0" fontId="55" fillId="2" borderId="0" xfId="2" applyFont="1" applyFill="1" applyAlignment="1" applyProtection="1"/>
    <xf numFmtId="0" fontId="93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3" xfId="2" applyFill="1" applyBorder="1" applyAlignment="1" applyProtection="1">
      <alignment horizontal="left" vertical="center"/>
    </xf>
    <xf numFmtId="0" fontId="12" fillId="21" borderId="27" xfId="2" applyFill="1" applyBorder="1" applyAlignment="1" applyProtection="1">
      <alignment horizontal="left" vertic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39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6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15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27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6" fillId="21" borderId="51" xfId="0" applyFont="1" applyFill="1" applyBorder="1" applyAlignment="1">
      <alignment horizontal="center" vertical="center" wrapText="1"/>
    </xf>
    <xf numFmtId="0" fontId="66" fillId="21" borderId="57" xfId="0" applyFont="1" applyFill="1" applyBorder="1" applyAlignment="1">
      <alignment horizontal="center" vertical="center" wrapText="1"/>
    </xf>
    <xf numFmtId="0" fontId="96" fillId="22" borderId="18" xfId="0" applyFont="1" applyFill="1" applyBorder="1" applyAlignment="1">
      <alignment horizontal="center" vertical="center"/>
    </xf>
    <xf numFmtId="0" fontId="97" fillId="22" borderId="8" xfId="0" applyFont="1" applyFill="1" applyBorder="1" applyAlignment="1">
      <alignment horizontal="center" vertical="center"/>
    </xf>
    <xf numFmtId="0" fontId="97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20" fillId="9" borderId="18" xfId="0" applyFont="1" applyFill="1" applyBorder="1" applyAlignment="1">
      <alignment horizontal="center" vertical="center" wrapText="1"/>
    </xf>
    <xf numFmtId="0" fontId="120" fillId="9" borderId="8" xfId="0" applyFont="1" applyFill="1" applyBorder="1" applyAlignment="1">
      <alignment horizontal="center" vertical="center" wrapText="1"/>
    </xf>
    <xf numFmtId="0" fontId="121" fillId="9" borderId="9" xfId="0" applyFont="1" applyFill="1" applyBorder="1" applyAlignment="1">
      <alignment horizontal="center" vertical="center" wrapText="1"/>
    </xf>
    <xf numFmtId="0" fontId="122" fillId="21" borderId="30" xfId="0" applyFont="1" applyFill="1" applyBorder="1" applyAlignment="1">
      <alignment horizontal="center" vertical="center" wrapText="1"/>
    </xf>
    <xf numFmtId="0" fontId="1" fillId="21" borderId="39" xfId="0" applyFont="1" applyFill="1" applyBorder="1" applyAlignment="1">
      <alignment horizontal="center" vertical="center" wrapText="1"/>
    </xf>
    <xf numFmtId="0" fontId="1" fillId="21" borderId="40" xfId="0" applyFont="1" applyFill="1" applyBorder="1" applyAlignment="1">
      <alignment horizontal="center" vertical="center" wrapText="1"/>
    </xf>
    <xf numFmtId="0" fontId="1" fillId="21" borderId="33" xfId="0" applyFont="1" applyFill="1" applyBorder="1" applyAlignment="1">
      <alignment horizontal="center" vertical="center" wrapText="1"/>
    </xf>
    <xf numFmtId="0" fontId="1" fillId="21" borderId="27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56" xfId="2" applyFont="1" applyFill="1" applyBorder="1" applyAlignment="1" applyProtection="1">
      <alignment horizontal="center" vertical="center" wrapText="1"/>
    </xf>
    <xf numFmtId="2" fontId="4" fillId="7" borderId="2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9" fillId="5" borderId="6" xfId="0" applyFont="1" applyFill="1" applyBorder="1" applyAlignment="1">
      <alignment horizontal="center" vertical="center"/>
    </xf>
    <xf numFmtId="0" fontId="97" fillId="5" borderId="0" xfId="0" applyFont="1" applyFill="1" applyBorder="1" applyAlignment="1">
      <alignment horizontal="center" vertical="center"/>
    </xf>
    <xf numFmtId="0" fontId="97" fillId="5" borderId="0" xfId="0" applyFont="1" applyFill="1" applyBorder="1" applyAlignment="1"/>
    <xf numFmtId="0" fontId="97" fillId="5" borderId="15" xfId="0" applyFont="1" applyFill="1" applyBorder="1" applyAlignment="1"/>
    <xf numFmtId="0" fontId="118" fillId="21" borderId="18" xfId="0" applyFont="1" applyFill="1" applyBorder="1" applyAlignment="1">
      <alignment horizontal="center" vertical="center" wrapText="1"/>
    </xf>
    <xf numFmtId="0" fontId="119" fillId="21" borderId="8" xfId="0" applyFont="1" applyFill="1" applyBorder="1" applyAlignment="1">
      <alignment horizontal="center" vertical="center" wrapText="1"/>
    </xf>
    <xf numFmtId="0" fontId="119" fillId="21" borderId="9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94" fillId="14" borderId="1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 vertical="center"/>
    </xf>
    <xf numFmtId="0" fontId="84" fillId="14" borderId="8" xfId="0" applyFont="1" applyFill="1" applyBorder="1" applyAlignment="1">
      <alignment horizontal="center"/>
    </xf>
    <xf numFmtId="0" fontId="84" fillId="14" borderId="9" xfId="0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5" fillId="0" borderId="0" xfId="2" applyFont="1" applyAlignment="1" applyProtection="1"/>
    <xf numFmtId="0" fontId="5" fillId="9" borderId="3" xfId="0" applyFont="1" applyFill="1" applyBorder="1" applyAlignment="1"/>
    <xf numFmtId="0" fontId="0" fillId="9" borderId="3" xfId="0" applyFill="1" applyBorder="1" applyAlignment="1"/>
    <xf numFmtId="0" fontId="5" fillId="8" borderId="5" xfId="0" applyFont="1" applyFill="1" applyBorder="1" applyAlignment="1"/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90" fillId="8" borderId="13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0" fillId="7" borderId="3" xfId="0" applyFill="1" applyBorder="1" applyAlignment="1">
      <alignment wrapText="1"/>
    </xf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5" fillId="5" borderId="13" xfId="0" applyFont="1" applyFill="1" applyBorder="1" applyAlignment="1"/>
    <xf numFmtId="0" fontId="124" fillId="21" borderId="18" xfId="2" applyFont="1" applyFill="1" applyBorder="1" applyAlignment="1" applyProtection="1">
      <alignment horizontal="center" vertical="center" wrapText="1"/>
    </xf>
    <xf numFmtId="0" fontId="124" fillId="21" borderId="8" xfId="2" applyFont="1" applyFill="1" applyBorder="1" applyAlignment="1" applyProtection="1">
      <alignment horizontal="center" vertical="center" wrapText="1"/>
    </xf>
    <xf numFmtId="0" fontId="124" fillId="21" borderId="9" xfId="2" applyFont="1" applyFill="1" applyBorder="1" applyAlignment="1" applyProtection="1">
      <alignment horizontal="center" vertical="center" wrapText="1"/>
    </xf>
    <xf numFmtId="0" fontId="95" fillId="5" borderId="0" xfId="2" applyFont="1" applyFill="1" applyBorder="1" applyAlignment="1" applyProtection="1">
      <alignment horizontal="center" vertical="center" wrapText="1"/>
    </xf>
    <xf numFmtId="0" fontId="123" fillId="21" borderId="30" xfId="2" applyFont="1" applyFill="1" applyBorder="1" applyAlignment="1" applyProtection="1">
      <alignment horizontal="center" vertical="center" wrapText="1"/>
    </xf>
    <xf numFmtId="0" fontId="123" fillId="21" borderId="39" xfId="2" applyFont="1" applyFill="1" applyBorder="1" applyAlignment="1" applyProtection="1">
      <alignment horizontal="center" vertical="center" wrapText="1"/>
    </xf>
    <xf numFmtId="0" fontId="123" fillId="21" borderId="40" xfId="2" applyFont="1" applyFill="1" applyBorder="1" applyAlignment="1" applyProtection="1">
      <alignment horizontal="center" vertical="center" wrapText="1"/>
    </xf>
    <xf numFmtId="0" fontId="123" fillId="21" borderId="33" xfId="2" applyFont="1" applyFill="1" applyBorder="1" applyAlignment="1" applyProtection="1">
      <alignment horizontal="center" vertical="center" wrapText="1"/>
    </xf>
    <xf numFmtId="0" fontId="123" fillId="21" borderId="27" xfId="2" applyFont="1" applyFill="1" applyBorder="1" applyAlignment="1" applyProtection="1">
      <alignment horizontal="center" vertical="center" wrapText="1"/>
    </xf>
    <xf numFmtId="0" fontId="123" fillId="21" borderId="41" xfId="2" applyFont="1" applyFill="1" applyBorder="1" applyAlignment="1" applyProtection="1">
      <alignment horizontal="center" vertical="center"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8" borderId="5" xfId="0" applyFont="1" applyFill="1" applyBorder="1" applyAlignment="1"/>
    <xf numFmtId="0" fontId="66" fillId="21" borderId="6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7" fillId="4" borderId="18" xfId="0" applyFont="1" applyFill="1" applyBorder="1" applyAlignment="1">
      <alignment horizontal="center" wrapText="1"/>
    </xf>
    <xf numFmtId="0" fontId="57" fillId="4" borderId="8" xfId="0" applyFont="1" applyFill="1" applyBorder="1" applyAlignment="1">
      <alignment horizontal="center" wrapText="1"/>
    </xf>
    <xf numFmtId="0" fontId="50" fillId="4" borderId="9" xfId="0" applyFont="1" applyFill="1" applyBorder="1" applyAlignment="1">
      <alignment horizontal="center" wrapText="1"/>
    </xf>
    <xf numFmtId="2" fontId="5" fillId="9" borderId="3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43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3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9" borderId="5" xfId="0" applyFont="1" applyFill="1" applyBorder="1" applyAlignment="1"/>
    <xf numFmtId="0" fontId="0" fillId="9" borderId="5" xfId="0" applyFill="1" applyBorder="1" applyAlignment="1"/>
    <xf numFmtId="2" fontId="4" fillId="5" borderId="45" xfId="0" applyNumberFormat="1" applyFont="1" applyFill="1" applyBorder="1" applyAlignment="1">
      <alignment vertical="center" wrapText="1"/>
    </xf>
    <xf numFmtId="2" fontId="4" fillId="5" borderId="46" xfId="0" applyNumberFormat="1" applyFont="1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54" fillId="8" borderId="49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2" fontId="82" fillId="17" borderId="44" xfId="0" applyNumberFormat="1" applyFont="1" applyFill="1" applyBorder="1" applyAlignment="1">
      <alignment horizontal="center" vertical="center" wrapText="1"/>
    </xf>
    <xf numFmtId="0" fontId="111" fillId="17" borderId="1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2" fontId="5" fillId="8" borderId="22" xfId="0" applyNumberFormat="1" applyFont="1" applyFill="1" applyBorder="1" applyAlignment="1">
      <alignment wrapText="1"/>
    </xf>
    <xf numFmtId="0" fontId="0" fillId="8" borderId="3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5" fillId="7" borderId="3" xfId="0" applyFont="1" applyFill="1" applyBorder="1" applyAlignment="1"/>
    <xf numFmtId="0" fontId="19" fillId="12" borderId="1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0" fontId="39" fillId="12" borderId="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107" fillId="14" borderId="13" xfId="2" applyFont="1" applyFill="1" applyBorder="1" applyAlignment="1" applyProtection="1">
      <alignment horizontal="center" vertical="center" wrapText="1"/>
    </xf>
    <xf numFmtId="0" fontId="107" fillId="14" borderId="2" xfId="2" applyFont="1" applyFill="1" applyBorder="1" applyAlignment="1" applyProtection="1">
      <alignment horizontal="center" vertical="center" wrapText="1"/>
    </xf>
    <xf numFmtId="0" fontId="107" fillId="14" borderId="4" xfId="2" applyFont="1" applyFill="1" applyBorder="1" applyAlignment="1" applyProtection="1">
      <alignment horizontal="center" vertical="center" wrapText="1"/>
    </xf>
    <xf numFmtId="0" fontId="91" fillId="14" borderId="30" xfId="0" applyFont="1" applyFill="1" applyBorder="1" applyAlignment="1">
      <alignment horizontal="center" vertical="center" wrapText="1"/>
    </xf>
    <xf numFmtId="0" fontId="92" fillId="14" borderId="39" xfId="0" applyFont="1" applyFill="1" applyBorder="1" applyAlignment="1">
      <alignment horizontal="center" vertical="center" wrapText="1"/>
    </xf>
    <xf numFmtId="0" fontId="84" fillId="14" borderId="4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0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horizontal="left" vertical="center" wrapText="1"/>
    </xf>
    <xf numFmtId="0" fontId="9" fillId="21" borderId="39" xfId="0" applyFont="1" applyFill="1" applyBorder="1" applyAlignment="1">
      <alignment wrapText="1"/>
    </xf>
    <xf numFmtId="0" fontId="9" fillId="21" borderId="40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0" fillId="21" borderId="41" xfId="0" applyFill="1" applyBorder="1" applyAlignment="1">
      <alignment wrapText="1"/>
    </xf>
    <xf numFmtId="0" fontId="15" fillId="2" borderId="5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6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3" xfId="0" applyFont="1" applyFill="1" applyBorder="1" applyAlignment="1">
      <alignment wrapText="1"/>
    </xf>
    <xf numFmtId="0" fontId="5" fillId="21" borderId="27" xfId="0" applyFont="1" applyFill="1" applyBorder="1" applyAlignment="1">
      <alignment wrapText="1"/>
    </xf>
    <xf numFmtId="0" fontId="1" fillId="21" borderId="27" xfId="0" applyFont="1" applyFill="1" applyBorder="1" applyAlignment="1">
      <alignment wrapText="1"/>
    </xf>
    <xf numFmtId="0" fontId="1" fillId="21" borderId="41" xfId="0" applyFont="1" applyFill="1" applyBorder="1" applyAlignment="1">
      <alignment wrapText="1"/>
    </xf>
    <xf numFmtId="0" fontId="26" fillId="2" borderId="30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8" fillId="14" borderId="18" xfId="0" applyFont="1" applyFill="1" applyBorder="1" applyAlignment="1">
      <alignment horizontal="center" vertical="center" wrapText="1"/>
    </xf>
    <xf numFmtId="0" fontId="84" fillId="14" borderId="8" xfId="0" applyFont="1" applyFill="1" applyBorder="1" applyAlignment="1">
      <alignment horizontal="center" vertical="center" wrapText="1"/>
    </xf>
    <xf numFmtId="0" fontId="84" fillId="14" borderId="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29" xfId="0" applyFill="1" applyBorder="1" applyAlignment="1">
      <alignment horizontal="center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5" borderId="24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1" fillId="14" borderId="3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2" fontId="28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4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2" fontId="83" fillId="17" borderId="44" xfId="0" applyNumberFormat="1" applyFont="1" applyFill="1" applyBorder="1" applyAlignment="1">
      <alignment horizontal="center" vertical="center" wrapText="1"/>
    </xf>
    <xf numFmtId="0" fontId="84" fillId="17" borderId="17" xfId="0" applyFont="1" applyFill="1" applyBorder="1" applyAlignment="1">
      <alignment horizontal="center" vertical="center" wrapText="1"/>
    </xf>
    <xf numFmtId="2" fontId="64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90" fillId="5" borderId="3" xfId="0" applyNumberFormat="1" applyFont="1" applyFill="1" applyBorder="1" applyAlignment="1"/>
    <xf numFmtId="0" fontId="89" fillId="5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36" fillId="8" borderId="24" xfId="0" applyFont="1" applyFill="1" applyBorder="1" applyAlignment="1"/>
    <xf numFmtId="0" fontId="36" fillId="8" borderId="14" xfId="0" applyFont="1" applyFill="1" applyBorder="1" applyAlignment="1"/>
    <xf numFmtId="2" fontId="63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39" fillId="5" borderId="2" xfId="0" applyFont="1" applyFill="1" applyBorder="1" applyAlignment="1"/>
    <xf numFmtId="0" fontId="39" fillId="5" borderId="4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71" fillId="10" borderId="0" xfId="0" applyFont="1" applyFill="1" applyBorder="1" applyAlignment="1"/>
    <xf numFmtId="2" fontId="63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2" fontId="64" fillId="8" borderId="22" xfId="0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/>
    <xf numFmtId="0" fontId="0" fillId="8" borderId="38" xfId="0" applyFill="1" applyBorder="1" applyAlignment="1"/>
    <xf numFmtId="0" fontId="0" fillId="8" borderId="26" xfId="0" applyFill="1" applyBorder="1" applyAlignment="1"/>
    <xf numFmtId="2" fontId="63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4" fillId="21" borderId="40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2" fontId="41" fillId="8" borderId="3" xfId="0" applyNumberFormat="1" applyFont="1" applyFill="1" applyBorder="1" applyAlignment="1">
      <alignment horizontal="center" vertical="center" wrapText="1"/>
    </xf>
    <xf numFmtId="2" fontId="48" fillId="8" borderId="3" xfId="0" applyNumberFormat="1" applyFont="1" applyFill="1" applyBorder="1" applyAlignment="1">
      <alignment horizontal="center" vertical="center" wrapText="1"/>
    </xf>
    <xf numFmtId="0" fontId="65" fillId="8" borderId="3" xfId="0" applyFont="1" applyFill="1" applyBorder="1" applyAlignment="1">
      <alignment horizontal="center" vertical="center" wrapText="1"/>
    </xf>
    <xf numFmtId="2" fontId="5" fillId="5" borderId="24" xfId="0" applyNumberFormat="1" applyFont="1" applyFill="1" applyBorder="1" applyAlignment="1"/>
    <xf numFmtId="0" fontId="62" fillId="2" borderId="0" xfId="2" applyFont="1" applyFill="1" applyAlignment="1" applyProtection="1"/>
    <xf numFmtId="2" fontId="63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78" fillId="9" borderId="3" xfId="0" applyNumberFormat="1" applyFont="1" applyFill="1" applyBorder="1" applyAlignment="1"/>
    <xf numFmtId="0" fontId="70" fillId="9" borderId="3" xfId="0" applyFont="1" applyFill="1" applyBorder="1" applyAlignment="1"/>
    <xf numFmtId="0" fontId="2" fillId="13" borderId="3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2" fontId="64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8" fillId="5" borderId="0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71" fillId="13" borderId="22" xfId="0" applyFont="1" applyFill="1" applyBorder="1" applyAlignment="1">
      <alignment horizontal="center" vertical="center" wrapText="1"/>
    </xf>
    <xf numFmtId="0" fontId="71" fillId="13" borderId="38" xfId="0" applyFont="1" applyFill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26" xfId="0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9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4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9" xfId="0" applyFont="1" applyFill="1" applyBorder="1" applyAlignment="1">
      <alignment vertical="center"/>
    </xf>
    <xf numFmtId="0" fontId="70" fillId="0" borderId="0" xfId="0" applyFont="1" applyAlignment="1"/>
    <xf numFmtId="0" fontId="70" fillId="0" borderId="29" xfId="0" applyFont="1" applyBorder="1" applyAlignment="1"/>
    <xf numFmtId="2" fontId="82" fillId="15" borderId="13" xfId="0" applyNumberFormat="1" applyFont="1" applyFill="1" applyBorder="1" applyAlignment="1">
      <alignment horizontal="center" vertical="center"/>
    </xf>
    <xf numFmtId="0" fontId="84" fillId="15" borderId="2" xfId="0" applyFont="1" applyFill="1" applyBorder="1" applyAlignment="1">
      <alignment horizontal="center" vertical="center"/>
    </xf>
    <xf numFmtId="0" fontId="84" fillId="15" borderId="4" xfId="0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36" fillId="10" borderId="0" xfId="0" applyFont="1" applyFill="1" applyAlignment="1"/>
    <xf numFmtId="2" fontId="5" fillId="5" borderId="24" xfId="0" applyNumberFormat="1" applyFont="1" applyFill="1" applyBorder="1" applyAlignment="1">
      <alignment wrapText="1"/>
    </xf>
    <xf numFmtId="0" fontId="1" fillId="5" borderId="14" xfId="0" applyFont="1" applyFill="1" applyBorder="1" applyAlignment="1">
      <alignment wrapText="1"/>
    </xf>
    <xf numFmtId="0" fontId="1" fillId="5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9" xfId="0" applyFont="1" applyFill="1" applyBorder="1" applyAlignment="1">
      <alignment horizontal="left"/>
    </xf>
    <xf numFmtId="0" fontId="112" fillId="13" borderId="22" xfId="0" applyFont="1" applyFill="1" applyBorder="1" applyAlignment="1">
      <alignment horizontal="center" vertical="center" wrapText="1"/>
    </xf>
    <xf numFmtId="0" fontId="112" fillId="13" borderId="38" xfId="0" applyFont="1" applyFill="1" applyBorder="1" applyAlignment="1">
      <alignment horizontal="center" vertical="center" wrapText="1"/>
    </xf>
    <xf numFmtId="0" fontId="112" fillId="13" borderId="26" xfId="0" applyFont="1" applyFill="1" applyBorder="1" applyAlignment="1">
      <alignment horizontal="center" vertical="center" wrapText="1"/>
    </xf>
    <xf numFmtId="0" fontId="112" fillId="13" borderId="1" xfId="0" applyFont="1" applyFill="1" applyBorder="1" applyAlignment="1">
      <alignment horizontal="center" vertical="center" wrapText="1"/>
    </xf>
    <xf numFmtId="0" fontId="112" fillId="13" borderId="0" xfId="0" applyFont="1" applyFill="1" applyBorder="1" applyAlignment="1">
      <alignment horizontal="center" vertical="center" wrapText="1"/>
    </xf>
    <xf numFmtId="0" fontId="112" fillId="13" borderId="29" xfId="0" applyFont="1" applyFill="1" applyBorder="1" applyAlignment="1">
      <alignment horizontal="center" vertical="center" wrapText="1"/>
    </xf>
    <xf numFmtId="0" fontId="112" fillId="13" borderId="24" xfId="0" applyFont="1" applyFill="1" applyBorder="1" applyAlignment="1">
      <alignment horizontal="center" vertical="center" wrapText="1"/>
    </xf>
    <xf numFmtId="0" fontId="112" fillId="13" borderId="14" xfId="0" applyFont="1" applyFill="1" applyBorder="1" applyAlignment="1">
      <alignment horizontal="center" vertical="center" wrapText="1"/>
    </xf>
    <xf numFmtId="0" fontId="112" fillId="13" borderId="11" xfId="0" applyFont="1" applyFill="1" applyBorder="1" applyAlignment="1">
      <alignment horizontal="center" vertical="center" wrapText="1"/>
    </xf>
    <xf numFmtId="2" fontId="5" fillId="8" borderId="5" xfId="0" applyNumberFormat="1" applyFont="1" applyFill="1" applyBorder="1" applyAlignment="1">
      <alignment wrapText="1"/>
    </xf>
    <xf numFmtId="0" fontId="1" fillId="8" borderId="5" xfId="0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0" fontId="18" fillId="8" borderId="7" xfId="0" applyFont="1" applyFill="1" applyBorder="1" applyAlignment="1">
      <alignment wrapText="1"/>
    </xf>
    <xf numFmtId="0" fontId="18" fillId="9" borderId="3" xfId="0" applyFont="1" applyFill="1" applyBorder="1" applyAlignment="1"/>
    <xf numFmtId="0" fontId="19" fillId="12" borderId="19" xfId="0" applyFont="1" applyFill="1" applyBorder="1" applyAlignment="1">
      <alignment horizontal="center" vertical="center" wrapText="1"/>
    </xf>
    <xf numFmtId="0" fontId="90" fillId="8" borderId="3" xfId="0" applyFont="1" applyFill="1" applyBorder="1" applyAlignment="1">
      <alignment horizontal="left" wrapText="1"/>
    </xf>
    <xf numFmtId="0" fontId="104" fillId="14" borderId="18" xfId="0" applyFont="1" applyFill="1" applyBorder="1" applyAlignment="1">
      <alignment horizontal="center" vertical="center" wrapText="1"/>
    </xf>
    <xf numFmtId="0" fontId="104" fillId="14" borderId="8" xfId="0" applyFont="1" applyFill="1" applyBorder="1" applyAlignment="1">
      <alignment horizontal="center" vertical="center" wrapText="1"/>
    </xf>
    <xf numFmtId="0" fontId="105" fillId="14" borderId="9" xfId="0" applyFont="1" applyFill="1" applyBorder="1" applyAlignment="1">
      <alignment horizontal="center" vertical="center" wrapText="1"/>
    </xf>
    <xf numFmtId="2" fontId="4" fillId="21" borderId="30" xfId="0" applyNumberFormat="1" applyFont="1" applyFill="1" applyBorder="1" applyAlignment="1">
      <alignment horizontal="center" vertical="center" wrapText="1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2" xfId="0" applyFont="1" applyFill="1" applyBorder="1" applyAlignment="1">
      <alignment horizontal="center" vertical="center" wrapText="1"/>
    </xf>
    <xf numFmtId="0" fontId="5" fillId="21" borderId="55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3" fillId="14" borderId="30" xfId="0" applyFont="1" applyFill="1" applyBorder="1" applyAlignment="1">
      <alignment horizontal="center" vertical="center" wrapText="1"/>
    </xf>
    <xf numFmtId="0" fontId="83" fillId="14" borderId="39" xfId="0" applyFont="1" applyFill="1" applyBorder="1" applyAlignment="1">
      <alignment horizontal="center" vertical="center" wrapText="1"/>
    </xf>
    <xf numFmtId="0" fontId="83" fillId="14" borderId="40" xfId="0" applyFont="1" applyFill="1" applyBorder="1" applyAlignment="1">
      <alignment horizontal="center" vertical="center" wrapText="1"/>
    </xf>
    <xf numFmtId="0" fontId="83" fillId="14" borderId="6" xfId="0" applyFont="1" applyFill="1" applyBorder="1" applyAlignment="1">
      <alignment horizontal="center" vertical="center" wrapText="1"/>
    </xf>
    <xf numFmtId="0" fontId="83" fillId="14" borderId="0" xfId="0" applyFont="1" applyFill="1" applyBorder="1" applyAlignment="1">
      <alignment horizontal="center" vertical="center" wrapText="1"/>
    </xf>
    <xf numFmtId="0" fontId="83" fillId="14" borderId="15" xfId="0" applyFont="1" applyFill="1" applyBorder="1" applyAlignment="1">
      <alignment horizontal="center" vertical="center" wrapText="1"/>
    </xf>
    <xf numFmtId="0" fontId="83" fillId="14" borderId="33" xfId="0" applyFont="1" applyFill="1" applyBorder="1" applyAlignment="1">
      <alignment horizontal="center" vertical="center" wrapText="1"/>
    </xf>
    <xf numFmtId="0" fontId="83" fillId="14" borderId="27" xfId="0" applyFont="1" applyFill="1" applyBorder="1" applyAlignment="1">
      <alignment horizontal="center" vertical="center" wrapText="1"/>
    </xf>
    <xf numFmtId="0" fontId="83" fillId="14" borderId="41" xfId="0" applyFont="1" applyFill="1" applyBorder="1" applyAlignment="1">
      <alignment horizontal="center" vertical="center" wrapText="1"/>
    </xf>
    <xf numFmtId="0" fontId="91" fillId="14" borderId="22" xfId="0" applyFont="1" applyFill="1" applyBorder="1" applyAlignment="1">
      <alignment horizontal="center" vertical="center" wrapText="1"/>
    </xf>
    <xf numFmtId="0" fontId="92" fillId="14" borderId="38" xfId="0" applyFont="1" applyFill="1" applyBorder="1" applyAlignment="1">
      <alignment horizontal="center" vertical="center" wrapText="1"/>
    </xf>
    <xf numFmtId="0" fontId="92" fillId="14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4" fillId="8" borderId="45" xfId="0" applyNumberFormat="1" applyFont="1" applyFill="1" applyBorder="1" applyAlignment="1">
      <alignment horizontal="center" vertical="center"/>
    </xf>
    <xf numFmtId="0" fontId="4" fillId="8" borderId="46" xfId="0" applyFont="1" applyFill="1" applyBorder="1" applyAlignment="1">
      <alignment horizontal="center" vertical="center"/>
    </xf>
    <xf numFmtId="0" fontId="18" fillId="8" borderId="53" xfId="0" applyFont="1" applyFill="1" applyBorder="1" applyAlignment="1">
      <alignment horizontal="center" vertical="center"/>
    </xf>
    <xf numFmtId="0" fontId="82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9" fillId="8" borderId="43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0" fillId="5" borderId="3" xfId="0" applyFont="1" applyFill="1" applyBorder="1" applyAlignment="1">
      <alignment horizontal="left" wrapText="1"/>
    </xf>
    <xf numFmtId="2" fontId="82" fillId="17" borderId="64" xfId="0" applyNumberFormat="1" applyFont="1" applyFill="1" applyBorder="1" applyAlignment="1">
      <alignment horizontal="center" vertical="center" wrapText="1"/>
    </xf>
    <xf numFmtId="0" fontId="111" fillId="17" borderId="65" xfId="0" applyFont="1" applyFill="1" applyBorder="1" applyAlignment="1">
      <alignment horizontal="center" vertical="center" wrapText="1"/>
    </xf>
    <xf numFmtId="0" fontId="111" fillId="17" borderId="5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4" fillId="14" borderId="18" xfId="0" applyFont="1" applyFill="1" applyBorder="1" applyAlignment="1">
      <alignment horizontal="center" vertical="center" wrapText="1"/>
    </xf>
    <xf numFmtId="0" fontId="86" fillId="14" borderId="8" xfId="0" applyFont="1" applyFill="1" applyBorder="1" applyAlignment="1">
      <alignment horizontal="center" vertical="center" wrapText="1"/>
    </xf>
    <xf numFmtId="0" fontId="86" fillId="14" borderId="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83" fillId="18" borderId="5" xfId="0" applyFont="1" applyFill="1" applyBorder="1" applyAlignment="1"/>
    <xf numFmtId="0" fontId="84" fillId="18" borderId="5" xfId="0" applyFont="1" applyFill="1" applyBorder="1" applyAlignment="1"/>
    <xf numFmtId="0" fontId="82" fillId="19" borderId="5" xfId="0" applyFont="1" applyFill="1" applyBorder="1" applyAlignment="1"/>
    <xf numFmtId="0" fontId="111" fillId="19" borderId="5" xfId="0" applyFont="1" applyFill="1" applyBorder="1" applyAlignment="1"/>
    <xf numFmtId="0" fontId="83" fillId="14" borderId="5" xfId="0" applyFont="1" applyFill="1" applyBorder="1" applyAlignment="1"/>
    <xf numFmtId="0" fontId="84" fillId="14" borderId="5" xfId="0" applyFont="1" applyFill="1" applyBorder="1" applyAlignment="1"/>
    <xf numFmtId="0" fontId="56" fillId="12" borderId="19" xfId="0" applyFont="1" applyFill="1" applyBorder="1" applyAlignment="1">
      <alignment horizontal="center" vertical="center" wrapText="1"/>
    </xf>
    <xf numFmtId="0" fontId="102" fillId="12" borderId="19" xfId="0" applyFont="1" applyFill="1" applyBorder="1" applyAlignment="1">
      <alignment horizontal="center" vertical="center" wrapText="1"/>
    </xf>
    <xf numFmtId="0" fontId="102" fillId="12" borderId="20" xfId="0" applyFont="1" applyFill="1" applyBorder="1" applyAlignment="1">
      <alignment horizontal="center" vertical="center" wrapText="1"/>
    </xf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9" xfId="0" applyFont="1" applyFill="1" applyBorder="1" applyAlignment="1">
      <alignment wrapText="1"/>
    </xf>
    <xf numFmtId="0" fontId="79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1" fillId="8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70" fillId="13" borderId="38" xfId="0" applyFont="1" applyFill="1" applyBorder="1" applyAlignment="1">
      <alignment horizontal="center" vertical="center" wrapText="1"/>
    </xf>
    <xf numFmtId="0" fontId="70" fillId="13" borderId="26" xfId="0" applyFont="1" applyFill="1" applyBorder="1" applyAlignment="1">
      <alignment horizontal="center" vertical="center" wrapText="1"/>
    </xf>
    <xf numFmtId="0" fontId="70" fillId="13" borderId="1" xfId="0" applyFont="1" applyFill="1" applyBorder="1" applyAlignment="1">
      <alignment horizontal="center" vertical="center" wrapText="1"/>
    </xf>
    <xf numFmtId="0" fontId="70" fillId="13" borderId="0" xfId="0" applyFont="1" applyFill="1" applyAlignment="1">
      <alignment horizontal="center" vertical="center" wrapText="1"/>
    </xf>
    <xf numFmtId="0" fontId="70" fillId="13" borderId="29" xfId="0" applyFont="1" applyFill="1" applyBorder="1" applyAlignment="1">
      <alignment horizontal="center" vertical="center" wrapText="1"/>
    </xf>
    <xf numFmtId="0" fontId="70" fillId="13" borderId="24" xfId="0" applyFont="1" applyFill="1" applyBorder="1" applyAlignment="1">
      <alignment horizontal="center" vertical="center" wrapText="1"/>
    </xf>
    <xf numFmtId="0" fontId="70" fillId="13" borderId="14" xfId="0" applyFont="1" applyFill="1" applyBorder="1" applyAlignment="1">
      <alignment horizontal="center" vertical="center" wrapText="1"/>
    </xf>
    <xf numFmtId="0" fontId="70" fillId="13" borderId="11" xfId="0" applyFont="1" applyFill="1" applyBorder="1" applyAlignment="1">
      <alignment horizontal="center" vertical="center" wrapText="1"/>
    </xf>
    <xf numFmtId="2" fontId="82" fillId="14" borderId="24" xfId="0" applyNumberFormat="1" applyFont="1" applyFill="1" applyBorder="1" applyAlignment="1">
      <alignment horizontal="center" vertical="center"/>
    </xf>
    <xf numFmtId="0" fontId="84" fillId="14" borderId="14" xfId="0" applyFont="1" applyFill="1" applyBorder="1" applyAlignment="1">
      <alignment horizontal="center" vertical="center"/>
    </xf>
    <xf numFmtId="0" fontId="84" fillId="14" borderId="11" xfId="0" applyFont="1" applyFill="1" applyBorder="1" applyAlignment="1">
      <alignment horizontal="center" vertical="center"/>
    </xf>
    <xf numFmtId="0" fontId="0" fillId="5" borderId="7" xfId="0" applyFill="1" applyBorder="1" applyAlignment="1"/>
    <xf numFmtId="0" fontId="1" fillId="5" borderId="5" xfId="0" applyFont="1" applyFill="1" applyBorder="1" applyAlignment="1"/>
    <xf numFmtId="0" fontId="10" fillId="10" borderId="0" xfId="0" applyFont="1" applyFill="1" applyBorder="1" applyAlignment="1"/>
    <xf numFmtId="0" fontId="10" fillId="10" borderId="0" xfId="0" applyFont="1" applyFill="1" applyAlignment="1"/>
    <xf numFmtId="2" fontId="5" fillId="7" borderId="13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90" fillId="8" borderId="3" xfId="0" applyNumberFormat="1" applyFont="1" applyFill="1" applyBorder="1" applyAlignment="1">
      <alignment wrapText="1"/>
    </xf>
    <xf numFmtId="0" fontId="89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  <xf numFmtId="0" fontId="94" fillId="14" borderId="30" xfId="0" applyFont="1" applyFill="1" applyBorder="1" applyAlignment="1">
      <alignment horizontal="center" vertical="center" wrapText="1"/>
    </xf>
    <xf numFmtId="0" fontId="86" fillId="14" borderId="39" xfId="0" applyFont="1" applyFill="1" applyBorder="1" applyAlignment="1">
      <alignment horizontal="center" vertical="center" wrapText="1"/>
    </xf>
    <xf numFmtId="0" fontId="84" fillId="14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0" fillId="5" borderId="24" xfId="0" applyFont="1" applyFill="1" applyBorder="1" applyAlignment="1">
      <alignment horizontal="left" vertical="center"/>
    </xf>
    <xf numFmtId="0" fontId="43" fillId="8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7635"/>
      <color rgb="FF008E40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19050</xdr:rowOff>
    </xdr:from>
    <xdr:to>
      <xdr:col>1</xdr:col>
      <xdr:colOff>0</xdr:colOff>
      <xdr:row>603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19050</xdr:rowOff>
    </xdr:from>
    <xdr:to>
      <xdr:col>1</xdr:col>
      <xdr:colOff>0</xdr:colOff>
      <xdr:row>604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19050</xdr:rowOff>
    </xdr:from>
    <xdr:to>
      <xdr:col>1</xdr:col>
      <xdr:colOff>0</xdr:colOff>
      <xdr:row>605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28575</xdr:rowOff>
    </xdr:from>
    <xdr:to>
      <xdr:col>1</xdr:col>
      <xdr:colOff>0</xdr:colOff>
      <xdr:row>340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28575</xdr:rowOff>
    </xdr:from>
    <xdr:to>
      <xdr:col>1</xdr:col>
      <xdr:colOff>0</xdr:colOff>
      <xdr:row>212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28575</xdr:rowOff>
    </xdr:from>
    <xdr:to>
      <xdr:col>1</xdr:col>
      <xdr:colOff>0</xdr:colOff>
      <xdr:row>446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20292</xdr:rowOff>
    </xdr:from>
    <xdr:to>
      <xdr:col>24</xdr:col>
      <xdr:colOff>47625</xdr:colOff>
      <xdr:row>575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19050</xdr:rowOff>
    </xdr:from>
    <xdr:to>
      <xdr:col>24</xdr:col>
      <xdr:colOff>47625</xdr:colOff>
      <xdr:row>585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586</xdr:row>
      <xdr:rowOff>9525</xdr:rowOff>
    </xdr:from>
    <xdr:to>
      <xdr:col>24</xdr:col>
      <xdr:colOff>47625</xdr:colOff>
      <xdr:row>586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47625</xdr:colOff>
      <xdr:row>11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304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28575</xdr:rowOff>
    </xdr:from>
    <xdr:to>
      <xdr:col>1</xdr:col>
      <xdr:colOff>0</xdr:colOff>
      <xdr:row>344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216</xdr:row>
      <xdr:rowOff>19050</xdr:rowOff>
    </xdr:from>
    <xdr:to>
      <xdr:col>26</xdr:col>
      <xdr:colOff>9524</xdr:colOff>
      <xdr:row>216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47625</xdr:colOff>
      <xdr:row>298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507</xdr:row>
      <xdr:rowOff>19050</xdr:rowOff>
    </xdr:from>
    <xdr:to>
      <xdr:col>24</xdr:col>
      <xdr:colOff>48389</xdr:colOff>
      <xdr:row>507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573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209</xdr:row>
      <xdr:rowOff>19050</xdr:rowOff>
    </xdr:from>
    <xdr:to>
      <xdr:col>10</xdr:col>
      <xdr:colOff>1</xdr:colOff>
      <xdr:row>209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586</xdr:row>
      <xdr:rowOff>19050</xdr:rowOff>
    </xdr:from>
    <xdr:to>
      <xdr:col>10</xdr:col>
      <xdr:colOff>1</xdr:colOff>
      <xdr:row>586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202</xdr:row>
      <xdr:rowOff>28575</xdr:rowOff>
    </xdr:from>
    <xdr:to>
      <xdr:col>1</xdr:col>
      <xdr:colOff>0</xdr:colOff>
      <xdr:row>202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201</xdr:row>
      <xdr:rowOff>19050</xdr:rowOff>
    </xdr:from>
    <xdr:to>
      <xdr:col>10</xdr:col>
      <xdr:colOff>1</xdr:colOff>
      <xdr:row>201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11</xdr:row>
      <xdr:rowOff>19050</xdr:rowOff>
    </xdr:from>
    <xdr:to>
      <xdr:col>25</xdr:col>
      <xdr:colOff>380999</xdr:colOff>
      <xdr:row>11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208</xdr:row>
      <xdr:rowOff>19050</xdr:rowOff>
    </xdr:from>
    <xdr:to>
      <xdr:col>26</xdr:col>
      <xdr:colOff>9524</xdr:colOff>
      <xdr:row>208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232</xdr:row>
      <xdr:rowOff>28575</xdr:rowOff>
    </xdr:from>
    <xdr:to>
      <xdr:col>26</xdr:col>
      <xdr:colOff>9524</xdr:colOff>
      <xdr:row>233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234</xdr:row>
      <xdr:rowOff>19050</xdr:rowOff>
    </xdr:from>
    <xdr:to>
      <xdr:col>26</xdr:col>
      <xdr:colOff>9524</xdr:colOff>
      <xdr:row>234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248</xdr:row>
      <xdr:rowOff>19050</xdr:rowOff>
    </xdr:from>
    <xdr:to>
      <xdr:col>26</xdr:col>
      <xdr:colOff>9524</xdr:colOff>
      <xdr:row>248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435</xdr:row>
      <xdr:rowOff>19050</xdr:rowOff>
    </xdr:from>
    <xdr:to>
      <xdr:col>25</xdr:col>
      <xdr:colOff>380999</xdr:colOff>
      <xdr:row>435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434</xdr:row>
      <xdr:rowOff>19050</xdr:rowOff>
    </xdr:from>
    <xdr:to>
      <xdr:col>25</xdr:col>
      <xdr:colOff>380999</xdr:colOff>
      <xdr:row>434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149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330</xdr:row>
      <xdr:rowOff>19050</xdr:rowOff>
    </xdr:from>
    <xdr:to>
      <xdr:col>26</xdr:col>
      <xdr:colOff>9524</xdr:colOff>
      <xdr:row>330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331</xdr:row>
      <xdr:rowOff>19050</xdr:rowOff>
    </xdr:from>
    <xdr:to>
      <xdr:col>26</xdr:col>
      <xdr:colOff>9524</xdr:colOff>
      <xdr:row>331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329</xdr:row>
      <xdr:rowOff>19050</xdr:rowOff>
    </xdr:from>
    <xdr:to>
      <xdr:col>26</xdr:col>
      <xdr:colOff>9524</xdr:colOff>
      <xdr:row>329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267</xdr:row>
      <xdr:rowOff>19050</xdr:rowOff>
    </xdr:from>
    <xdr:to>
      <xdr:col>26</xdr:col>
      <xdr:colOff>9524</xdr:colOff>
      <xdr:row>267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224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568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222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211</xdr:row>
      <xdr:rowOff>28575</xdr:rowOff>
    </xdr:from>
    <xdr:to>
      <xdr:col>1</xdr:col>
      <xdr:colOff>0</xdr:colOff>
      <xdr:row>211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261</xdr:row>
      <xdr:rowOff>19050</xdr:rowOff>
    </xdr:from>
    <xdr:to>
      <xdr:col>10</xdr:col>
      <xdr:colOff>1</xdr:colOff>
      <xdr:row>261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303</xdr:row>
      <xdr:rowOff>19050</xdr:rowOff>
    </xdr:from>
    <xdr:to>
      <xdr:col>25</xdr:col>
      <xdr:colOff>74294</xdr:colOff>
      <xdr:row>303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523</xdr:row>
      <xdr:rowOff>19050</xdr:rowOff>
    </xdr:from>
    <xdr:to>
      <xdr:col>24</xdr:col>
      <xdr:colOff>75821</xdr:colOff>
      <xdr:row>523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75821</xdr:colOff>
      <xdr:row>521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344</xdr:row>
      <xdr:rowOff>19050</xdr:rowOff>
    </xdr:from>
    <xdr:to>
      <xdr:col>26</xdr:col>
      <xdr:colOff>9524</xdr:colOff>
      <xdr:row>344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345</xdr:row>
      <xdr:rowOff>19050</xdr:rowOff>
    </xdr:from>
    <xdr:to>
      <xdr:col>26</xdr:col>
      <xdr:colOff>9524</xdr:colOff>
      <xdr:row>345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33259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178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251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277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361</xdr:row>
      <xdr:rowOff>19050</xdr:rowOff>
    </xdr:from>
    <xdr:to>
      <xdr:col>26</xdr:col>
      <xdr:colOff>9524</xdr:colOff>
      <xdr:row>361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85725</xdr:rowOff>
    </xdr:from>
    <xdr:to>
      <xdr:col>14</xdr:col>
      <xdr:colOff>172693</xdr:colOff>
      <xdr:row>495</xdr:row>
      <xdr:rowOff>19050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503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504</xdr:row>
      <xdr:rowOff>19050</xdr:rowOff>
    </xdr:from>
    <xdr:to>
      <xdr:col>24</xdr:col>
      <xdr:colOff>48389</xdr:colOff>
      <xdr:row>504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8</xdr:col>
      <xdr:colOff>181170</xdr:colOff>
      <xdr:row>143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8</xdr:col>
      <xdr:colOff>181170</xdr:colOff>
      <xdr:row>144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366</xdr:row>
      <xdr:rowOff>16566</xdr:rowOff>
    </xdr:from>
    <xdr:to>
      <xdr:col>24</xdr:col>
      <xdr:colOff>46383</xdr:colOff>
      <xdr:row>366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165</xdr:row>
      <xdr:rowOff>16566</xdr:rowOff>
    </xdr:from>
    <xdr:to>
      <xdr:col>9</xdr:col>
      <xdr:colOff>8284</xdr:colOff>
      <xdr:row>165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349</xdr:row>
      <xdr:rowOff>16566</xdr:rowOff>
    </xdr:from>
    <xdr:to>
      <xdr:col>24</xdr:col>
      <xdr:colOff>46383</xdr:colOff>
      <xdr:row>349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500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276</xdr:row>
      <xdr:rowOff>16566</xdr:rowOff>
    </xdr:from>
    <xdr:to>
      <xdr:col>25</xdr:col>
      <xdr:colOff>82577</xdr:colOff>
      <xdr:row>276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359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620</xdr:row>
      <xdr:rowOff>28575</xdr:rowOff>
    </xdr:from>
    <xdr:to>
      <xdr:col>1</xdr:col>
      <xdr:colOff>0</xdr:colOff>
      <xdr:row>620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142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358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358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362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360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360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24</xdr:row>
      <xdr:rowOff>19050</xdr:rowOff>
    </xdr:from>
    <xdr:to>
      <xdr:col>8</xdr:col>
      <xdr:colOff>393838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1148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5505"/>
    <xdr:pic>
      <xdr:nvPicPr>
        <xdr:cNvPr id="8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405</xdr:row>
      <xdr:rowOff>28575</xdr:rowOff>
    </xdr:from>
    <xdr:ext cx="342900" cy="104775"/>
    <xdr:pic>
      <xdr:nvPicPr>
        <xdr:cNvPr id="99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73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97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365</xdr:row>
      <xdr:rowOff>19050</xdr:rowOff>
    </xdr:from>
    <xdr:ext cx="819149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309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49" cy="123825"/>
    <xdr:pic>
      <xdr:nvPicPr>
        <xdr:cNvPr id="12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5785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3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89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459</xdr:row>
      <xdr:rowOff>19050</xdr:rowOff>
    </xdr:from>
    <xdr:to>
      <xdr:col>10</xdr:col>
      <xdr:colOff>1</xdr:colOff>
      <xdr:row>459</xdr:row>
      <xdr:rowOff>142875</xdr:rowOff>
    </xdr:to>
    <xdr:pic>
      <xdr:nvPicPr>
        <xdr:cNvPr id="10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494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427</xdr:row>
      <xdr:rowOff>19050</xdr:rowOff>
    </xdr:from>
    <xdr:to>
      <xdr:col>8</xdr:col>
      <xdr:colOff>181170</xdr:colOff>
      <xdr:row>427</xdr:row>
      <xdr:rowOff>142875</xdr:rowOff>
    </xdr:to>
    <xdr:pic>
      <xdr:nvPicPr>
        <xdr:cNvPr id="113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5133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406</xdr:row>
      <xdr:rowOff>28575</xdr:rowOff>
    </xdr:from>
    <xdr:ext cx="342900" cy="104775"/>
    <xdr:pic>
      <xdr:nvPicPr>
        <xdr:cNvPr id="126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47624</xdr:colOff>
      <xdr:row>282</xdr:row>
      <xdr:rowOff>142875</xdr:rowOff>
    </xdr:to>
    <xdr:pic>
      <xdr:nvPicPr>
        <xdr:cNvPr id="12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034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74958</xdr:colOff>
      <xdr:row>275</xdr:row>
      <xdr:rowOff>16566</xdr:rowOff>
    </xdr:from>
    <xdr:ext cx="502919" cy="121920"/>
    <xdr:pic>
      <xdr:nvPicPr>
        <xdr:cNvPr id="1288" name="Imagen 128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733" y="42964791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277</xdr:row>
      <xdr:rowOff>19050</xdr:rowOff>
    </xdr:from>
    <xdr:to>
      <xdr:col>24</xdr:col>
      <xdr:colOff>47624</xdr:colOff>
      <xdr:row>277</xdr:row>
      <xdr:rowOff>142875</xdr:rowOff>
    </xdr:to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1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47624</xdr:colOff>
      <xdr:row>275</xdr:row>
      <xdr:rowOff>142875</xdr:rowOff>
    </xdr:to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1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47624</xdr:colOff>
      <xdr:row>297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033" name="Imagen 103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476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065" name="Imagen 106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9629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00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375</xdr:row>
      <xdr:rowOff>28575</xdr:rowOff>
    </xdr:from>
    <xdr:ext cx="342900" cy="104775"/>
    <xdr:pic>
      <xdr:nvPicPr>
        <xdr:cNvPr id="106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07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16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226</xdr:row>
      <xdr:rowOff>28575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233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2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18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2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225</xdr:row>
      <xdr:rowOff>28575</xdr:rowOff>
    </xdr:from>
    <xdr:ext cx="819149" cy="123825"/>
    <xdr:pic>
      <xdr:nvPicPr>
        <xdr:cNvPr id="12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471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225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0</xdr:colOff>
      <xdr:row>9</xdr:row>
      <xdr:rowOff>19050</xdr:rowOff>
    </xdr:from>
    <xdr:to>
      <xdr:col>24</xdr:col>
      <xdr:colOff>38099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10</xdr:row>
      <xdr:rowOff>19050</xdr:rowOff>
    </xdr:from>
    <xdr:to>
      <xdr:col>24</xdr:col>
      <xdr:colOff>38099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223</xdr:row>
      <xdr:rowOff>28575</xdr:rowOff>
    </xdr:from>
    <xdr:ext cx="342900" cy="104775"/>
    <xdr:pic>
      <xdr:nvPicPr>
        <xdr:cNvPr id="13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66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402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99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8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15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4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304</xdr:row>
      <xdr:rowOff>19050</xdr:rowOff>
    </xdr:from>
    <xdr:to>
      <xdr:col>24</xdr:col>
      <xdr:colOff>47625</xdr:colOff>
      <xdr:row>304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556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72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40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72170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3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28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50" cy="123825"/>
    <xdr:pic>
      <xdr:nvPicPr>
        <xdr:cNvPr id="140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6069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387</xdr:row>
      <xdr:rowOff>19050</xdr:rowOff>
    </xdr:from>
    <xdr:ext cx="342900" cy="104775"/>
    <xdr:pic>
      <xdr:nvPicPr>
        <xdr:cNvPr id="140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40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40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97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963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94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09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92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68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0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92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3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606</xdr:row>
      <xdr:rowOff>19050</xdr:rowOff>
    </xdr:from>
    <xdr:to>
      <xdr:col>24</xdr:col>
      <xdr:colOff>49180</xdr:colOff>
      <xdr:row>606</xdr:row>
      <xdr:rowOff>142875</xdr:rowOff>
    </xdr:to>
    <xdr:pic>
      <xdr:nvPicPr>
        <xdr:cNvPr id="135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868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49180</xdr:colOff>
      <xdr:row>597</xdr:row>
      <xdr:rowOff>142875</xdr:rowOff>
    </xdr:to>
    <xdr:pic>
      <xdr:nvPicPr>
        <xdr:cNvPr id="1405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97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596</xdr:row>
      <xdr:rowOff>19050</xdr:rowOff>
    </xdr:from>
    <xdr:to>
      <xdr:col>24</xdr:col>
      <xdr:colOff>49180</xdr:colOff>
      <xdr:row>596</xdr:row>
      <xdr:rowOff>144555</xdr:rowOff>
    </xdr:to>
    <xdr:pic>
      <xdr:nvPicPr>
        <xdr:cNvPr id="1412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344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595</xdr:row>
      <xdr:rowOff>19050</xdr:rowOff>
    </xdr:from>
    <xdr:to>
      <xdr:col>24</xdr:col>
      <xdr:colOff>49180</xdr:colOff>
      <xdr:row>595</xdr:row>
      <xdr:rowOff>142875</xdr:rowOff>
    </xdr:to>
    <xdr:pic>
      <xdr:nvPicPr>
        <xdr:cNvPr id="1417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19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594</xdr:row>
      <xdr:rowOff>19050</xdr:rowOff>
    </xdr:from>
    <xdr:to>
      <xdr:col>24</xdr:col>
      <xdr:colOff>49180</xdr:colOff>
      <xdr:row>594</xdr:row>
      <xdr:rowOff>142875</xdr:rowOff>
    </xdr:to>
    <xdr:pic>
      <xdr:nvPicPr>
        <xdr:cNvPr id="1418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03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593</xdr:row>
      <xdr:rowOff>19050</xdr:rowOff>
    </xdr:from>
    <xdr:to>
      <xdr:col>24</xdr:col>
      <xdr:colOff>49180</xdr:colOff>
      <xdr:row>593</xdr:row>
      <xdr:rowOff>139561</xdr:rowOff>
    </xdr:to>
    <xdr:pic>
      <xdr:nvPicPr>
        <xdr:cNvPr id="141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887550"/>
          <a:ext cx="82070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592</xdr:row>
      <xdr:rowOff>19050</xdr:rowOff>
    </xdr:from>
    <xdr:to>
      <xdr:col>24</xdr:col>
      <xdr:colOff>49180</xdr:colOff>
      <xdr:row>592</xdr:row>
      <xdr:rowOff>142875</xdr:rowOff>
    </xdr:to>
    <xdr:pic>
      <xdr:nvPicPr>
        <xdr:cNvPr id="1423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0735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605</xdr:row>
      <xdr:rowOff>19050</xdr:rowOff>
    </xdr:from>
    <xdr:to>
      <xdr:col>24</xdr:col>
      <xdr:colOff>49180</xdr:colOff>
      <xdr:row>605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49180</xdr:colOff>
      <xdr:row>598</xdr:row>
      <xdr:rowOff>142875</xdr:rowOff>
    </xdr:to>
    <xdr:pic>
      <xdr:nvPicPr>
        <xdr:cNvPr id="1439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649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604</xdr:row>
      <xdr:rowOff>19050</xdr:rowOff>
    </xdr:from>
    <xdr:to>
      <xdr:col>24</xdr:col>
      <xdr:colOff>49180</xdr:colOff>
      <xdr:row>604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49180</xdr:colOff>
      <xdr:row>603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49180</xdr:colOff>
      <xdr:row>599</xdr:row>
      <xdr:rowOff>142875</xdr:rowOff>
    </xdr:to>
    <xdr:pic>
      <xdr:nvPicPr>
        <xdr:cNvPr id="1442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80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25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1450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106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19050</xdr:rowOff>
    </xdr:from>
    <xdr:to>
      <xdr:col>24</xdr:col>
      <xdr:colOff>49180</xdr:colOff>
      <xdr:row>607</xdr:row>
      <xdr:rowOff>142875</xdr:rowOff>
    </xdr:to>
    <xdr:pic>
      <xdr:nvPicPr>
        <xdr:cNvPr id="1451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021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19050</xdr:rowOff>
    </xdr:from>
    <xdr:to>
      <xdr:col>24</xdr:col>
      <xdr:colOff>49180</xdr:colOff>
      <xdr:row>608</xdr:row>
      <xdr:rowOff>142875</xdr:rowOff>
    </xdr:to>
    <xdr:pic>
      <xdr:nvPicPr>
        <xdr:cNvPr id="1456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173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49180</xdr:colOff>
      <xdr:row>609</xdr:row>
      <xdr:rowOff>144555</xdr:rowOff>
    </xdr:to>
    <xdr:pic>
      <xdr:nvPicPr>
        <xdr:cNvPr id="1471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36307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622</xdr:row>
      <xdr:rowOff>19050</xdr:rowOff>
    </xdr:from>
    <xdr:to>
      <xdr:col>24</xdr:col>
      <xdr:colOff>47625</xdr:colOff>
      <xdr:row>622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19050</xdr:rowOff>
    </xdr:from>
    <xdr:to>
      <xdr:col>24</xdr:col>
      <xdr:colOff>49180</xdr:colOff>
      <xdr:row>619</xdr:row>
      <xdr:rowOff>142875</xdr:rowOff>
    </xdr:to>
    <xdr:pic>
      <xdr:nvPicPr>
        <xdr:cNvPr id="147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849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19150" cy="123825"/>
    <xdr:pic>
      <xdr:nvPicPr>
        <xdr:cNvPr id="1480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392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19150" cy="123825"/>
    <xdr:pic>
      <xdr:nvPicPr>
        <xdr:cNvPr id="148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545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19150" cy="123825"/>
    <xdr:pic>
      <xdr:nvPicPr>
        <xdr:cNvPr id="1486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4697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624</xdr:row>
      <xdr:rowOff>19050</xdr:rowOff>
    </xdr:from>
    <xdr:to>
      <xdr:col>24</xdr:col>
      <xdr:colOff>49180</xdr:colOff>
      <xdr:row>624</xdr:row>
      <xdr:rowOff>142875</xdr:rowOff>
    </xdr:to>
    <xdr:pic>
      <xdr:nvPicPr>
        <xdr:cNvPr id="1487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611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49180</xdr:colOff>
      <xdr:row>627</xdr:row>
      <xdr:rowOff>142875</xdr:rowOff>
    </xdr:to>
    <xdr:pic>
      <xdr:nvPicPr>
        <xdr:cNvPr id="1489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691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625</xdr:row>
      <xdr:rowOff>19050</xdr:rowOff>
    </xdr:from>
    <xdr:to>
      <xdr:col>24</xdr:col>
      <xdr:colOff>49180</xdr:colOff>
      <xdr:row>625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628</xdr:row>
      <xdr:rowOff>19050</xdr:rowOff>
    </xdr:from>
    <xdr:ext cx="820705" cy="123825"/>
    <xdr:pic>
      <xdr:nvPicPr>
        <xdr:cNvPr id="1492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22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49180</xdr:colOff>
      <xdr:row>620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621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623</xdr:row>
      <xdr:rowOff>19050</xdr:rowOff>
    </xdr:from>
    <xdr:to>
      <xdr:col>24</xdr:col>
      <xdr:colOff>47624</xdr:colOff>
      <xdr:row>623</xdr:row>
      <xdr:rowOff>142875</xdr:rowOff>
    </xdr:to>
    <xdr:pic>
      <xdr:nvPicPr>
        <xdr:cNvPr id="14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4595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14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087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45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93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38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430</xdr:row>
      <xdr:rowOff>19050</xdr:rowOff>
    </xdr:from>
    <xdr:to>
      <xdr:col>8</xdr:col>
      <xdr:colOff>181170</xdr:colOff>
      <xdr:row>430</xdr:row>
      <xdr:rowOff>142875</xdr:rowOff>
    </xdr:to>
    <xdr:pic>
      <xdr:nvPicPr>
        <xdr:cNvPr id="105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9122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53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28575</xdr:rowOff>
    </xdr:from>
    <xdr:ext cx="342900" cy="104775"/>
    <xdr:pic>
      <xdr:nvPicPr>
        <xdr:cNvPr id="107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37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75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2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421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591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03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1305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990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6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28575</xdr:rowOff>
    </xdr:from>
    <xdr:to>
      <xdr:col>1</xdr:col>
      <xdr:colOff>0</xdr:colOff>
      <xdr:row>490</xdr:row>
      <xdr:rowOff>133350</xdr:rowOff>
    </xdr:to>
    <xdr:pic>
      <xdr:nvPicPr>
        <xdr:cNvPr id="131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18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28575</xdr:rowOff>
    </xdr:from>
    <xdr:to>
      <xdr:col>1</xdr:col>
      <xdr:colOff>0</xdr:colOff>
      <xdr:row>631</xdr:row>
      <xdr:rowOff>133350</xdr:rowOff>
    </xdr:to>
    <xdr:pic>
      <xdr:nvPicPr>
        <xdr:cNvPr id="1322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29" name="Imagen 132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94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6602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629</xdr:row>
      <xdr:rowOff>28575</xdr:rowOff>
    </xdr:from>
    <xdr:ext cx="342900" cy="104775"/>
    <xdr:pic>
      <xdr:nvPicPr>
        <xdr:cNvPr id="13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16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273</xdr:row>
      <xdr:rowOff>19050</xdr:rowOff>
    </xdr:from>
    <xdr:to>
      <xdr:col>18</xdr:col>
      <xdr:colOff>9526</xdr:colOff>
      <xdr:row>273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357</xdr:row>
      <xdr:rowOff>19050</xdr:rowOff>
    </xdr:from>
    <xdr:to>
      <xdr:col>8</xdr:col>
      <xdr:colOff>181170</xdr:colOff>
      <xdr:row>357</xdr:row>
      <xdr:rowOff>142875</xdr:rowOff>
    </xdr:to>
    <xdr:pic>
      <xdr:nvPicPr>
        <xdr:cNvPr id="135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3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57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078" name="Imagen 10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2905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915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74958</xdr:colOff>
      <xdr:row>274</xdr:row>
      <xdr:rowOff>16566</xdr:rowOff>
    </xdr:from>
    <xdr:ext cx="502919" cy="121920"/>
    <xdr:pic>
      <xdr:nvPicPr>
        <xdr:cNvPr id="1202" name="Imagen 120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208" y="42964791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96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26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2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422</xdr:row>
      <xdr:rowOff>19050</xdr:rowOff>
    </xdr:from>
    <xdr:to>
      <xdr:col>8</xdr:col>
      <xdr:colOff>181170</xdr:colOff>
      <xdr:row>422</xdr:row>
      <xdr:rowOff>142875</xdr:rowOff>
    </xdr:to>
    <xdr:pic>
      <xdr:nvPicPr>
        <xdr:cNvPr id="1308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77513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28575</xdr:rowOff>
    </xdr:from>
    <xdr:ext cx="342900" cy="104775"/>
    <xdr:pic>
      <xdr:nvPicPr>
        <xdr:cNvPr id="11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90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288</xdr:row>
      <xdr:rowOff>19050</xdr:rowOff>
    </xdr:from>
    <xdr:ext cx="502919" cy="121920"/>
    <xdr:pic>
      <xdr:nvPicPr>
        <xdr:cNvPr id="1215" name="Imagen 121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1008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2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0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137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07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39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534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63" TargetMode="External"/><Relationship Id="rId531" Type="http://schemas.openxmlformats.org/officeDocument/2006/relationships/hyperlink" Target="https://www.jivi.com.ar/ficha.php?id=1730" TargetMode="External"/><Relationship Id="rId170" Type="http://schemas.openxmlformats.org/officeDocument/2006/relationships/hyperlink" Target="https://www.jivi.com.ar/ficha.php?id=1080" TargetMode="External"/><Relationship Id="rId268" Type="http://schemas.openxmlformats.org/officeDocument/2006/relationships/hyperlink" Target="https://www.jivi.com.ar/ficha.php?id=1343" TargetMode="External"/><Relationship Id="rId475" Type="http://schemas.openxmlformats.org/officeDocument/2006/relationships/hyperlink" Target="https://www.jivi.com.ar/ficha.php?id=1634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76" TargetMode="External"/><Relationship Id="rId335" Type="http://schemas.openxmlformats.org/officeDocument/2006/relationships/hyperlink" Target="https://www.jivi.com.ar/ficha.php?id=996" TargetMode="External"/><Relationship Id="rId542" Type="http://schemas.openxmlformats.org/officeDocument/2006/relationships/hyperlink" Target="https://www.jivi.com.ar/ficha.php?id=1575" TargetMode="External"/><Relationship Id="rId181" Type="http://schemas.openxmlformats.org/officeDocument/2006/relationships/hyperlink" Target="https://www.jivi.com.ar/ficha.php?id=885" TargetMode="External"/><Relationship Id="rId402" Type="http://schemas.openxmlformats.org/officeDocument/2006/relationships/hyperlink" Target="https://www.jivi.com.ar/ficha.php?id=1407" TargetMode="External"/><Relationship Id="rId279" Type="http://schemas.openxmlformats.org/officeDocument/2006/relationships/hyperlink" Target="https://www.jivi.com.ar/ficha.php?id=477" TargetMode="External"/><Relationship Id="rId486" Type="http://schemas.openxmlformats.org/officeDocument/2006/relationships/hyperlink" Target="https://www.jivi.com.ar/ficha.php?id=1637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881" TargetMode="External"/><Relationship Id="rId346" Type="http://schemas.openxmlformats.org/officeDocument/2006/relationships/hyperlink" Target="https://www.jivi.com.ar/ficha.php?id=1494" TargetMode="External"/><Relationship Id="rId553" Type="http://schemas.openxmlformats.org/officeDocument/2006/relationships/hyperlink" Target="https://www.jivi.com.ar/ficha.php?id=1751" TargetMode="External"/><Relationship Id="rId192" Type="http://schemas.openxmlformats.org/officeDocument/2006/relationships/hyperlink" Target="https://www.jivi.com.ar/ficha.php?id=1156" TargetMode="External"/><Relationship Id="rId206" Type="http://schemas.openxmlformats.org/officeDocument/2006/relationships/hyperlink" Target="https://www.jivi.com.ar/ficha.php?id=1192" TargetMode="External"/><Relationship Id="rId413" Type="http://schemas.openxmlformats.org/officeDocument/2006/relationships/hyperlink" Target="https://www.jivi.com.ar/ficha.php?id=1518" TargetMode="External"/><Relationship Id="rId497" Type="http://schemas.openxmlformats.org/officeDocument/2006/relationships/hyperlink" Target="https://www.jivi.com.ar/ficha.php?id=1666" TargetMode="External"/><Relationship Id="rId357" Type="http://schemas.openxmlformats.org/officeDocument/2006/relationships/hyperlink" Target="https://www.jivi.com.ar/ficha.php?id=1506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226" TargetMode="External"/><Relationship Id="rId424" Type="http://schemas.openxmlformats.org/officeDocument/2006/relationships/hyperlink" Target="https://www.jivi.com.ar/ficha.php?id=157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215" TargetMode="External"/><Relationship Id="rId270" Type="http://schemas.openxmlformats.org/officeDocument/2006/relationships/hyperlink" Target="https://www.jivi.com.ar/ficha.php?id=872" TargetMode="External"/><Relationship Id="rId326" Type="http://schemas.openxmlformats.org/officeDocument/2006/relationships/hyperlink" Target="https://www.jivi.com.ar/ficha.php?id=1465" TargetMode="External"/><Relationship Id="rId533" Type="http://schemas.openxmlformats.org/officeDocument/2006/relationships/hyperlink" Target="https://www.jivi.com.ar/ficha.php?id=1732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708" TargetMode="External"/><Relationship Id="rId368" Type="http://schemas.openxmlformats.org/officeDocument/2006/relationships/hyperlink" Target="https://www.jivi.com.ar/ficha.php?id=1524" TargetMode="External"/><Relationship Id="rId172" Type="http://schemas.openxmlformats.org/officeDocument/2006/relationships/hyperlink" Target="https://www.jivi.com.ar/ficha.php?id=1088" TargetMode="External"/><Relationship Id="rId228" Type="http://schemas.openxmlformats.org/officeDocument/2006/relationships/hyperlink" Target="https://www.jivi.com.ar/ficha.php?id=1267" TargetMode="External"/><Relationship Id="rId435" Type="http://schemas.openxmlformats.org/officeDocument/2006/relationships/hyperlink" Target="https://www.jivi.com.ar/ficha.php?id=1590" TargetMode="External"/><Relationship Id="rId477" Type="http://schemas.openxmlformats.org/officeDocument/2006/relationships/hyperlink" Target="https://www.jivi.com.ar/ficha.php?id=265" TargetMode="External"/><Relationship Id="rId281" Type="http://schemas.openxmlformats.org/officeDocument/2006/relationships/hyperlink" Target="https://www.jivi.com.ar/ficha.php?id=1402" TargetMode="External"/><Relationship Id="rId337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672" TargetMode="External"/><Relationship Id="rId34" Type="http://schemas.openxmlformats.org/officeDocument/2006/relationships/hyperlink" Target="https://www.jivi.com.ar/ficha.php?id=113" TargetMode="External"/><Relationship Id="rId76" Type="http://schemas.openxmlformats.org/officeDocument/2006/relationships/hyperlink" Target="https://www.jivi.com.ar/ficha.php?id=394" TargetMode="External"/><Relationship Id="rId141" Type="http://schemas.openxmlformats.org/officeDocument/2006/relationships/hyperlink" Target="https://www.jivi.com.ar/ficha.php?id=886" TargetMode="External"/><Relationship Id="rId379" Type="http://schemas.openxmlformats.org/officeDocument/2006/relationships/hyperlink" Target="https://www.jivi.com.ar/ficha.php?id=1545" TargetMode="External"/><Relationship Id="rId544" Type="http://schemas.openxmlformats.org/officeDocument/2006/relationships/hyperlink" Target="https://www.jivi.com.ar/ficha.php?id=1744" TargetMode="External"/><Relationship Id="rId7" Type="http://schemas.openxmlformats.org/officeDocument/2006/relationships/hyperlink" Target="https://www.jivi.com.ar/ficha.php?id=724" TargetMode="External"/><Relationship Id="rId183" Type="http://schemas.openxmlformats.org/officeDocument/2006/relationships/hyperlink" Target="https://www.jivi.com.ar/ficha.php?id=1108" TargetMode="External"/><Relationship Id="rId239" Type="http://schemas.openxmlformats.org/officeDocument/2006/relationships/hyperlink" Target="https://www.jivi.com.ar/ficha.php?id=1306" TargetMode="External"/><Relationship Id="rId390" Type="http://schemas.openxmlformats.org/officeDocument/2006/relationships/hyperlink" Target="https://www.jivi.com.ar/ficha.php?id=1397" TargetMode="External"/><Relationship Id="rId404" Type="http://schemas.openxmlformats.org/officeDocument/2006/relationships/hyperlink" Target="https://www.jivi.com.ar/ficha.php?id=1408" TargetMode="External"/><Relationship Id="rId446" Type="http://schemas.openxmlformats.org/officeDocument/2006/relationships/hyperlink" Target="https://www.jivi.com.ar/ficha.php?id=1224" TargetMode="External"/><Relationship Id="rId250" Type="http://schemas.openxmlformats.org/officeDocument/2006/relationships/hyperlink" Target="https://www.jivi.com.ar/ficha.php?id=1359" TargetMode="External"/><Relationship Id="rId292" Type="http://schemas.openxmlformats.org/officeDocument/2006/relationships/hyperlink" Target="https://www.jivi.com.ar/ficha.php?id=1281" TargetMode="External"/><Relationship Id="rId306" Type="http://schemas.openxmlformats.org/officeDocument/2006/relationships/hyperlink" Target="https://www.jivi.com.ar/ficha.php?id=1439" TargetMode="External"/><Relationship Id="rId488" Type="http://schemas.openxmlformats.org/officeDocument/2006/relationships/hyperlink" Target="https://www.jivi.com.ar/ficha.php?id=1655" TargetMode="External"/><Relationship Id="rId45" Type="http://schemas.openxmlformats.org/officeDocument/2006/relationships/hyperlink" Target="https://www.jivi.com.ar/ficha.php?id=638" TargetMode="External"/><Relationship Id="rId87" Type="http://schemas.openxmlformats.org/officeDocument/2006/relationships/hyperlink" Target="https://www.jivi.com.ar/ficha.php?id=138" TargetMode="External"/><Relationship Id="rId110" Type="http://schemas.openxmlformats.org/officeDocument/2006/relationships/hyperlink" Target="https://www.jivi.com.ar/ficha.php?id=398" TargetMode="External"/><Relationship Id="rId348" Type="http://schemas.openxmlformats.org/officeDocument/2006/relationships/hyperlink" Target="https://www.jivi.com.ar/ficha.php?id=1496" TargetMode="External"/><Relationship Id="rId513" Type="http://schemas.openxmlformats.org/officeDocument/2006/relationships/hyperlink" Target="https://www.jivi.com.ar/ficha.php?id=1510" TargetMode="External"/><Relationship Id="rId555" Type="http://schemas.openxmlformats.org/officeDocument/2006/relationships/hyperlink" Target="https://www.jivi.com.ar/ficha.php?id=1775" TargetMode="External"/><Relationship Id="rId152" Type="http://schemas.openxmlformats.org/officeDocument/2006/relationships/hyperlink" Target="https://www.jivi.com.ar/ficha.php?id=967" TargetMode="External"/><Relationship Id="rId194" Type="http://schemas.openxmlformats.org/officeDocument/2006/relationships/hyperlink" Target="https://www.jivi.com.ar/ficha.php?id=1152" TargetMode="External"/><Relationship Id="rId208" Type="http://schemas.openxmlformats.org/officeDocument/2006/relationships/hyperlink" Target="https://www.jivi.com.ar/ficha.php?id=1209" TargetMode="External"/><Relationship Id="rId415" Type="http://schemas.openxmlformats.org/officeDocument/2006/relationships/hyperlink" Target="https://www.jivi.com.ar/ficha.php?id=1572" TargetMode="External"/><Relationship Id="rId457" Type="http://schemas.openxmlformats.org/officeDocument/2006/relationships/hyperlink" Target="https://www.jivi.com.ar/ficha.php?id=1396" TargetMode="External"/><Relationship Id="rId261" Type="http://schemas.openxmlformats.org/officeDocument/2006/relationships/hyperlink" Target="https://www.jivi.com.ar/ficha.php?id=1428" TargetMode="External"/><Relationship Id="rId499" Type="http://schemas.openxmlformats.org/officeDocument/2006/relationships/hyperlink" Target="https://www.jivi.com.ar/ficha.php?id=1684" TargetMode="External"/><Relationship Id="rId14" Type="http://schemas.openxmlformats.org/officeDocument/2006/relationships/hyperlink" Target="https://www.jivi.com.ar/ficha.php?id=164" TargetMode="External"/><Relationship Id="rId56" Type="http://schemas.openxmlformats.org/officeDocument/2006/relationships/hyperlink" Target="https://www.jivi.com.ar/ficha.php?id=120" TargetMode="External"/><Relationship Id="rId317" Type="http://schemas.openxmlformats.org/officeDocument/2006/relationships/hyperlink" Target="https://www.jivi.com.ar/ficha.php?id=1449" TargetMode="External"/><Relationship Id="rId359" Type="http://schemas.openxmlformats.org/officeDocument/2006/relationships/hyperlink" Target="https://www.jivi.com.ar/ficha.php?id=1508" TargetMode="External"/><Relationship Id="rId524" Type="http://schemas.openxmlformats.org/officeDocument/2006/relationships/hyperlink" Target="https://www.jivi.com.ar/ficha.php?id=1721" TargetMode="External"/><Relationship Id="rId98" Type="http://schemas.openxmlformats.org/officeDocument/2006/relationships/hyperlink" Target="https://www.jivi.com.ar/ficha.php?id=246" TargetMode="External"/><Relationship Id="rId121" Type="http://schemas.openxmlformats.org/officeDocument/2006/relationships/hyperlink" Target="https://www.jivi.com.ar/ficha.php?id=354" TargetMode="External"/><Relationship Id="rId163" Type="http://schemas.openxmlformats.org/officeDocument/2006/relationships/hyperlink" Target="https://www.jivi.com.ar/ficha.php?id=1049" TargetMode="External"/><Relationship Id="rId219" Type="http://schemas.openxmlformats.org/officeDocument/2006/relationships/hyperlink" Target="https://www.jivi.com.ar/ficha.php?id=1060" TargetMode="External"/><Relationship Id="rId370" Type="http://schemas.openxmlformats.org/officeDocument/2006/relationships/hyperlink" Target="https://www.jivi.com.ar/ficha.php?id=1532" TargetMode="External"/><Relationship Id="rId426" Type="http://schemas.openxmlformats.org/officeDocument/2006/relationships/hyperlink" Target="https://www.jivi.com.ar/ficha.php?id=1581" TargetMode="External"/><Relationship Id="rId230" Type="http://schemas.openxmlformats.org/officeDocument/2006/relationships/hyperlink" Target="https://www.jivi.com.ar/ficha.php?id=1277" TargetMode="External"/><Relationship Id="rId468" Type="http://schemas.openxmlformats.org/officeDocument/2006/relationships/hyperlink" Target="https://www.jivi.com.ar/ficha.php?id=1619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262" TargetMode="External"/><Relationship Id="rId328" Type="http://schemas.openxmlformats.org/officeDocument/2006/relationships/hyperlink" Target="https://www.jivi.com.ar/ficha.php?id=1467" TargetMode="External"/><Relationship Id="rId535" Type="http://schemas.openxmlformats.org/officeDocument/2006/relationships/hyperlink" Target="https://www.jivi.com.ar/ficha.php?id=465" TargetMode="External"/><Relationship Id="rId132" Type="http://schemas.openxmlformats.org/officeDocument/2006/relationships/hyperlink" Target="https://www.jivi.com.ar/ficha.php?id=840" TargetMode="External"/><Relationship Id="rId174" Type="http://schemas.openxmlformats.org/officeDocument/2006/relationships/hyperlink" Target="https://www.jivi.com.ar/ficha.php?id=1090" TargetMode="External"/><Relationship Id="rId381" Type="http://schemas.openxmlformats.org/officeDocument/2006/relationships/hyperlink" Target="https://www.jivi.com.ar/ficha.php?id=1547" TargetMode="External"/><Relationship Id="rId241" Type="http://schemas.openxmlformats.org/officeDocument/2006/relationships/hyperlink" Target="https://www.jivi.com.ar/ficha.php?id=1290" TargetMode="External"/><Relationship Id="rId437" Type="http://schemas.openxmlformats.org/officeDocument/2006/relationships/hyperlink" Target="https://www.jivi.com.ar/ficha.php?id=1592" TargetMode="External"/><Relationship Id="rId479" Type="http://schemas.openxmlformats.org/officeDocument/2006/relationships/hyperlink" Target="https://www.jivi.com.ar/ficha.php?id=1643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05" TargetMode="External"/><Relationship Id="rId339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656" TargetMode="External"/><Relationship Id="rId504" Type="http://schemas.openxmlformats.org/officeDocument/2006/relationships/hyperlink" Target="https://www.jivi.com.ar/ficha.php?id=1691" TargetMode="External"/><Relationship Id="rId546" Type="http://schemas.openxmlformats.org/officeDocument/2006/relationships/hyperlink" Target="https://www.jivi.com.ar/ficha.php?id=1746" TargetMode="External"/><Relationship Id="rId78" Type="http://schemas.openxmlformats.org/officeDocument/2006/relationships/hyperlink" Target="https://www.jivi.com.ar/ficha.php?id=18" TargetMode="External"/><Relationship Id="rId101" Type="http://schemas.openxmlformats.org/officeDocument/2006/relationships/hyperlink" Target="https://www.jivi.com.ar/ficha.php?id=48" TargetMode="External"/><Relationship Id="rId143" Type="http://schemas.openxmlformats.org/officeDocument/2006/relationships/hyperlink" Target="https://www.jivi.com.ar/ficha.php?id=918" TargetMode="External"/><Relationship Id="rId185" Type="http://schemas.openxmlformats.org/officeDocument/2006/relationships/hyperlink" Target="https://www.jivi.com.ar/ficha.php?id=1119" TargetMode="External"/><Relationship Id="rId350" Type="http://schemas.openxmlformats.org/officeDocument/2006/relationships/hyperlink" Target="httphttps://www.jivi.com.ar/ficha.php?id=1498" TargetMode="External"/><Relationship Id="rId406" Type="http://schemas.openxmlformats.org/officeDocument/2006/relationships/hyperlink" Target="https://www.jivi.com.ar/ficha.php?id=1565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19" TargetMode="External"/><Relationship Id="rId392" Type="http://schemas.openxmlformats.org/officeDocument/2006/relationships/hyperlink" Target="https://www.jivi.com.ar/ficha.php?id=1557" TargetMode="External"/><Relationship Id="rId448" Type="http://schemas.openxmlformats.org/officeDocument/2006/relationships/hyperlink" Target="https://www.jivi.com.ar/ficha.php?id=1606" TargetMode="External"/><Relationship Id="rId252" Type="http://schemas.openxmlformats.org/officeDocument/2006/relationships/hyperlink" Target="https://www.jivi.com.ar/ficha.php?id=1365" TargetMode="External"/><Relationship Id="rId294" Type="http://schemas.openxmlformats.org/officeDocument/2006/relationships/hyperlink" Target="https://www.jivi.com.ar/ficha.php?id=1421" TargetMode="External"/><Relationship Id="rId308" Type="http://schemas.openxmlformats.org/officeDocument/2006/relationships/hyperlink" Target="https://www.jivi.com.ar/ficha.php?id=1427" TargetMode="External"/><Relationship Id="rId515" Type="http://schemas.openxmlformats.org/officeDocument/2006/relationships/hyperlink" Target="https://www.jivi.com.ar/ficha.php?id=1531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6" TargetMode="External"/><Relationship Id="rId112" Type="http://schemas.openxmlformats.org/officeDocument/2006/relationships/hyperlink" Target="https://www.jivi.com.ar/ficha.php?id=568" TargetMode="External"/><Relationship Id="rId154" Type="http://schemas.openxmlformats.org/officeDocument/2006/relationships/hyperlink" Target="https://www.jivi.com.ar/ficha.php?id=850" TargetMode="External"/><Relationship Id="rId361" Type="http://schemas.openxmlformats.org/officeDocument/2006/relationships/hyperlink" Target="https://www.jivi.com.ar/ficha.php?id=1511" TargetMode="External"/><Relationship Id="rId557" Type="http://schemas.openxmlformats.org/officeDocument/2006/relationships/hyperlink" Target="https://www.jivi.com.ar/ficha.php?id=1776" TargetMode="External"/><Relationship Id="rId196" Type="http://schemas.openxmlformats.org/officeDocument/2006/relationships/hyperlink" Target="https://www.jivi.com.ar/ficha.php?id=1172" TargetMode="External"/><Relationship Id="rId417" Type="http://schemas.openxmlformats.org/officeDocument/2006/relationships/hyperlink" Target="https://www.jivi.com.ar/ficha.php?id=1294" TargetMode="External"/><Relationship Id="rId459" Type="http://schemas.openxmlformats.org/officeDocument/2006/relationships/hyperlink" Target="https://www.jivi.com.ar/ficha.php?id=161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883" TargetMode="External"/><Relationship Id="rId263" Type="http://schemas.openxmlformats.org/officeDocument/2006/relationships/hyperlink" Target="https://www.jivi.com.ar/ficha.php?id=1387" TargetMode="External"/><Relationship Id="rId319" Type="http://schemas.openxmlformats.org/officeDocument/2006/relationships/hyperlink" Target="https://www.jivi.com.ar/ficha.php?id=1560" TargetMode="External"/><Relationship Id="rId470" Type="http://schemas.openxmlformats.org/officeDocument/2006/relationships/hyperlink" Target="https://www.jivi.com.ar/ficha.php?id=1355" TargetMode="External"/><Relationship Id="rId526" Type="http://schemas.openxmlformats.org/officeDocument/2006/relationships/hyperlink" Target="https://www.jivi.com.ar/ficha.php?id=1723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234" TargetMode="External"/><Relationship Id="rId330" Type="http://schemas.openxmlformats.org/officeDocument/2006/relationships/hyperlink" Target="https://www.jivi.com.ar/ficha.php?id=1470" TargetMode="External"/><Relationship Id="rId165" Type="http://schemas.openxmlformats.org/officeDocument/2006/relationships/hyperlink" Target="https://www.jivi.com.ar/ficha.php?id=1046" TargetMode="External"/><Relationship Id="rId372" Type="http://schemas.openxmlformats.org/officeDocument/2006/relationships/hyperlink" Target="https://www.jivi.com.ar/ficha.php?id=1535" TargetMode="External"/><Relationship Id="rId428" Type="http://schemas.openxmlformats.org/officeDocument/2006/relationships/hyperlink" Target="https://www.jivi.com.ar/ficha.php?id=1584" TargetMode="External"/><Relationship Id="rId232" Type="http://schemas.openxmlformats.org/officeDocument/2006/relationships/hyperlink" Target="https://www.jivi.com.ar/ficha.php?id=1280" TargetMode="External"/><Relationship Id="rId274" Type="http://schemas.openxmlformats.org/officeDocument/2006/relationships/hyperlink" Target="https://www.jivi.com.ar/ficha.php?id=1401" TargetMode="External"/><Relationship Id="rId481" Type="http://schemas.openxmlformats.org/officeDocument/2006/relationships/hyperlink" Target="https://www.jivi.com.ar/ficha.php?id=1644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848" TargetMode="External"/><Relationship Id="rId537" Type="http://schemas.openxmlformats.org/officeDocument/2006/relationships/hyperlink" Target="https://www.jivi.com.ar/ficha.php?id=1077" TargetMode="External"/><Relationship Id="rId80" Type="http://schemas.openxmlformats.org/officeDocument/2006/relationships/hyperlink" Target="https://www.jivi.com.ar/ficha.php?id=140" TargetMode="External"/><Relationship Id="rId176" Type="http://schemas.openxmlformats.org/officeDocument/2006/relationships/hyperlink" Target="https://www.jivi.com.ar/ficha.php?id=1095" TargetMode="External"/><Relationship Id="rId341" Type="http://schemas.openxmlformats.org/officeDocument/2006/relationships/hyperlink" Target="https://www.jivi.com.ar/ficha.php?id=1483" TargetMode="External"/><Relationship Id="rId383" Type="http://schemas.openxmlformats.org/officeDocument/2006/relationships/hyperlink" Target="https://www.jivi.com.ar/ficha.php?id=1548" TargetMode="External"/><Relationship Id="rId439" Type="http://schemas.openxmlformats.org/officeDocument/2006/relationships/hyperlink" Target="https://www.jivi.com.ar/ficha.php?id=1594" TargetMode="External"/><Relationship Id="rId201" Type="http://schemas.openxmlformats.org/officeDocument/2006/relationships/hyperlink" Target="https://www.jivi.com.ar/ficha.php?id=1182" TargetMode="External"/><Relationship Id="rId243" Type="http://schemas.openxmlformats.org/officeDocument/2006/relationships/hyperlink" Target="https://www.jivi.com.ar/ficha.php?id=1314" TargetMode="External"/><Relationship Id="rId285" Type="http://schemas.openxmlformats.org/officeDocument/2006/relationships/hyperlink" Target="https://www.jivi.com.ar/ficha.php?id=1416" TargetMode="External"/><Relationship Id="rId450" Type="http://schemas.openxmlformats.org/officeDocument/2006/relationships/hyperlink" Target="https://www.jivi.com.ar/ficha.php?id=1270" TargetMode="External"/><Relationship Id="rId506" Type="http://schemas.openxmlformats.org/officeDocument/2006/relationships/hyperlink" Target="https://www.jivi.com.ar/ficha.php?id=1438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472" TargetMode="External"/><Relationship Id="rId310" Type="http://schemas.openxmlformats.org/officeDocument/2006/relationships/hyperlink" Target="https://www.jivi.com.ar/ficha.php?id=1056" TargetMode="External"/><Relationship Id="rId492" Type="http://schemas.openxmlformats.org/officeDocument/2006/relationships/hyperlink" Target="https://www.jivi.com.ar/ficha.php?id=1658" TargetMode="External"/><Relationship Id="rId548" Type="http://schemas.openxmlformats.org/officeDocument/2006/relationships/hyperlink" Target="https://www.jivi.com.ar/ficha.php?id=1748" TargetMode="External"/><Relationship Id="rId91" Type="http://schemas.openxmlformats.org/officeDocument/2006/relationships/hyperlink" Target="https://www.jivi.com.ar/ficha.php?id=168" TargetMode="External"/><Relationship Id="rId145" Type="http://schemas.openxmlformats.org/officeDocument/2006/relationships/hyperlink" Target="https://www.jivi.com.ar/ficha.php?id=938" TargetMode="External"/><Relationship Id="rId187" Type="http://schemas.openxmlformats.org/officeDocument/2006/relationships/hyperlink" Target="https://www.jivi.com.ar/ficha.php?id=1154" TargetMode="External"/><Relationship Id="rId352" Type="http://schemas.openxmlformats.org/officeDocument/2006/relationships/hyperlink" Target="https://www.jivi.com.ar/ficha.php?id=1500" TargetMode="External"/><Relationship Id="rId394" Type="http://schemas.openxmlformats.org/officeDocument/2006/relationships/hyperlink" Target="https://www.jivi.com.ar/ficha.php?id=518" TargetMode="External"/><Relationship Id="rId408" Type="http://schemas.openxmlformats.org/officeDocument/2006/relationships/hyperlink" Target="https://www.jivi.com.ar/ficha.php?id=1567" TargetMode="External"/><Relationship Id="rId212" Type="http://schemas.openxmlformats.org/officeDocument/2006/relationships/hyperlink" Target="https://www.jivi.com.ar/ficha.php?id=1222" TargetMode="External"/><Relationship Id="rId254" Type="http://schemas.openxmlformats.org/officeDocument/2006/relationships/hyperlink" Target="https://www.jivi.com.ar/registro.php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666" TargetMode="External"/><Relationship Id="rId296" Type="http://schemas.openxmlformats.org/officeDocument/2006/relationships/hyperlink" Target="https://www.jivi.com.ar/ficha.php?id=1423" TargetMode="External"/><Relationship Id="rId461" Type="http://schemas.openxmlformats.org/officeDocument/2006/relationships/hyperlink" Target="https://www.jivi.com.ar/ficha.php?id=1614" TargetMode="External"/><Relationship Id="rId517" Type="http://schemas.openxmlformats.org/officeDocument/2006/relationships/hyperlink" Target="https://www.jivi.com.ar/ficha.php?id=1704" TargetMode="External"/><Relationship Id="rId559" Type="http://schemas.openxmlformats.org/officeDocument/2006/relationships/hyperlink" Target="https://www.jivi.com.ar/ficha.php?id=1304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250" TargetMode="External"/><Relationship Id="rId198" Type="http://schemas.openxmlformats.org/officeDocument/2006/relationships/hyperlink" Target="https://www.jivi.com.ar/ficha.php?id=488" TargetMode="External"/><Relationship Id="rId321" Type="http://schemas.openxmlformats.org/officeDocument/2006/relationships/hyperlink" Target="https://www.jivi.com.ar/ficha.php?id=1063" TargetMode="External"/><Relationship Id="rId363" Type="http://schemas.openxmlformats.org/officeDocument/2006/relationships/hyperlink" Target="https://www.jivi.com.ar/ficha.php?id=1515" TargetMode="External"/><Relationship Id="rId419" Type="http://schemas.openxmlformats.org/officeDocument/2006/relationships/hyperlink" Target="https://www.jivi.com.ar/ficha.php?id=1296" TargetMode="External"/><Relationship Id="rId223" Type="http://schemas.openxmlformats.org/officeDocument/2006/relationships/hyperlink" Target="https://www.jivi.com.ar/ficha.php?id=1055" TargetMode="External"/><Relationship Id="rId430" Type="http://schemas.openxmlformats.org/officeDocument/2006/relationships/hyperlink" Target="https://www.jivi.com.ar/ficha.php?id=1587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390" TargetMode="External"/><Relationship Id="rId472" Type="http://schemas.openxmlformats.org/officeDocument/2006/relationships/hyperlink" Target="https://www.jivi.com.ar/ficha.php?id=1204" TargetMode="External"/><Relationship Id="rId528" Type="http://schemas.openxmlformats.org/officeDocument/2006/relationships/hyperlink" Target="https://www.jivi.com.ar/ficha.php?id=1727" TargetMode="External"/><Relationship Id="rId125" Type="http://schemas.openxmlformats.org/officeDocument/2006/relationships/hyperlink" Target="https://www.jivi.com.ar/ficha.php?id=780" TargetMode="External"/><Relationship Id="rId167" Type="http://schemas.openxmlformats.org/officeDocument/2006/relationships/hyperlink" Target="https://www.jivi.com.ar/ficha.php?id=1061" TargetMode="External"/><Relationship Id="rId332" Type="http://schemas.openxmlformats.org/officeDocument/2006/relationships/hyperlink" Target="https://www.jivi.com.ar/ficha.php?id=1472" TargetMode="External"/><Relationship Id="rId374" Type="http://schemas.openxmlformats.org/officeDocument/2006/relationships/hyperlink" Target="https://www.jivi.com.ar/ficha.php?id=1539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37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230" TargetMode="External"/><Relationship Id="rId441" Type="http://schemas.openxmlformats.org/officeDocument/2006/relationships/hyperlink" Target="https://www.jivi.com.ar/ficha.php?id=1596" TargetMode="External"/><Relationship Id="rId483" Type="http://schemas.openxmlformats.org/officeDocument/2006/relationships/hyperlink" Target="https://www.jivi.com.ar/ficha.php?id=1639" TargetMode="External"/><Relationship Id="rId539" Type="http://schemas.openxmlformats.org/officeDocument/2006/relationships/hyperlink" Target="https://www.jivi.com.ar/ficha.php?id=1739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862" TargetMode="External"/><Relationship Id="rId178" Type="http://schemas.openxmlformats.org/officeDocument/2006/relationships/hyperlink" Target="https://www.jivi.com.ar/ficha.php?id=297" TargetMode="External"/><Relationship Id="rId301" Type="http://schemas.openxmlformats.org/officeDocument/2006/relationships/hyperlink" Target="https://www.jivi.com.ar/ficha.php?id=1432" TargetMode="External"/><Relationship Id="rId343" Type="http://schemas.openxmlformats.org/officeDocument/2006/relationships/hyperlink" Target="https://www.jivi.com.ar/ficha.php?id=1488" TargetMode="External"/><Relationship Id="rId550" Type="http://schemas.openxmlformats.org/officeDocument/2006/relationships/hyperlink" Target="https://www.jivi.com.ar/ficha.php?id=1579" TargetMode="External"/><Relationship Id="rId82" Type="http://schemas.openxmlformats.org/officeDocument/2006/relationships/hyperlink" Target="https://www.jivi.com.ar/ficha.php?id=392" TargetMode="External"/><Relationship Id="rId203" Type="http://schemas.openxmlformats.org/officeDocument/2006/relationships/hyperlink" Target="https://www.jivi.com.ar/ficha.php?id=1185" TargetMode="External"/><Relationship Id="rId385" Type="http://schemas.openxmlformats.org/officeDocument/2006/relationships/hyperlink" Target="https://www.jivi.com.ar/ficha.php?id=1551" TargetMode="External"/><Relationship Id="rId245" Type="http://schemas.openxmlformats.org/officeDocument/2006/relationships/hyperlink" Target="https://www.jivi.com.ar/ficha.php?id=1344" TargetMode="External"/><Relationship Id="rId287" Type="http://schemas.openxmlformats.org/officeDocument/2006/relationships/hyperlink" Target="https://www.jivi.com.ar/ficha.php?id=1356" TargetMode="External"/><Relationship Id="rId410" Type="http://schemas.openxmlformats.org/officeDocument/2006/relationships/hyperlink" Target="https://www.jivi.com.ar/ficha.php?id=1569" TargetMode="External"/><Relationship Id="rId452" Type="http://schemas.openxmlformats.org/officeDocument/2006/relationships/hyperlink" Target="https://www.jivi.com.ar/ficha.php?id=1459" TargetMode="External"/><Relationship Id="rId494" Type="http://schemas.openxmlformats.org/officeDocument/2006/relationships/hyperlink" Target="https://www.jivi.com.ar/ficha.php?id=1663" TargetMode="External"/><Relationship Id="rId508" Type="http://schemas.openxmlformats.org/officeDocument/2006/relationships/hyperlink" Target="https://www.jivi.com.ar/ficha.php?id=36" TargetMode="External"/><Relationship Id="rId105" Type="http://schemas.openxmlformats.org/officeDocument/2006/relationships/hyperlink" Target="http://whttps/www.jivi.com.ar/ficha.php?id=253" TargetMode="External"/><Relationship Id="rId147" Type="http://schemas.openxmlformats.org/officeDocument/2006/relationships/hyperlink" Target="https://www.jivi.com.ar/ficha.php?id=948" TargetMode="External"/><Relationship Id="rId312" Type="http://schemas.openxmlformats.org/officeDocument/2006/relationships/hyperlink" Target="https://www.jivi.com.ar/ficha.php?id=1335" TargetMode="External"/><Relationship Id="rId354" Type="http://schemas.openxmlformats.org/officeDocument/2006/relationships/hyperlink" Target="https://www.jivi.com.ar/ficha.php?id=1503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148" TargetMode="External"/><Relationship Id="rId189" Type="http://schemas.openxmlformats.org/officeDocument/2006/relationships/hyperlink" Target="https://www.jivi.com.ar/ficha.php?id=1158" TargetMode="External"/><Relationship Id="rId396" Type="http://schemas.openxmlformats.org/officeDocument/2006/relationships/hyperlink" Target="https://www.jivi.com.ar/ficha.php?id=26" TargetMode="External"/><Relationship Id="rId561" Type="http://schemas.openxmlformats.org/officeDocument/2006/relationships/drawing" Target="../drawings/drawing1.xml"/><Relationship Id="rId214" Type="http://schemas.openxmlformats.org/officeDocument/2006/relationships/hyperlink" Target="https://www.jivi.com.ar/ficha.php?id=904" TargetMode="External"/><Relationship Id="rId256" Type="http://schemas.openxmlformats.org/officeDocument/2006/relationships/hyperlink" Target="https://www.jivi.com.ar/ficha.php?id=1372" TargetMode="External"/><Relationship Id="rId298" Type="http://schemas.openxmlformats.org/officeDocument/2006/relationships/hyperlink" Target="https://www.jivi.com.ar/ficha.php?id=1426" TargetMode="External"/><Relationship Id="rId421" Type="http://schemas.openxmlformats.org/officeDocument/2006/relationships/hyperlink" Target="https://www.jivi.com.ar/ficha.php?id=1249" TargetMode="External"/><Relationship Id="rId463" Type="http://schemas.openxmlformats.org/officeDocument/2006/relationships/hyperlink" Target="https://www.jivi.com.ar/ficha.php?id=608" TargetMode="External"/><Relationship Id="rId519" Type="http://schemas.openxmlformats.org/officeDocument/2006/relationships/hyperlink" Target="https://www.jivi.com.ar/ficha.php?id=1457" TargetMode="External"/><Relationship Id="rId116" Type="http://schemas.openxmlformats.org/officeDocument/2006/relationships/hyperlink" Target="https://www.jivi.com.ar/ficha.php?id=619" TargetMode="External"/><Relationship Id="rId158" Type="http://schemas.openxmlformats.org/officeDocument/2006/relationships/hyperlink" Target="https://www.jivi.com.ar/ficha.php?id=1017" TargetMode="External"/><Relationship Id="rId323" Type="http://schemas.openxmlformats.org/officeDocument/2006/relationships/hyperlink" Target="https://www.jivi.com.ar/ficha.php?id=969" TargetMode="External"/><Relationship Id="rId530" Type="http://schemas.openxmlformats.org/officeDocument/2006/relationships/hyperlink" Target="https://www.jivi.com.ar/ficha.php?id=1729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17" TargetMode="External"/><Relationship Id="rId225" Type="http://schemas.openxmlformats.org/officeDocument/2006/relationships/hyperlink" Target="https://www.jivi.com.ar/ficha.php?id=1253" TargetMode="External"/><Relationship Id="rId267" Type="http://schemas.openxmlformats.org/officeDocument/2006/relationships/hyperlink" Target="https://www.jivi.com.ar/ficha.php?id=236" TargetMode="External"/><Relationship Id="rId432" Type="http://schemas.openxmlformats.org/officeDocument/2006/relationships/hyperlink" Target="https://www.jivi.com.ar/ficha.php?id=1588" TargetMode="External"/><Relationship Id="rId474" Type="http://schemas.openxmlformats.org/officeDocument/2006/relationships/hyperlink" Target="https://www.jivi.com.ar/ficha.php?id=139" TargetMode="External"/><Relationship Id="rId127" Type="http://schemas.openxmlformats.org/officeDocument/2006/relationships/hyperlink" Target="https://www.jivi.com.ar/ficha.php?id=809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364" TargetMode="External"/><Relationship Id="rId334" Type="http://schemas.openxmlformats.org/officeDocument/2006/relationships/hyperlink" Target="https://www.jivi.com.ar/ficha.php?id=995" TargetMode="External"/><Relationship Id="rId376" Type="http://schemas.openxmlformats.org/officeDocument/2006/relationships/hyperlink" Target="https://www.jivi.com.ar/ficha.php?id=1541" TargetMode="External"/><Relationship Id="rId541" Type="http://schemas.openxmlformats.org/officeDocument/2006/relationships/hyperlink" Target="https://www.jivi.com.ar/ficha.php?id=174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098" TargetMode="External"/><Relationship Id="rId236" Type="http://schemas.openxmlformats.org/officeDocument/2006/relationships/hyperlink" Target="https://www.jivi.com.ar/ficha.php?id=1302" TargetMode="External"/><Relationship Id="rId278" Type="http://schemas.openxmlformats.org/officeDocument/2006/relationships/hyperlink" Target="https://www.jivi.com.ar/ficha.php?id=1111" TargetMode="External"/><Relationship Id="rId401" Type="http://schemas.openxmlformats.org/officeDocument/2006/relationships/hyperlink" Target="https://www.jivi.com.ar/ficha.php?id=790" TargetMode="External"/><Relationship Id="rId443" Type="http://schemas.openxmlformats.org/officeDocument/2006/relationships/hyperlink" Target="https://www.jivi.com.ar/ficha.php?id=1599" TargetMode="External"/><Relationship Id="rId303" Type="http://schemas.openxmlformats.org/officeDocument/2006/relationships/hyperlink" Target="https://www.jivi.com.ar/ficha.php?id=1436" TargetMode="External"/><Relationship Id="rId485" Type="http://schemas.openxmlformats.org/officeDocument/2006/relationships/hyperlink" Target="https://www.jivi.com.ar/ficha.php?id=1654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5" TargetMode="External"/><Relationship Id="rId138" Type="http://schemas.openxmlformats.org/officeDocument/2006/relationships/hyperlink" Target="https://www.jivi.com.ar/ficha.php?id=882" TargetMode="External"/><Relationship Id="rId345" Type="http://schemas.openxmlformats.org/officeDocument/2006/relationships/hyperlink" Target="https://www.jivi.com.ar/ficha.php?id=1493" TargetMode="External"/><Relationship Id="rId387" Type="http://schemas.openxmlformats.org/officeDocument/2006/relationships/hyperlink" Target="https://www.jivi.com.ar/ficha.php?id=1311" TargetMode="External"/><Relationship Id="rId510" Type="http://schemas.openxmlformats.org/officeDocument/2006/relationships/hyperlink" Target="https://www.jivi.com.ar/ficha.php?id=1698" TargetMode="External"/><Relationship Id="rId552" Type="http://schemas.openxmlformats.org/officeDocument/2006/relationships/hyperlink" Target="https://www.jivi.com.ar/ficha.php?id=1750" TargetMode="External"/><Relationship Id="rId191" Type="http://schemas.openxmlformats.org/officeDocument/2006/relationships/hyperlink" Target="hhttps://www.jivi.com.ar/ficha.php?id=1155" TargetMode="External"/><Relationship Id="rId205" Type="http://schemas.openxmlformats.org/officeDocument/2006/relationships/hyperlink" Target="https://www.jivi.com.ar/ficha.php?id=1190" TargetMode="External"/><Relationship Id="rId247" Type="http://schemas.openxmlformats.org/officeDocument/2006/relationships/hyperlink" Target="https://www.jivi.com.ar/ficha.php?id=1346" TargetMode="External"/><Relationship Id="rId412" Type="http://schemas.openxmlformats.org/officeDocument/2006/relationships/hyperlink" Target="https://www.jivi.com.ar/ficha.php?id=1571" TargetMode="External"/><Relationship Id="rId107" Type="http://schemas.openxmlformats.org/officeDocument/2006/relationships/hyperlink" Target="https://www.jivi.com.ar/ficha.php?id=23" TargetMode="External"/><Relationship Id="rId289" Type="http://schemas.openxmlformats.org/officeDocument/2006/relationships/hyperlink" Target="https://www.jivi.com.ar/ficha.php?id=1353" TargetMode="External"/><Relationship Id="rId454" Type="http://schemas.openxmlformats.org/officeDocument/2006/relationships/hyperlink" Target="https://www.jivi.com.ar/ficha.php?id=1609" TargetMode="External"/><Relationship Id="rId496" Type="http://schemas.openxmlformats.org/officeDocument/2006/relationships/hyperlink" Target="https://www.jivi.com.ar/ficha.php?id=166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955" TargetMode="External"/><Relationship Id="rId314" Type="http://schemas.openxmlformats.org/officeDocument/2006/relationships/hyperlink" Target="https://www.jivi.com.ar/ficha.php?id=1354" TargetMode="External"/><Relationship Id="rId356" Type="http://schemas.openxmlformats.org/officeDocument/2006/relationships/hyperlink" Target="https://www.jivi.com.ar/ficha.php?id=1505" TargetMode="External"/><Relationship Id="rId398" Type="http://schemas.openxmlformats.org/officeDocument/2006/relationships/hyperlink" Target="https://www.jivi.com.ar/ficha.php?id=1562" TargetMode="External"/><Relationship Id="rId521" Type="http://schemas.openxmlformats.org/officeDocument/2006/relationships/hyperlink" Target="https://www.jivi.com.ar/ficha.php?id=1707" TargetMode="External"/><Relationship Id="rId563" Type="http://schemas.openxmlformats.org/officeDocument/2006/relationships/comments" Target="../comments1.xml"/><Relationship Id="rId95" Type="http://schemas.openxmlformats.org/officeDocument/2006/relationships/hyperlink" Target="https://www.jivi.com.ar/ficha.php?id=621" TargetMode="External"/><Relationship Id="rId160" Type="http://schemas.openxmlformats.org/officeDocument/2006/relationships/hyperlink" Target="https://www.jivi.com.ar/ficha.php?id=1024" TargetMode="External"/><Relationship Id="rId216" Type="http://schemas.openxmlformats.org/officeDocument/2006/relationships/hyperlink" Target="https://www.jivi.com.ar/ficha.php?id=1225" TargetMode="External"/><Relationship Id="rId423" Type="http://schemas.openxmlformats.org/officeDocument/2006/relationships/hyperlink" Target="https://www.jivi.com.ar/ficha.php?id=1576" TargetMode="External"/><Relationship Id="rId258" Type="http://schemas.openxmlformats.org/officeDocument/2006/relationships/hyperlink" Target="https://www.jivi.com.ar/ficha.php?id=1382" TargetMode="External"/><Relationship Id="rId465" Type="http://schemas.openxmlformats.org/officeDocument/2006/relationships/hyperlink" Target="https://www.jivi.com.ar/ficha.php?id=1616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214" TargetMode="External"/><Relationship Id="rId325" Type="http://schemas.openxmlformats.org/officeDocument/2006/relationships/hyperlink" Target="https://www.jivi.com.ar/ficha.php?id=1464" TargetMode="External"/><Relationship Id="rId367" Type="http://schemas.openxmlformats.org/officeDocument/2006/relationships/hyperlink" Target="https://www.jivi.com.ar/ficha.php?id=1665" TargetMode="External"/><Relationship Id="rId532" Type="http://schemas.openxmlformats.org/officeDocument/2006/relationships/hyperlink" Target="https://www.jivi.com.ar/ficha.php?id=1731" TargetMode="External"/><Relationship Id="rId171" Type="http://schemas.openxmlformats.org/officeDocument/2006/relationships/hyperlink" Target="https://www.jivi.com.ar/ficha.php?id=1079" TargetMode="External"/><Relationship Id="rId227" Type="http://schemas.openxmlformats.org/officeDocument/2006/relationships/hyperlink" Target="https://www.jivi.com.ar/ficha.php?id=1261" TargetMode="External"/><Relationship Id="rId269" Type="http://schemas.openxmlformats.org/officeDocument/2006/relationships/hyperlink" Target="https://www.jivi.com.ar/ficha.php?id=1394" TargetMode="External"/><Relationship Id="rId434" Type="http://schemas.openxmlformats.org/officeDocument/2006/relationships/hyperlink" Target="https://www.jivi.com.ar/ficha.php?id=1589" TargetMode="External"/><Relationship Id="rId476" Type="http://schemas.openxmlformats.org/officeDocument/2006/relationships/hyperlink" Target="https://www.jivi.com.ar/ficha.php?id=1635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707" TargetMode="External"/><Relationship Id="rId280" Type="http://schemas.openxmlformats.org/officeDocument/2006/relationships/hyperlink" Target="https://www.jivi.com.ar/ficha.php?id=376" TargetMode="External"/><Relationship Id="rId336" Type="http://schemas.openxmlformats.org/officeDocument/2006/relationships/hyperlink" Target="https://www.jivi.com.ar/ficha.php?id=835" TargetMode="External"/><Relationship Id="rId501" Type="http://schemas.openxmlformats.org/officeDocument/2006/relationships/hyperlink" Target="https://www.jivi.com.ar/ficha.php?id=1687" TargetMode="External"/><Relationship Id="rId543" Type="http://schemas.openxmlformats.org/officeDocument/2006/relationships/hyperlink" Target="https://www.jivi.com.ar/ficha.php?id=1743" TargetMode="External"/><Relationship Id="rId75" Type="http://schemas.openxmlformats.org/officeDocument/2006/relationships/hyperlink" Target="https://www.jivi.com.ar/ficha.php?id=11" TargetMode="External"/><Relationship Id="rId140" Type="http://schemas.openxmlformats.org/officeDocument/2006/relationships/hyperlink" Target="https://www.jivi.com.ar/ficha.php?id=903" TargetMode="External"/><Relationship Id="rId182" Type="http://schemas.openxmlformats.org/officeDocument/2006/relationships/hyperlink" Target="https://www.jivi.com.ar/ficha.php?id=1104" TargetMode="External"/><Relationship Id="rId378" Type="http://schemas.openxmlformats.org/officeDocument/2006/relationships/hyperlink" Target="https://www.jivi.com.ar/ficha.php?id=1363" TargetMode="External"/><Relationship Id="rId403" Type="http://schemas.openxmlformats.org/officeDocument/2006/relationships/hyperlink" Target="https://www.jivi.com.ar/ficha.php?id=140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05" TargetMode="External"/><Relationship Id="rId445" Type="http://schemas.openxmlformats.org/officeDocument/2006/relationships/hyperlink" Target="https://www.jivi.com.ar/ficha.php?id=1603" TargetMode="External"/><Relationship Id="rId487" Type="http://schemas.openxmlformats.org/officeDocument/2006/relationships/hyperlink" Target="https://www.jivi.com.ar/ficha.php?id=1652" TargetMode="External"/><Relationship Id="rId291" Type="http://schemas.openxmlformats.org/officeDocument/2006/relationships/hyperlink" Target="https://www.jivi.com.ar/ficha.php?id=1418" TargetMode="External"/><Relationship Id="rId305" Type="http://schemas.openxmlformats.org/officeDocument/2006/relationships/hyperlink" Target="https://www.jivi.com.ar/ficha.php?id=1702" TargetMode="External"/><Relationship Id="rId347" Type="http://schemas.openxmlformats.org/officeDocument/2006/relationships/hyperlink" Target="https://www.jivi.com.ar/ficha.php?id=1495" TargetMode="External"/><Relationship Id="rId512" Type="http://schemas.openxmlformats.org/officeDocument/2006/relationships/hyperlink" Target="https://www.jivi.com.ar/ficha.php?id=170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37" TargetMode="External"/><Relationship Id="rId151" Type="http://schemas.openxmlformats.org/officeDocument/2006/relationships/hyperlink" Target="https://www.jivi.com.ar/ficha.php?id=957" TargetMode="External"/><Relationship Id="rId389" Type="http://schemas.openxmlformats.org/officeDocument/2006/relationships/hyperlink" Target="https://www.jivi.com.ar/ficha.php?id=1554" TargetMode="External"/><Relationship Id="rId554" Type="http://schemas.openxmlformats.org/officeDocument/2006/relationships/hyperlink" Target="https://www.jivi.com.ar/ficha.php?id=1774" TargetMode="External"/><Relationship Id="rId193" Type="http://schemas.openxmlformats.org/officeDocument/2006/relationships/hyperlink" Target="https://www.jivi.com.ar/ficha.php?id=1153" TargetMode="External"/><Relationship Id="rId207" Type="http://schemas.openxmlformats.org/officeDocument/2006/relationships/hyperlink" Target="https://www.jivi.com.ar/ficha.php?id=1181" TargetMode="External"/><Relationship Id="rId249" Type="http://schemas.openxmlformats.org/officeDocument/2006/relationships/hyperlink" Target="https://www.jivi.com.ar/ficha.php?id=1348" TargetMode="External"/><Relationship Id="rId414" Type="http://schemas.openxmlformats.org/officeDocument/2006/relationships/hyperlink" Target="https://www.jivi.com.ar/ficha.php?id=218" TargetMode="External"/><Relationship Id="rId456" Type="http://schemas.openxmlformats.org/officeDocument/2006/relationships/hyperlink" Target="https://www.jivi.com.ar/ficha.php?id=1610" TargetMode="External"/><Relationship Id="rId498" Type="http://schemas.openxmlformats.org/officeDocument/2006/relationships/hyperlink" Target="https://www.jivi.com.ar/ficha.php?id=1667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221" TargetMode="External"/><Relationship Id="rId260" Type="http://schemas.openxmlformats.org/officeDocument/2006/relationships/hyperlink" Target="https://www.jivi.com.ar/ficha.php?id=1384" TargetMode="External"/><Relationship Id="rId316" Type="http://schemas.openxmlformats.org/officeDocument/2006/relationships/hyperlink" Target="https://www.jivi.com.ar/ficha.php?id=1448" TargetMode="External"/><Relationship Id="rId523" Type="http://schemas.openxmlformats.org/officeDocument/2006/relationships/hyperlink" Target="https://www.jivi.com.ar/ficha.php?id=1720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456" TargetMode="External"/><Relationship Id="rId120" Type="http://schemas.openxmlformats.org/officeDocument/2006/relationships/hyperlink" Target="https://www.jivi.com.ar/ficha.php?id=358" TargetMode="External"/><Relationship Id="rId358" Type="http://schemas.openxmlformats.org/officeDocument/2006/relationships/hyperlink" Target="https://www.jivi.com.ar/ficha.php?id=1507" TargetMode="External"/><Relationship Id="rId162" Type="http://schemas.openxmlformats.org/officeDocument/2006/relationships/hyperlink" Target="https://www.jivi.com.ar/ficha.php?id=647" TargetMode="External"/><Relationship Id="rId218" Type="http://schemas.openxmlformats.org/officeDocument/2006/relationships/hyperlink" Target="https://www.jivi.com.ar/ficha.php?id=919" TargetMode="External"/><Relationship Id="rId425" Type="http://schemas.openxmlformats.org/officeDocument/2006/relationships/hyperlink" Target="https://www.jivi.com.ar/ficha.php?id=1580" TargetMode="External"/><Relationship Id="rId467" Type="http://schemas.openxmlformats.org/officeDocument/2006/relationships/hyperlink" Target="https://www.jivi.com.ar/ficha.php?id=1618" TargetMode="External"/><Relationship Id="rId271" Type="http://schemas.openxmlformats.org/officeDocument/2006/relationships/hyperlink" Target="https://www.jivi.com.ar/ficha.php?id=1399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709" TargetMode="External"/><Relationship Id="rId327" Type="http://schemas.openxmlformats.org/officeDocument/2006/relationships/hyperlink" Target="https://www.jivi.com.ar/ficha.php?id=1466" TargetMode="External"/><Relationship Id="rId369" Type="http://schemas.openxmlformats.org/officeDocument/2006/relationships/hyperlink" Target="https://www.jivi.com.ar/ficha.php?id=1527" TargetMode="External"/><Relationship Id="rId534" Type="http://schemas.openxmlformats.org/officeDocument/2006/relationships/hyperlink" Target="https://www.jivi.com.ar/ficha.php?id=1733" TargetMode="External"/><Relationship Id="rId173" Type="http://schemas.openxmlformats.org/officeDocument/2006/relationships/hyperlink" Target="https://www.jivi.com.ar/ficha.php?id=1089" TargetMode="External"/><Relationship Id="rId229" Type="http://schemas.openxmlformats.org/officeDocument/2006/relationships/hyperlink" Target="https://www.jivi.com.ar/ficha.php?id=1268" TargetMode="External"/><Relationship Id="rId380" Type="http://schemas.openxmlformats.org/officeDocument/2006/relationships/hyperlink" Target="https://www.jivi.com.ar/ficha.php?id=1546" TargetMode="External"/><Relationship Id="rId436" Type="http://schemas.openxmlformats.org/officeDocument/2006/relationships/hyperlink" Target="https://www.jivi.com.ar/ficha.php?id=1591" TargetMode="External"/><Relationship Id="rId240" Type="http://schemas.openxmlformats.org/officeDocument/2006/relationships/hyperlink" Target="https://www.jivi.com.ar/ficha.php?id=1287" TargetMode="External"/><Relationship Id="rId478" Type="http://schemas.openxmlformats.org/officeDocument/2006/relationships/hyperlink" Target="https://www.jivi.com.ar/ficha.php?id=968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45" TargetMode="External"/><Relationship Id="rId100" Type="http://schemas.openxmlformats.org/officeDocument/2006/relationships/hyperlink" Target="https://www.jivi.com.ar/ficha.php?id=728" TargetMode="External"/><Relationship Id="rId282" Type="http://schemas.openxmlformats.org/officeDocument/2006/relationships/hyperlink" Target="https://www.jivi.com.ar/ficha.php?id=1393" TargetMode="External"/><Relationship Id="rId338" Type="http://schemas.openxmlformats.org/officeDocument/2006/relationships/hyperlink" Target="https://www.jivi.com.ar/ficha.php?id=1479" TargetMode="External"/><Relationship Id="rId503" Type="http://schemas.openxmlformats.org/officeDocument/2006/relationships/hyperlink" Target="https://www.jivi.com.ar/ficha.php?id=1690" TargetMode="External"/><Relationship Id="rId545" Type="http://schemas.openxmlformats.org/officeDocument/2006/relationships/hyperlink" Target="https://www.jivi.com.ar/ficha.php?id=1745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916" TargetMode="External"/><Relationship Id="rId184" Type="http://schemas.openxmlformats.org/officeDocument/2006/relationships/hyperlink" Target="https://www.jivi.com.ar/ficha.php?id=1116" TargetMode="External"/><Relationship Id="rId391" Type="http://schemas.openxmlformats.org/officeDocument/2006/relationships/hyperlink" Target="https://www.jivi.com.ar/ficha.php?id=1555" TargetMode="External"/><Relationship Id="rId405" Type="http://schemas.openxmlformats.org/officeDocument/2006/relationships/hyperlink" Target="https://www.jivi.com.ar/ficha.php?id=1564" TargetMode="External"/><Relationship Id="rId447" Type="http://schemas.openxmlformats.org/officeDocument/2006/relationships/hyperlink" Target="https://www.jivi.com.ar/ficha.php?id=1604" TargetMode="External"/><Relationship Id="rId251" Type="http://schemas.openxmlformats.org/officeDocument/2006/relationships/hyperlink" Target="https://www.jivi.com.ar/ficha.php?id=1360" TargetMode="External"/><Relationship Id="rId489" Type="http://schemas.openxmlformats.org/officeDocument/2006/relationships/hyperlink" Target="https://www.jivi.com.ar/ficha.php?id=1640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20" TargetMode="External"/><Relationship Id="rId307" Type="http://schemas.openxmlformats.org/officeDocument/2006/relationships/hyperlink" Target="https://www.jivi.com.ar/ficha.php?id=1442" TargetMode="External"/><Relationship Id="rId349" Type="http://schemas.openxmlformats.org/officeDocument/2006/relationships/hyperlink" Target="https://www.jivi.com.ar/ficha.php?id=1497" TargetMode="External"/><Relationship Id="rId514" Type="http://schemas.openxmlformats.org/officeDocument/2006/relationships/hyperlink" Target="https://www.jivi.com.ar/ficha.php?id=1462" TargetMode="External"/><Relationship Id="rId556" Type="http://schemas.openxmlformats.org/officeDocument/2006/relationships/hyperlink" Target="https://www.jivi.com.ar/ficha.php?id=1461" TargetMode="External"/><Relationship Id="rId88" Type="http://schemas.openxmlformats.org/officeDocument/2006/relationships/hyperlink" Target="https://www.jivi.com.ar/ficha.php?id=245" TargetMode="External"/><Relationship Id="rId111" Type="http://schemas.openxmlformats.org/officeDocument/2006/relationships/hyperlink" Target="https://www.jivi.com.ar/ficha.php?id=765" TargetMode="External"/><Relationship Id="rId153" Type="http://schemas.openxmlformats.org/officeDocument/2006/relationships/hyperlink" Target="https://www.jivi.com.ar/ficha.php?id=973" TargetMode="External"/><Relationship Id="rId195" Type="http://schemas.openxmlformats.org/officeDocument/2006/relationships/hyperlink" Target="https://www.jivi.com.ar/ficha.php?id=1168" TargetMode="External"/><Relationship Id="rId209" Type="http://schemas.openxmlformats.org/officeDocument/2006/relationships/hyperlink" Target="https://www.jivi.com.ar/ficha.php?id=1218" TargetMode="External"/><Relationship Id="rId360" Type="http://schemas.openxmlformats.org/officeDocument/2006/relationships/hyperlink" Target="https://www.jivi.com.ar/ficha.php?id=1509" TargetMode="External"/><Relationship Id="rId416" Type="http://schemas.openxmlformats.org/officeDocument/2006/relationships/hyperlink" Target="https://www.jivi.com.ar/ficha.php?id=1573" TargetMode="External"/><Relationship Id="rId220" Type="http://schemas.openxmlformats.org/officeDocument/2006/relationships/hyperlink" Target="https://www.jivi.com.ar/ficha.php?id=1232" TargetMode="External"/><Relationship Id="rId458" Type="http://schemas.openxmlformats.org/officeDocument/2006/relationships/hyperlink" Target="https://www.jivi.com.ar/ficha.php?id=1611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385" TargetMode="External"/><Relationship Id="rId318" Type="http://schemas.openxmlformats.org/officeDocument/2006/relationships/hyperlink" Target="https://www.jivi.com.ar/ficha.php?id=1450" TargetMode="External"/><Relationship Id="rId525" Type="http://schemas.openxmlformats.org/officeDocument/2006/relationships/hyperlink" Target="https://www.jivi.com.ar/ficha.php?id=1722" TargetMode="External"/><Relationship Id="rId99" Type="http://schemas.openxmlformats.org/officeDocument/2006/relationships/hyperlink" Target="https://www.jivi.com.ar/ficha.php?id=431" TargetMode="External"/><Relationship Id="rId122" Type="http://schemas.openxmlformats.org/officeDocument/2006/relationships/hyperlink" Target="https://www.jivi.com.ar/ficha.php?id=238" TargetMode="External"/><Relationship Id="rId164" Type="http://schemas.openxmlformats.org/officeDocument/2006/relationships/hyperlink" Target="https://www.jivi.com.ar/ficha.php?id=1052" TargetMode="External"/><Relationship Id="rId371" Type="http://schemas.openxmlformats.org/officeDocument/2006/relationships/hyperlink" Target="https://www.jivi.com.ar/ficha.php?id=1534" TargetMode="External"/><Relationship Id="rId427" Type="http://schemas.openxmlformats.org/officeDocument/2006/relationships/hyperlink" Target="https://www.jivi.com.ar/ficha.php?id=1583" TargetMode="External"/><Relationship Id="rId469" Type="http://schemas.openxmlformats.org/officeDocument/2006/relationships/hyperlink" Target="https://www.jivi.com.ar/ficha.php?id=1620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278" TargetMode="External"/><Relationship Id="rId273" Type="http://schemas.openxmlformats.org/officeDocument/2006/relationships/hyperlink" Target="https://www.jivi.com.ar/ficha.php?id=1400" TargetMode="External"/><Relationship Id="rId329" Type="http://schemas.openxmlformats.org/officeDocument/2006/relationships/hyperlink" Target="https://www.jivi.com.ar/ficha.php?id=1468" TargetMode="External"/><Relationship Id="rId480" Type="http://schemas.openxmlformats.org/officeDocument/2006/relationships/hyperlink" Target="https://www.jivi.com.ar/ficha.php?id=1642" TargetMode="External"/><Relationship Id="rId536" Type="http://schemas.openxmlformats.org/officeDocument/2006/relationships/hyperlink" Target="https://www.jivi.com.ar/ficha.php?id=1734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846" TargetMode="External"/><Relationship Id="rId175" Type="http://schemas.openxmlformats.org/officeDocument/2006/relationships/hyperlink" Target="https://www.jivi.com.ar/ficha.php?id=1091" TargetMode="External"/><Relationship Id="rId340" Type="http://schemas.openxmlformats.org/officeDocument/2006/relationships/hyperlink" Target="https://www.jivi.com.ar/ficha.php?id=1481" TargetMode="External"/><Relationship Id="rId200" Type="http://schemas.openxmlformats.org/officeDocument/2006/relationships/hyperlink" Target="https://www.jivi.com.ar/ficha.php?id=915" TargetMode="External"/><Relationship Id="rId382" Type="http://schemas.openxmlformats.org/officeDocument/2006/relationships/hyperlink" Target="https://www.jivi.com.ar/ficha.php?id=981" TargetMode="External"/><Relationship Id="rId438" Type="http://schemas.openxmlformats.org/officeDocument/2006/relationships/hyperlink" Target="https://www.jivi.com.ar/ficha.php?id=1593" TargetMode="External"/><Relationship Id="rId242" Type="http://schemas.openxmlformats.org/officeDocument/2006/relationships/hyperlink" Target="https://www.jivi.com.ar/ficha.php?id=1316" TargetMode="External"/><Relationship Id="rId284" Type="http://schemas.openxmlformats.org/officeDocument/2006/relationships/hyperlink" Target="https://www.jivi.com.ar/ficha.php?id=1413" TargetMode="External"/><Relationship Id="rId491" Type="http://schemas.openxmlformats.org/officeDocument/2006/relationships/hyperlink" Target="https://www.jivi.com.ar/ficha.php?id=1657" TargetMode="External"/><Relationship Id="rId505" Type="http://schemas.openxmlformats.org/officeDocument/2006/relationships/hyperlink" Target="https://www.jivi.com.ar/ficha.php?id=1692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19" TargetMode="External"/><Relationship Id="rId102" Type="http://schemas.openxmlformats.org/officeDocument/2006/relationships/hyperlink" Target="https://www.jivi.com.ar/ficha.php?id=181" TargetMode="External"/><Relationship Id="rId144" Type="http://schemas.openxmlformats.org/officeDocument/2006/relationships/hyperlink" Target="https://www.jivi.com.ar/ficha.php?id=926" TargetMode="External"/><Relationship Id="rId547" Type="http://schemas.openxmlformats.org/officeDocument/2006/relationships/hyperlink" Target="https://www.jivi.com.ar/ficha.php?id=1747" TargetMode="External"/><Relationship Id="rId90" Type="http://schemas.openxmlformats.org/officeDocument/2006/relationships/hyperlink" Target="https://www.jivi.com.ar/ficha.php?id=171" TargetMode="External"/><Relationship Id="rId186" Type="http://schemas.openxmlformats.org/officeDocument/2006/relationships/hyperlink" Target="https://www.jivi.com.ar/ficha.php?id=1120" TargetMode="External"/><Relationship Id="rId351" Type="http://schemas.openxmlformats.org/officeDocument/2006/relationships/hyperlink" Target="https://www.jivi.com.ar/ficha.php?id=1499" TargetMode="External"/><Relationship Id="rId393" Type="http://schemas.openxmlformats.org/officeDocument/2006/relationships/hyperlink" Target="https://www.jivi.com.ar/ficha.php?id=1558" TargetMode="External"/><Relationship Id="rId407" Type="http://schemas.openxmlformats.org/officeDocument/2006/relationships/hyperlink" Target="https://www.jivi.com.ar/ficha.php?id=1434" TargetMode="External"/><Relationship Id="rId449" Type="http://schemas.openxmlformats.org/officeDocument/2006/relationships/hyperlink" Target="https://www.jivi.com.ar/ficha.php?id=1424" TargetMode="External"/><Relationship Id="rId211" Type="http://schemas.openxmlformats.org/officeDocument/2006/relationships/hyperlink" Target="https://www.jivi.com.ar/ficha.php?id=1220" TargetMode="External"/><Relationship Id="rId253" Type="http://schemas.openxmlformats.org/officeDocument/2006/relationships/hyperlink" Target="https://www.jivi.com.ar/ficha.php?id=1366" TargetMode="External"/><Relationship Id="rId295" Type="http://schemas.openxmlformats.org/officeDocument/2006/relationships/hyperlink" Target="https://www.jivi.com.ar/ficha.php?id=1422" TargetMode="External"/><Relationship Id="rId309" Type="http://schemas.openxmlformats.org/officeDocument/2006/relationships/hyperlink" Target="https://www.jivi.com.ar/ficha.php?id=216" TargetMode="External"/><Relationship Id="rId460" Type="http://schemas.openxmlformats.org/officeDocument/2006/relationships/hyperlink" Target="https://www.jivi.com.ar/ficha.php?id=1613" TargetMode="External"/><Relationship Id="rId516" Type="http://schemas.openxmlformats.org/officeDocument/2006/relationships/hyperlink" Target="https://www.jivi.com.ar/ficha.php?id=1528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566" TargetMode="External"/><Relationship Id="rId320" Type="http://schemas.openxmlformats.org/officeDocument/2006/relationships/hyperlink" Target="https://www.jivi.com.ar/ficha.php?id=1064" TargetMode="External"/><Relationship Id="rId558" Type="http://schemas.openxmlformats.org/officeDocument/2006/relationships/hyperlink" Target="https://www.jivi.com.ar/ficha.php?id=1310" TargetMode="External"/><Relationship Id="rId155" Type="http://schemas.openxmlformats.org/officeDocument/2006/relationships/hyperlink" Target="https://www.jivi.com.ar/ficha.php?id=1006" TargetMode="External"/><Relationship Id="rId197" Type="http://schemas.openxmlformats.org/officeDocument/2006/relationships/hyperlink" Target="https://www.jivi.com.ar/ficha.php?id=975" TargetMode="External"/><Relationship Id="rId362" Type="http://schemas.openxmlformats.org/officeDocument/2006/relationships/hyperlink" Target="https://www.jivi.com.ar/ficha.php?id=1513" TargetMode="External"/><Relationship Id="rId418" Type="http://schemas.openxmlformats.org/officeDocument/2006/relationships/hyperlink" Target="https://www.jivi.com.ar/ficha.php?id=1271" TargetMode="External"/><Relationship Id="rId222" Type="http://schemas.openxmlformats.org/officeDocument/2006/relationships/hyperlink" Target="https://www.jivi.com.ar/ficha.php?id=920" TargetMode="External"/><Relationship Id="rId264" Type="http://schemas.openxmlformats.org/officeDocument/2006/relationships/hyperlink" Target="https://www.jivi.com.ar/ficha.php?id=1389" TargetMode="External"/><Relationship Id="rId471" Type="http://schemas.openxmlformats.org/officeDocument/2006/relationships/hyperlink" Target="https://www.jivi.com.ar/ficha.php?id=998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51" TargetMode="External"/><Relationship Id="rId527" Type="http://schemas.openxmlformats.org/officeDocument/2006/relationships/hyperlink" Target="https://www.jivi.com.ar/ficha.php?id=1725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059" TargetMode="External"/><Relationship Id="rId331" Type="http://schemas.openxmlformats.org/officeDocument/2006/relationships/hyperlink" Target="https://www.jivi.com.ar/ficha.php?id=1471" TargetMode="External"/><Relationship Id="rId373" Type="http://schemas.openxmlformats.org/officeDocument/2006/relationships/hyperlink" Target="https://www.jivi.com.ar/ficha.php?id=1536" TargetMode="External"/><Relationship Id="rId429" Type="http://schemas.openxmlformats.org/officeDocument/2006/relationships/hyperlink" Target="https://www.jivi.com.ar/ficha.php?id=1586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991" TargetMode="External"/><Relationship Id="rId440" Type="http://schemas.openxmlformats.org/officeDocument/2006/relationships/hyperlink" Target="https://www.jivi.com.ar/ficha.php?id=1595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392" TargetMode="External"/><Relationship Id="rId300" Type="http://schemas.openxmlformats.org/officeDocument/2006/relationships/hyperlink" Target="https://www.jivi.com.ar/ficha.php?id=1431" TargetMode="External"/><Relationship Id="rId482" Type="http://schemas.openxmlformats.org/officeDocument/2006/relationships/hyperlink" Target="https://www.jivi.com.ar/ficha.php?id=1641" TargetMode="External"/><Relationship Id="rId538" Type="http://schemas.openxmlformats.org/officeDocument/2006/relationships/hyperlink" Target="https://www.jivi.com.ar/ficha.php?id=1738" TargetMode="External"/><Relationship Id="rId81" Type="http://schemas.openxmlformats.org/officeDocument/2006/relationships/hyperlink" Target="https://www.jivi.com.ar/ficha.php?id=142" TargetMode="External"/><Relationship Id="rId135" Type="http://schemas.openxmlformats.org/officeDocument/2006/relationships/hyperlink" Target="https://www.jivi.com.ar/ficha.php?id=854" TargetMode="External"/><Relationship Id="rId177" Type="http://schemas.openxmlformats.org/officeDocument/2006/relationships/hyperlink" Target="https://www.jivi.com.ar/ficha.php?id=1094" TargetMode="External"/><Relationship Id="rId342" Type="http://schemas.openxmlformats.org/officeDocument/2006/relationships/hyperlink" Target="https://www.jivi.com.ar/ficha.php?id=1486" TargetMode="External"/><Relationship Id="rId384" Type="http://schemas.openxmlformats.org/officeDocument/2006/relationships/hyperlink" Target="https://www.jivi.com.ar/ficha.php?id=1549" TargetMode="External"/><Relationship Id="rId202" Type="http://schemas.openxmlformats.org/officeDocument/2006/relationships/hyperlink" Target="https://www.jivi.com.ar/ficha.php?id=1183" TargetMode="External"/><Relationship Id="rId244" Type="http://schemas.openxmlformats.org/officeDocument/2006/relationships/hyperlink" Target="https://www.jivi.com.ar/ficha.php?id=1336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15" TargetMode="External"/><Relationship Id="rId451" Type="http://schemas.openxmlformats.org/officeDocument/2006/relationships/hyperlink" Target="https://www.jivi.com.ar/ficha.php?id=1520" TargetMode="External"/><Relationship Id="rId493" Type="http://schemas.openxmlformats.org/officeDocument/2006/relationships/hyperlink" Target="https://www.jivi.com.ar/ficha.php?id=1660" TargetMode="External"/><Relationship Id="rId507" Type="http://schemas.openxmlformats.org/officeDocument/2006/relationships/hyperlink" Target="https://www.jivi.com.ar/ficha.php?id=1695" TargetMode="External"/><Relationship Id="rId549" Type="http://schemas.openxmlformats.org/officeDocument/2006/relationships/hyperlink" Target="https://www.jivi.com.ar/ficha.php?id=1749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473" TargetMode="External"/><Relationship Id="rId146" Type="http://schemas.openxmlformats.org/officeDocument/2006/relationships/hyperlink" Target="https://www.jivi.com.ar/ficha.php?id=247" TargetMode="External"/><Relationship Id="rId188" Type="http://schemas.openxmlformats.org/officeDocument/2006/relationships/hyperlink" Target="https://www.jivi.com.ar/ficha.php?id=1157" TargetMode="External"/><Relationship Id="rId311" Type="http://schemas.openxmlformats.org/officeDocument/2006/relationships/hyperlink" Target="https://www.jivi.com.ar/ficha.php?id=1334" TargetMode="External"/><Relationship Id="rId353" Type="http://schemas.openxmlformats.org/officeDocument/2006/relationships/hyperlink" Target="https://www.jivi.com.ar/ficha.php?id=1502" TargetMode="External"/><Relationship Id="rId395" Type="http://schemas.openxmlformats.org/officeDocument/2006/relationships/hyperlink" Target="https://www.jivi.com.ar/ficha.php?id=1561" TargetMode="External"/><Relationship Id="rId409" Type="http://schemas.openxmlformats.org/officeDocument/2006/relationships/hyperlink" Target="https://www.jivi.com.ar/ficha.php?id=1568" TargetMode="External"/><Relationship Id="rId560" Type="http://schemas.openxmlformats.org/officeDocument/2006/relationships/printerSettings" Target="../printerSettings/printerSettings1.bin"/><Relationship Id="rId92" Type="http://schemas.openxmlformats.org/officeDocument/2006/relationships/hyperlink" Target="https://www.jivi.com.ar/ficha.php?id=169" TargetMode="External"/><Relationship Id="rId213" Type="http://schemas.openxmlformats.org/officeDocument/2006/relationships/hyperlink" Target="https://www.jivi.com.ar/ficha.php?id=1223" TargetMode="External"/><Relationship Id="rId420" Type="http://schemas.openxmlformats.org/officeDocument/2006/relationships/hyperlink" Target="https://www.jivi.com.ar/ficha.php?id=1139" TargetMode="External"/><Relationship Id="rId255" Type="http://schemas.openxmlformats.org/officeDocument/2006/relationships/hyperlink" Target="https://www.jivi.com.ar/ficha.php?id=864" TargetMode="External"/><Relationship Id="rId297" Type="http://schemas.openxmlformats.org/officeDocument/2006/relationships/hyperlink" Target="https://www.jivi.com.ar/ficha.php?id=1425" TargetMode="External"/><Relationship Id="rId462" Type="http://schemas.openxmlformats.org/officeDocument/2006/relationships/hyperlink" Target="https://www.jivi.com.ar/ficha.php?id=1452" TargetMode="External"/><Relationship Id="rId518" Type="http://schemas.openxmlformats.org/officeDocument/2006/relationships/hyperlink" Target="https://www.jivi.com.ar/ficha.php?id=977" TargetMode="External"/><Relationship Id="rId115" Type="http://schemas.openxmlformats.org/officeDocument/2006/relationships/hyperlink" Target="https://www.jivi.com.ar/ficha.php?id=463" TargetMode="External"/><Relationship Id="rId157" Type="http://schemas.openxmlformats.org/officeDocument/2006/relationships/hyperlink" Target="https://www.jivi.com.ar/ficha.php?id=251" TargetMode="External"/><Relationship Id="rId322" Type="http://schemas.openxmlformats.org/officeDocument/2006/relationships/hyperlink" Target="https://www.jivi.com.ar/ficha.php?id=1454" TargetMode="External"/><Relationship Id="rId364" Type="http://schemas.openxmlformats.org/officeDocument/2006/relationships/hyperlink" Target="https://www.jivi.com.ar/ficha.php?id=1516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175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248" TargetMode="External"/><Relationship Id="rId266" Type="http://schemas.openxmlformats.org/officeDocument/2006/relationships/hyperlink" Target="https://www.jivi.com.ar/ficha.php?id=363" TargetMode="External"/><Relationship Id="rId431" Type="http://schemas.openxmlformats.org/officeDocument/2006/relationships/hyperlink" Target="https://www.jivi.com.ar/ficha.php?id=1221" TargetMode="External"/><Relationship Id="rId473" Type="http://schemas.openxmlformats.org/officeDocument/2006/relationships/hyperlink" Target="https://www.jivi.com.ar/ficha.php?id=1621" TargetMode="External"/><Relationship Id="rId529" Type="http://schemas.openxmlformats.org/officeDocument/2006/relationships/hyperlink" Target="https://www.jivi.com.ar/ficha.php?id=1728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783" TargetMode="External"/><Relationship Id="rId168" Type="http://schemas.openxmlformats.org/officeDocument/2006/relationships/hyperlink" Target="https://www.jivi.com.ar/ficha.php?id=1062" TargetMode="External"/><Relationship Id="rId333" Type="http://schemas.openxmlformats.org/officeDocument/2006/relationships/hyperlink" Target="htthttps://www.jivi.com.ar/ficha.php?id=1476" TargetMode="External"/><Relationship Id="rId540" Type="http://schemas.openxmlformats.org/officeDocument/2006/relationships/hyperlink" Target="https://www.jivi.com.ar/ficha.php?id=1740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40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607" TargetMode="External"/><Relationship Id="rId277" Type="http://schemas.openxmlformats.org/officeDocument/2006/relationships/hyperlink" Target="https://www.jivi.com.ar/ficha.php?id=1110" TargetMode="External"/><Relationship Id="rId400" Type="http://schemas.openxmlformats.org/officeDocument/2006/relationships/hyperlink" Target="https://www.jivi.com.ar/ficha.php?id=1414" TargetMode="External"/><Relationship Id="rId442" Type="http://schemas.openxmlformats.org/officeDocument/2006/relationships/hyperlink" Target="https://www.jivi.com.ar/ficha.php?id=1598" TargetMode="External"/><Relationship Id="rId484" Type="http://schemas.openxmlformats.org/officeDocument/2006/relationships/hyperlink" Target="https://www.jivi.com.ar/ficha.php?id=1638" TargetMode="External"/><Relationship Id="rId137" Type="http://schemas.openxmlformats.org/officeDocument/2006/relationships/hyperlink" Target="https://www.jivi.com.ar/ficha.php?id=888" TargetMode="External"/><Relationship Id="rId302" Type="http://schemas.openxmlformats.org/officeDocument/2006/relationships/hyperlink" Target="https://www.jivi.com.ar/ficha.php?id=1433" TargetMode="External"/><Relationship Id="rId344" Type="http://schemas.openxmlformats.org/officeDocument/2006/relationships/hyperlink" Target="https://www.jivi.com.ar/ficha.php?id=1492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393" TargetMode="External"/><Relationship Id="rId179" Type="http://schemas.openxmlformats.org/officeDocument/2006/relationships/hyperlink" Target="https://www.jivi.com.ar/ficha.php?id=1097" TargetMode="External"/><Relationship Id="rId386" Type="http://schemas.openxmlformats.org/officeDocument/2006/relationships/hyperlink" Target="https://www.jivi.com.ar/ficha.php?id=1552" TargetMode="External"/><Relationship Id="rId551" Type="http://schemas.openxmlformats.org/officeDocument/2006/relationships/hyperlink" Target="https://www.jivi.com.ar/ficha.php?id=1294" TargetMode="External"/><Relationship Id="rId190" Type="http://schemas.openxmlformats.org/officeDocument/2006/relationships/hyperlink" Target="https://www.jivi.com.ar/ficha.php?id=1141" TargetMode="External"/><Relationship Id="rId204" Type="http://schemas.openxmlformats.org/officeDocument/2006/relationships/hyperlink" Target="https://www.jivi.com.ar/ficha.php?id=349" TargetMode="External"/><Relationship Id="rId246" Type="http://schemas.openxmlformats.org/officeDocument/2006/relationships/hyperlink" Target="https://www.jivi.com.ar/ficha.php?id=1333" TargetMode="External"/><Relationship Id="rId288" Type="http://schemas.openxmlformats.org/officeDocument/2006/relationships/hyperlink" Target="https://www.jivi.com.ar/ficha.php?id=1084" TargetMode="External"/><Relationship Id="rId411" Type="http://schemas.openxmlformats.org/officeDocument/2006/relationships/hyperlink" Target="https://www.jivi.com.ar/ficha.php?id=1570" TargetMode="External"/><Relationship Id="rId453" Type="http://schemas.openxmlformats.org/officeDocument/2006/relationships/hyperlink" Target="https://www.jivi.com.ar/ficha.php?id=1608" TargetMode="External"/><Relationship Id="rId509" Type="http://schemas.openxmlformats.org/officeDocument/2006/relationships/hyperlink" Target="https://www.jivi.com.ar/ficha.php?id=1697" TargetMode="External"/><Relationship Id="rId106" Type="http://schemas.openxmlformats.org/officeDocument/2006/relationships/hyperlink" Target="https://www.jivi.com.ar/ficha.php?id=252" TargetMode="External"/><Relationship Id="rId313" Type="http://schemas.openxmlformats.org/officeDocument/2006/relationships/hyperlink" Target="https://www.jivi.com.ar/ficha.php?id=1443" TargetMode="External"/><Relationship Id="rId495" Type="http://schemas.openxmlformats.org/officeDocument/2006/relationships/hyperlink" Target="https://www.jivi.com.ar/ficha.php?id=44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158" TargetMode="External"/><Relationship Id="rId148" Type="http://schemas.openxmlformats.org/officeDocument/2006/relationships/hyperlink" Target="https://www.jivi.com.ar/ficha.php?id=954" TargetMode="External"/><Relationship Id="rId355" Type="http://schemas.openxmlformats.org/officeDocument/2006/relationships/hyperlink" Target="https://www.jivi.com.ar/ficha.php?id=1504" TargetMode="External"/><Relationship Id="rId397" Type="http://schemas.openxmlformats.org/officeDocument/2006/relationships/hyperlink" Target="https://www.jivi.com.ar/ficha.php?id=1066" TargetMode="External"/><Relationship Id="rId520" Type="http://schemas.openxmlformats.org/officeDocument/2006/relationships/hyperlink" Target="https://www.jivi.com.ar/ficha.php?id=1456" TargetMode="External"/><Relationship Id="rId562" Type="http://schemas.openxmlformats.org/officeDocument/2006/relationships/vmlDrawing" Target="../drawings/vmlDrawing1.vml"/><Relationship Id="rId215" Type="http://schemas.openxmlformats.org/officeDocument/2006/relationships/hyperlink" Target="https://www.jivi.com.ar/ficha.php?id=1224" TargetMode="External"/><Relationship Id="rId257" Type="http://schemas.openxmlformats.org/officeDocument/2006/relationships/hyperlink" Target="https://www.jivi.com.ar/ficha.php?id=1378" TargetMode="External"/><Relationship Id="rId422" Type="http://schemas.openxmlformats.org/officeDocument/2006/relationships/hyperlink" Target="https://www.jivi.com.ar/ficha.php?id=1574" TargetMode="External"/><Relationship Id="rId464" Type="http://schemas.openxmlformats.org/officeDocument/2006/relationships/hyperlink" Target="https://www.jivi.com.ar/ficha.php?id=1615" TargetMode="External"/><Relationship Id="rId299" Type="http://schemas.openxmlformats.org/officeDocument/2006/relationships/hyperlink" Target="https://www.jivi.com.ar/ficha.php?id=1429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23" TargetMode="External"/><Relationship Id="rId366" Type="http://schemas.openxmlformats.org/officeDocument/2006/relationships/hyperlink" Target="https://www.jivi.com.ar/ficha.php?id=1523" TargetMode="External"/><Relationship Id="rId226" Type="http://schemas.openxmlformats.org/officeDocument/2006/relationships/hyperlink" Target="https://www.jivi.com.ar/ficha.php?id=1124" TargetMode="External"/><Relationship Id="rId433" Type="http://schemas.openxmlformats.org/officeDocument/2006/relationships/hyperlink" Target="https://www.jivi.com.ar/ficha.php?id=1411" TargetMode="External"/><Relationship Id="rId74" Type="http://schemas.openxmlformats.org/officeDocument/2006/relationships/hyperlink" Target="https://www.jivi.com.ar/ficha.php?id=10" TargetMode="External"/><Relationship Id="rId377" Type="http://schemas.openxmlformats.org/officeDocument/2006/relationships/hyperlink" Target="https://www.jivi.com.ar/ficha.php?id=1542" TargetMode="External"/><Relationship Id="rId500" Type="http://schemas.openxmlformats.org/officeDocument/2006/relationships/hyperlink" Target="https://www.jivi.com.ar/ficha.php?id=127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03" TargetMode="External"/><Relationship Id="rId444" Type="http://schemas.openxmlformats.org/officeDocument/2006/relationships/hyperlink" Target="https://www.jivi.com.ar/ficha.php?id=1602" TargetMode="External"/><Relationship Id="rId290" Type="http://schemas.openxmlformats.org/officeDocument/2006/relationships/hyperlink" Target="https://www.jivi.com.ar/ficha.php?id=1419" TargetMode="External"/><Relationship Id="rId304" Type="http://schemas.openxmlformats.org/officeDocument/2006/relationships/hyperlink" Target="https://www.jivi.com.ar/ficha.php?id=1437" TargetMode="External"/><Relationship Id="rId388" Type="http://schemas.openxmlformats.org/officeDocument/2006/relationships/hyperlink" Target="https://www.jivi.com.ar/ficha.php?id=1553" TargetMode="External"/><Relationship Id="rId511" Type="http://schemas.openxmlformats.org/officeDocument/2006/relationships/hyperlink" Target="https://www.jivi.com.ar/ficha.php?id=1699" TargetMode="External"/><Relationship Id="rId85" Type="http://schemas.openxmlformats.org/officeDocument/2006/relationships/hyperlink" Target="https://www.jivi.com.ar/ficha.php?id=136" TargetMode="External"/><Relationship Id="rId150" Type="http://schemas.openxmlformats.org/officeDocument/2006/relationships/hyperlink" Target="https://www.jivi.com.ar/ficha.php?id=956" TargetMode="External"/><Relationship Id="rId248" Type="http://schemas.openxmlformats.org/officeDocument/2006/relationships/hyperlink" Target="https://www.jivi.com.ar/ficha.php?id=1347" TargetMode="External"/><Relationship Id="rId455" Type="http://schemas.openxmlformats.org/officeDocument/2006/relationships/hyperlink" Target="https://www.jivi.com.ar/ficha.php?id=1274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220" TargetMode="External"/><Relationship Id="rId315" Type="http://schemas.openxmlformats.org/officeDocument/2006/relationships/hyperlink" Target="https://www.jivi.com.ar/ficha.php?id=1446" TargetMode="External"/><Relationship Id="rId522" Type="http://schemas.openxmlformats.org/officeDocument/2006/relationships/hyperlink" Target="https://www.jivi.com.ar/ficha.php?id=1708" TargetMode="External"/><Relationship Id="rId96" Type="http://schemas.openxmlformats.org/officeDocument/2006/relationships/hyperlink" Target="https://www.jivi.com.ar/ficha.php?id=622" TargetMode="External"/><Relationship Id="rId161" Type="http://schemas.openxmlformats.org/officeDocument/2006/relationships/hyperlink" Target="https://www.jivi.com.ar/ficha.php?id=1025" TargetMode="External"/><Relationship Id="rId399" Type="http://schemas.openxmlformats.org/officeDocument/2006/relationships/hyperlink" Target="https://www.jivi.com.ar/ficha.php?id=1563" TargetMode="External"/><Relationship Id="rId259" Type="http://schemas.openxmlformats.org/officeDocument/2006/relationships/hyperlink" Target="https://www.jivi.com.ar/ficha.php?id=1383" TargetMode="External"/><Relationship Id="rId466" Type="http://schemas.openxmlformats.org/officeDocument/2006/relationships/hyperlink" Target="https://www.jivi.com.ar/ficha.php?id=1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54" t="s">
        <v>0</v>
      </c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855"/>
      <c r="S1" s="855"/>
      <c r="T1" s="855"/>
      <c r="U1" s="855"/>
      <c r="V1" s="855"/>
      <c r="W1" s="856"/>
      <c r="X1" s="177">
        <v>1</v>
      </c>
      <c r="Y1" s="834" t="s">
        <v>1</v>
      </c>
      <c r="Z1" s="835"/>
      <c r="AA1" s="835"/>
      <c r="AB1" s="835"/>
      <c r="AC1" s="835"/>
      <c r="AD1" s="836"/>
      <c r="AE1" s="831" t="s">
        <v>2</v>
      </c>
      <c r="AF1" s="832"/>
      <c r="AG1" s="832"/>
      <c r="AH1" s="832"/>
      <c r="AI1" s="833"/>
      <c r="AJ1" s="829" t="s">
        <v>3</v>
      </c>
      <c r="AK1" s="59"/>
      <c r="AL1" s="59"/>
      <c r="AM1" s="57"/>
    </row>
    <row r="2" spans="1:39" ht="14.25" customHeight="1" thickBot="1" x14ac:dyDescent="0.25">
      <c r="A2" s="20"/>
      <c r="B2" s="888" t="s">
        <v>899</v>
      </c>
      <c r="C2" s="889"/>
      <c r="D2" s="889"/>
      <c r="E2" s="889"/>
      <c r="F2" s="889"/>
      <c r="G2" s="889"/>
      <c r="H2" s="889"/>
      <c r="I2" s="889"/>
      <c r="J2" s="889"/>
      <c r="K2" s="889"/>
      <c r="L2" s="889"/>
      <c r="M2" s="889"/>
      <c r="N2" s="889"/>
      <c r="O2" s="889"/>
      <c r="P2" s="889"/>
      <c r="Q2" s="889"/>
      <c r="R2" s="889"/>
      <c r="S2" s="889"/>
      <c r="T2" s="889"/>
      <c r="U2" s="889"/>
      <c r="V2" s="890"/>
      <c r="W2" s="891"/>
      <c r="X2" s="482">
        <v>924</v>
      </c>
      <c r="Y2" s="885" t="s">
        <v>4</v>
      </c>
      <c r="Z2" s="885"/>
      <c r="AA2" s="885"/>
      <c r="AB2" s="885"/>
      <c r="AC2" s="885"/>
      <c r="AD2" s="886"/>
      <c r="AE2" s="840" t="s">
        <v>5</v>
      </c>
      <c r="AF2" s="841"/>
      <c r="AG2" s="841"/>
      <c r="AH2" s="535"/>
      <c r="AI2" s="536"/>
      <c r="AJ2" s="830"/>
      <c r="AK2" s="188"/>
      <c r="AL2" s="188"/>
      <c r="AM2" s="57"/>
    </row>
    <row r="3" spans="1:39" ht="15.75" customHeight="1" thickBot="1" x14ac:dyDescent="0.25">
      <c r="A3" s="20"/>
      <c r="B3" s="857"/>
      <c r="C3" s="858"/>
      <c r="D3" s="859"/>
      <c r="E3" s="878" t="s">
        <v>6</v>
      </c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80"/>
      <c r="W3" s="881"/>
      <c r="X3" s="867" t="s">
        <v>439</v>
      </c>
      <c r="Y3" s="868"/>
      <c r="Z3" s="868"/>
      <c r="AA3" s="868"/>
      <c r="AB3" s="868"/>
      <c r="AC3" s="868"/>
      <c r="AD3" s="869"/>
      <c r="AE3" s="838"/>
      <c r="AF3" s="839"/>
      <c r="AG3" s="839"/>
      <c r="AH3" s="839"/>
      <c r="AI3" s="839"/>
      <c r="AJ3" s="15"/>
      <c r="AK3" s="15"/>
      <c r="AL3" s="15"/>
      <c r="AM3" s="58"/>
    </row>
    <row r="4" spans="1:39" ht="21.75" customHeight="1" thickBot="1" x14ac:dyDescent="0.25">
      <c r="A4" s="20"/>
      <c r="B4" s="860"/>
      <c r="C4" s="858"/>
      <c r="D4" s="859"/>
      <c r="E4" s="882" t="s">
        <v>7</v>
      </c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883"/>
      <c r="R4" s="883"/>
      <c r="S4" s="883"/>
      <c r="T4" s="883"/>
      <c r="U4" s="883"/>
      <c r="V4" s="883"/>
      <c r="W4" s="884"/>
      <c r="X4" s="870"/>
      <c r="Y4" s="871"/>
      <c r="Z4" s="871"/>
      <c r="AA4" s="871"/>
      <c r="AB4" s="871"/>
      <c r="AC4" s="871"/>
      <c r="AD4" s="872"/>
      <c r="AE4" s="839"/>
      <c r="AF4" s="839"/>
      <c r="AG4" s="839"/>
      <c r="AH4" s="839"/>
      <c r="AI4" s="839"/>
      <c r="AJ4" s="15"/>
      <c r="AK4" s="15"/>
      <c r="AL4" s="15"/>
      <c r="AM4" s="58"/>
    </row>
    <row r="5" spans="1:39" ht="23.25" customHeight="1" thickBot="1" x14ac:dyDescent="0.25">
      <c r="A5" s="20"/>
      <c r="B5" s="861"/>
      <c r="C5" s="862"/>
      <c r="D5" s="863"/>
      <c r="E5" s="864" t="s">
        <v>8</v>
      </c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6"/>
      <c r="X5" s="842"/>
      <c r="Y5" s="843"/>
      <c r="Z5" s="843"/>
      <c r="AA5" s="843"/>
      <c r="AB5" s="843"/>
      <c r="AC5" s="843"/>
      <c r="AD5" s="844"/>
      <c r="AE5" s="913"/>
      <c r="AF5" s="913"/>
      <c r="AG5" s="913"/>
      <c r="AH5" s="913"/>
      <c r="AI5" s="913"/>
      <c r="AJ5" s="15"/>
      <c r="AK5" s="15"/>
      <c r="AL5" s="15"/>
      <c r="AM5" s="58"/>
    </row>
    <row r="6" spans="1:39" ht="12" customHeight="1" thickBot="1" x14ac:dyDescent="0.25">
      <c r="A6" s="20"/>
      <c r="B6" s="927" t="s">
        <v>9</v>
      </c>
      <c r="C6" s="928"/>
      <c r="D6" s="928"/>
      <c r="E6" s="928"/>
      <c r="F6" s="928"/>
      <c r="G6" s="928"/>
      <c r="H6" s="928"/>
      <c r="I6" s="928"/>
      <c r="J6" s="928"/>
      <c r="K6" s="928"/>
      <c r="L6" s="928"/>
      <c r="M6" s="928"/>
      <c r="N6" s="928"/>
      <c r="O6" s="928"/>
      <c r="P6" s="928"/>
      <c r="Q6" s="928"/>
      <c r="R6" s="928"/>
      <c r="S6" s="928"/>
      <c r="T6" s="928"/>
      <c r="U6" s="928"/>
      <c r="V6" s="928"/>
      <c r="W6" s="929"/>
      <c r="X6" s="845"/>
      <c r="Y6" s="846"/>
      <c r="Z6" s="846"/>
      <c r="AA6" s="846"/>
      <c r="AB6" s="846"/>
      <c r="AC6" s="846"/>
      <c r="AD6" s="847"/>
      <c r="AE6" s="913"/>
      <c r="AF6" s="913"/>
      <c r="AG6" s="913"/>
      <c r="AH6" s="913"/>
      <c r="AI6" s="913"/>
      <c r="AJ6" s="15"/>
      <c r="AK6" s="15"/>
      <c r="AL6" s="15"/>
      <c r="AM6" s="58"/>
    </row>
    <row r="7" spans="1:39" ht="13.5" customHeight="1" thickBot="1" x14ac:dyDescent="0.25">
      <c r="A7" s="20"/>
      <c r="B7" s="910" t="s">
        <v>10</v>
      </c>
      <c r="C7" s="911"/>
      <c r="D7" s="911"/>
      <c r="E7" s="911"/>
      <c r="F7" s="911"/>
      <c r="G7" s="911"/>
      <c r="H7" s="911"/>
      <c r="I7" s="911"/>
      <c r="J7" s="911"/>
      <c r="K7" s="911"/>
      <c r="L7" s="911"/>
      <c r="M7" s="911"/>
      <c r="N7" s="911"/>
      <c r="O7" s="911"/>
      <c r="P7" s="911"/>
      <c r="Q7" s="911"/>
      <c r="R7" s="911"/>
      <c r="S7" s="911"/>
      <c r="T7" s="911"/>
      <c r="U7" s="911"/>
      <c r="V7" s="911"/>
      <c r="W7" s="912"/>
      <c r="X7" s="848"/>
      <c r="Y7" s="849"/>
      <c r="Z7" s="849"/>
      <c r="AA7" s="849"/>
      <c r="AB7" s="849"/>
      <c r="AC7" s="850"/>
      <c r="AD7" s="851"/>
      <c r="AE7" s="913"/>
      <c r="AF7" s="913"/>
      <c r="AG7" s="913"/>
      <c r="AH7" s="913"/>
      <c r="AI7" s="913"/>
    </row>
    <row r="8" spans="1:39" ht="14.25" customHeight="1" x14ac:dyDescent="0.2">
      <c r="A8" s="20"/>
      <c r="B8" s="899" t="s">
        <v>11</v>
      </c>
      <c r="C8" s="734" t="s">
        <v>12</v>
      </c>
      <c r="D8" s="735"/>
      <c r="E8" s="735"/>
      <c r="F8" s="804" t="s">
        <v>13</v>
      </c>
      <c r="G8" s="804" t="s">
        <v>13</v>
      </c>
      <c r="H8" s="754" t="s">
        <v>14</v>
      </c>
      <c r="I8" s="754"/>
      <c r="J8" s="755"/>
      <c r="K8" s="755"/>
      <c r="L8" s="755"/>
      <c r="M8" s="755"/>
      <c r="N8" s="755"/>
      <c r="O8" s="755"/>
      <c r="P8" s="755"/>
      <c r="Q8" s="755"/>
      <c r="R8" s="755"/>
      <c r="S8" s="755"/>
      <c r="T8" s="755"/>
      <c r="U8" s="755"/>
      <c r="V8" s="755"/>
      <c r="W8" s="756"/>
      <c r="X8" s="745" t="s">
        <v>15</v>
      </c>
      <c r="Y8" s="746"/>
      <c r="Z8" s="746"/>
      <c r="AA8" s="873"/>
      <c r="AB8" s="852" t="s">
        <v>16</v>
      </c>
      <c r="AC8" s="914" t="s">
        <v>17</v>
      </c>
      <c r="AD8" s="915"/>
      <c r="AE8" s="915"/>
      <c r="AF8" s="915"/>
      <c r="AG8" s="915"/>
      <c r="AH8" s="915"/>
      <c r="AI8" s="916"/>
    </row>
    <row r="9" spans="1:39" ht="11.25" customHeight="1" thickBot="1" x14ac:dyDescent="0.25">
      <c r="A9" s="20"/>
      <c r="B9" s="900"/>
      <c r="C9" s="736"/>
      <c r="D9" s="736"/>
      <c r="E9" s="736"/>
      <c r="F9" s="805"/>
      <c r="G9" s="805"/>
      <c r="H9" s="292"/>
      <c r="I9" s="288" t="s">
        <v>310</v>
      </c>
      <c r="J9" s="292"/>
      <c r="K9" s="288" t="s">
        <v>18</v>
      </c>
      <c r="L9" s="293"/>
      <c r="M9" s="293" t="s">
        <v>19</v>
      </c>
      <c r="N9" s="293"/>
      <c r="O9" s="288" t="s">
        <v>20</v>
      </c>
      <c r="P9" s="293"/>
      <c r="Q9" s="293" t="s">
        <v>312</v>
      </c>
      <c r="R9" s="293"/>
      <c r="S9" s="293" t="s">
        <v>21</v>
      </c>
      <c r="T9" s="293"/>
      <c r="U9" s="293" t="s">
        <v>22</v>
      </c>
      <c r="V9" s="293"/>
      <c r="W9" s="295" t="s">
        <v>23</v>
      </c>
      <c r="X9" s="747"/>
      <c r="Y9" s="748"/>
      <c r="Z9" s="748"/>
      <c r="AA9" s="874"/>
      <c r="AB9" s="853"/>
      <c r="AC9" s="917"/>
      <c r="AD9" s="918"/>
      <c r="AE9" s="918"/>
      <c r="AF9" s="918"/>
      <c r="AG9" s="918"/>
      <c r="AH9" s="918"/>
      <c r="AI9" s="919"/>
    </row>
    <row r="10" spans="1:39" ht="12.6" customHeight="1" x14ac:dyDescent="0.2">
      <c r="A10" s="20"/>
      <c r="B10" s="920" t="s">
        <v>822</v>
      </c>
      <c r="C10" s="921"/>
      <c r="D10" s="921"/>
      <c r="E10" s="922"/>
      <c r="F10" s="393">
        <v>557</v>
      </c>
      <c r="G10" s="371">
        <f t="shared" ref="G10" si="0">+F10*$X$1</f>
        <v>557</v>
      </c>
      <c r="H10" s="328"/>
      <c r="I10" s="412"/>
      <c r="J10" s="75">
        <f>F10+120</f>
        <v>677</v>
      </c>
      <c r="K10" s="337"/>
      <c r="L10" s="375"/>
      <c r="M10" s="337"/>
      <c r="N10" s="375">
        <f>F10+46</f>
        <v>603</v>
      </c>
      <c r="O10" s="337">
        <f t="shared" ref="O10" si="1">+N10*$X$1</f>
        <v>603</v>
      </c>
      <c r="P10" s="375">
        <f>F10+42</f>
        <v>599</v>
      </c>
      <c r="Q10" s="337">
        <f t="shared" ref="Q10" si="2">+P10*$X$1</f>
        <v>599</v>
      </c>
      <c r="R10" s="375">
        <f>F10+35</f>
        <v>592</v>
      </c>
      <c r="S10" s="337">
        <f t="shared" ref="S10" si="3">+R10*$X$1</f>
        <v>592</v>
      </c>
      <c r="T10" s="375">
        <f>F10+29</f>
        <v>586</v>
      </c>
      <c r="U10" s="337">
        <f t="shared" ref="U10" si="4">+T10*$X$1</f>
        <v>586</v>
      </c>
      <c r="V10" s="375">
        <f>F10+24</f>
        <v>581</v>
      </c>
      <c r="W10" s="337">
        <f t="shared" ref="W10" si="5">+V10*$X$1</f>
        <v>581</v>
      </c>
      <c r="X10" s="141"/>
      <c r="Y10" s="141"/>
      <c r="Z10" s="141"/>
      <c r="AA10" s="141"/>
      <c r="AB10" s="523">
        <v>13</v>
      </c>
      <c r="AE10" s="65"/>
      <c r="AF10" s="837" t="s">
        <v>24</v>
      </c>
      <c r="AG10" s="837"/>
      <c r="AH10" s="837"/>
    </row>
    <row r="11" spans="1:39" ht="12.6" customHeight="1" x14ac:dyDescent="0.2">
      <c r="A11" s="20"/>
      <c r="B11" s="731" t="s">
        <v>823</v>
      </c>
      <c r="C11" s="796"/>
      <c r="D11" s="796"/>
      <c r="E11" s="797"/>
      <c r="F11" s="392">
        <v>639</v>
      </c>
      <c r="G11" s="370">
        <f t="shared" ref="G11" si="6">+F11*$X$1</f>
        <v>639</v>
      </c>
      <c r="H11" s="327"/>
      <c r="I11" s="413"/>
      <c r="J11" s="93">
        <f>F11+120</f>
        <v>759</v>
      </c>
      <c r="K11" s="338"/>
      <c r="L11" s="610"/>
      <c r="M11" s="338"/>
      <c r="N11" s="610">
        <f>F11+46</f>
        <v>685</v>
      </c>
      <c r="O11" s="338">
        <f t="shared" ref="O11" si="7">+N11*$X$1</f>
        <v>685</v>
      </c>
      <c r="P11" s="610">
        <f>F11+42</f>
        <v>681</v>
      </c>
      <c r="Q11" s="338">
        <f t="shared" ref="Q11" si="8">+P11*$X$1</f>
        <v>681</v>
      </c>
      <c r="R11" s="610">
        <f>F11+35</f>
        <v>674</v>
      </c>
      <c r="S11" s="338">
        <f t="shared" ref="S11" si="9">+R11*$X$1</f>
        <v>674</v>
      </c>
      <c r="T11" s="610">
        <f>F11+29</f>
        <v>668</v>
      </c>
      <c r="U11" s="338">
        <f t="shared" ref="U11" si="10">+T11*$X$1</f>
        <v>668</v>
      </c>
      <c r="V11" s="610">
        <f>F11+24</f>
        <v>663</v>
      </c>
      <c r="W11" s="338">
        <f t="shared" ref="W11" si="11">+V11*$X$1</f>
        <v>663</v>
      </c>
      <c r="X11" s="141"/>
      <c r="Y11" s="141"/>
      <c r="Z11" s="141"/>
      <c r="AA11" s="141"/>
      <c r="AB11" s="37"/>
      <c r="AE11" s="65"/>
      <c r="AF11" s="837" t="s">
        <v>481</v>
      </c>
      <c r="AG11" s="837"/>
      <c r="AH11" s="837"/>
    </row>
    <row r="12" spans="1:39" ht="12.6" customHeight="1" x14ac:dyDescent="0.2">
      <c r="A12" s="20"/>
      <c r="B12" s="737" t="s">
        <v>821</v>
      </c>
      <c r="C12" s="709"/>
      <c r="D12" s="709"/>
      <c r="E12" s="709"/>
      <c r="F12" s="393">
        <v>960</v>
      </c>
      <c r="G12" s="371">
        <f t="shared" ref="G12:G13" si="12">+F12*$X$1</f>
        <v>960</v>
      </c>
      <c r="H12" s="328"/>
      <c r="I12" s="412"/>
      <c r="J12" s="571"/>
      <c r="K12" s="337"/>
      <c r="L12" s="375"/>
      <c r="M12" s="337"/>
      <c r="N12" s="375">
        <f>F12+46</f>
        <v>1006</v>
      </c>
      <c r="O12" s="337">
        <f t="shared" ref="O12" si="13">+N12*$X$1</f>
        <v>1006</v>
      </c>
      <c r="P12" s="375">
        <f>F12+42</f>
        <v>1002</v>
      </c>
      <c r="Q12" s="337">
        <f t="shared" ref="Q12" si="14">+P12*$X$1</f>
        <v>1002</v>
      </c>
      <c r="R12" s="375">
        <f>F12+35</f>
        <v>995</v>
      </c>
      <c r="S12" s="337">
        <f t="shared" ref="S12" si="15">+R12*$X$1</f>
        <v>995</v>
      </c>
      <c r="T12" s="375">
        <f>F12+29</f>
        <v>989</v>
      </c>
      <c r="U12" s="337">
        <f t="shared" ref="U12" si="16">+T12*$X$1</f>
        <v>989</v>
      </c>
      <c r="V12" s="375">
        <f>F12+24</f>
        <v>984</v>
      </c>
      <c r="W12" s="337">
        <f t="shared" ref="W12" si="17">+V12*$X$1</f>
        <v>984</v>
      </c>
      <c r="X12" s="141"/>
      <c r="Y12" s="141"/>
      <c r="Z12" s="141"/>
      <c r="AA12" s="141"/>
      <c r="AB12" s="523">
        <v>15</v>
      </c>
      <c r="AE12" s="65"/>
      <c r="AF12" s="837" t="s">
        <v>429</v>
      </c>
      <c r="AG12" s="837"/>
      <c r="AH12" s="837"/>
      <c r="AI12" s="65"/>
      <c r="AK12" s="1109"/>
      <c r="AL12" s="1109"/>
      <c r="AM12" s="1109"/>
    </row>
    <row r="13" spans="1:39" ht="12.6" customHeight="1" x14ac:dyDescent="0.2">
      <c r="A13" s="20"/>
      <c r="B13" s="731" t="s">
        <v>485</v>
      </c>
      <c r="C13" s="796"/>
      <c r="D13" s="796"/>
      <c r="E13" s="797"/>
      <c r="F13" s="338">
        <v>490</v>
      </c>
      <c r="G13" s="370">
        <f t="shared" si="12"/>
        <v>490</v>
      </c>
      <c r="H13" s="327"/>
      <c r="I13" s="413"/>
      <c r="J13" s="610">
        <f>F13+65</f>
        <v>555</v>
      </c>
      <c r="K13" s="338">
        <f t="shared" ref="K13:K14" si="18">+J13*$X$1</f>
        <v>555</v>
      </c>
      <c r="L13" s="610">
        <f>F13+50</f>
        <v>540</v>
      </c>
      <c r="M13" s="338">
        <f t="shared" ref="M13:M14" si="19">+L13*$X$1</f>
        <v>540</v>
      </c>
      <c r="N13" s="610">
        <f>F13+36</f>
        <v>526</v>
      </c>
      <c r="O13" s="338">
        <f t="shared" ref="O13:O14" si="20">+N13*$X$1</f>
        <v>526</v>
      </c>
      <c r="P13" s="610">
        <f>F13+33</f>
        <v>523</v>
      </c>
      <c r="Q13" s="338">
        <f t="shared" ref="Q13:Q14" si="21">+P13*$X$1</f>
        <v>523</v>
      </c>
      <c r="R13" s="610">
        <f>F13+30</f>
        <v>520</v>
      </c>
      <c r="S13" s="338">
        <f t="shared" ref="S13:S14" si="22">+R13*$X$1</f>
        <v>520</v>
      </c>
      <c r="T13" s="610">
        <f>F13+26</f>
        <v>516</v>
      </c>
      <c r="U13" s="338">
        <f t="shared" ref="U13:U14" si="23">+T13*$X$1</f>
        <v>516</v>
      </c>
      <c r="V13" s="610"/>
      <c r="W13" s="338"/>
      <c r="X13" s="141"/>
      <c r="Y13" s="141"/>
      <c r="Z13" s="141"/>
      <c r="AA13" s="141"/>
      <c r="AB13" s="523">
        <v>17</v>
      </c>
      <c r="AE13" s="65"/>
      <c r="AF13" s="837" t="s">
        <v>430</v>
      </c>
      <c r="AG13" s="837"/>
      <c r="AH13" s="837"/>
      <c r="AI13" s="65"/>
      <c r="AK13" s="228"/>
      <c r="AL13" s="228"/>
      <c r="AM13" s="228"/>
    </row>
    <row r="14" spans="1:39" ht="12.6" customHeight="1" x14ac:dyDescent="0.2">
      <c r="A14" s="20"/>
      <c r="B14" s="681" t="s">
        <v>839</v>
      </c>
      <c r="C14" s="679"/>
      <c r="D14" s="679"/>
      <c r="E14" s="680"/>
      <c r="F14" s="478">
        <f>29.8*X2</f>
        <v>27535.200000000001</v>
      </c>
      <c r="G14" s="371">
        <f>+F14*$X$1</f>
        <v>27535.200000000001</v>
      </c>
      <c r="H14" s="389">
        <f>F14+220</f>
        <v>27755.200000000001</v>
      </c>
      <c r="I14" s="337">
        <f t="shared" ref="I14" si="24">+H14*$X$1</f>
        <v>27755.200000000001</v>
      </c>
      <c r="J14" s="375">
        <f>F14+81</f>
        <v>27616.2</v>
      </c>
      <c r="K14" s="337">
        <f t="shared" si="18"/>
        <v>27616.2</v>
      </c>
      <c r="L14" s="375">
        <f>F14+70</f>
        <v>27605.200000000001</v>
      </c>
      <c r="M14" s="337">
        <f t="shared" si="19"/>
        <v>27605.200000000001</v>
      </c>
      <c r="N14" s="375">
        <f>F14+57</f>
        <v>27592.2</v>
      </c>
      <c r="O14" s="337">
        <f t="shared" si="20"/>
        <v>27592.2</v>
      </c>
      <c r="P14" s="375">
        <f>F14+55</f>
        <v>27590.2</v>
      </c>
      <c r="Q14" s="337">
        <f t="shared" si="21"/>
        <v>27590.2</v>
      </c>
      <c r="R14" s="375">
        <f>F14+51</f>
        <v>27586.2</v>
      </c>
      <c r="S14" s="337">
        <f t="shared" si="22"/>
        <v>27586.2</v>
      </c>
      <c r="T14" s="375">
        <f>F14+46</f>
        <v>27581.200000000001</v>
      </c>
      <c r="U14" s="337">
        <f t="shared" si="23"/>
        <v>27581.200000000001</v>
      </c>
      <c r="V14" s="375"/>
      <c r="W14" s="337"/>
      <c r="X14" s="724"/>
      <c r="Y14" s="694"/>
      <c r="Z14" s="694"/>
      <c r="AA14" s="695"/>
      <c r="AB14" s="523">
        <v>18</v>
      </c>
      <c r="AE14" s="76"/>
      <c r="AF14" s="686" t="s">
        <v>25</v>
      </c>
      <c r="AG14" s="686"/>
      <c r="AH14" s="686"/>
      <c r="AI14" s="686"/>
      <c r="AJ14" s="77"/>
    </row>
    <row r="15" spans="1:39" ht="12.6" customHeight="1" x14ac:dyDescent="0.2">
      <c r="A15" s="20"/>
      <c r="B15" s="731" t="s">
        <v>484</v>
      </c>
      <c r="C15" s="796"/>
      <c r="D15" s="796"/>
      <c r="E15" s="797"/>
      <c r="F15" s="477"/>
      <c r="G15" s="338"/>
      <c r="H15" s="327"/>
      <c r="I15" s="413"/>
      <c r="J15" s="468"/>
      <c r="K15" s="338"/>
      <c r="L15" s="468"/>
      <c r="M15" s="338"/>
      <c r="N15" s="468"/>
      <c r="O15" s="338"/>
      <c r="P15" s="468"/>
      <c r="Q15" s="338"/>
      <c r="R15" s="468"/>
      <c r="S15" s="338"/>
      <c r="T15" s="468"/>
      <c r="U15" s="338"/>
      <c r="V15" s="468"/>
      <c r="W15" s="338"/>
      <c r="X15" s="724"/>
      <c r="Y15" s="798"/>
      <c r="Z15" s="798"/>
      <c r="AA15" s="799"/>
      <c r="AB15" s="523">
        <v>22</v>
      </c>
      <c r="AF15" s="837" t="s">
        <v>26</v>
      </c>
      <c r="AG15" s="837"/>
      <c r="AH15" s="837"/>
    </row>
    <row r="16" spans="1:39" ht="12.6" customHeight="1" x14ac:dyDescent="0.2">
      <c r="A16" s="101"/>
      <c r="B16" s="909" t="s">
        <v>27</v>
      </c>
      <c r="C16" s="706"/>
      <c r="D16" s="706"/>
      <c r="E16" s="707"/>
      <c r="F16" s="478">
        <f>4.1*X2</f>
        <v>3788.3999999999996</v>
      </c>
      <c r="G16" s="371">
        <f>+F16*$X$1</f>
        <v>3788.3999999999996</v>
      </c>
      <c r="H16" s="389">
        <f>F16+220</f>
        <v>4008.3999999999996</v>
      </c>
      <c r="I16" s="337">
        <f t="shared" ref="I16:I17" si="25">+H16*$X$1</f>
        <v>4008.3999999999996</v>
      </c>
      <c r="J16" s="375"/>
      <c r="K16" s="339"/>
      <c r="L16" s="375"/>
      <c r="M16" s="337"/>
      <c r="N16" s="375"/>
      <c r="O16" s="337"/>
      <c r="P16" s="108"/>
      <c r="Q16" s="892" t="s">
        <v>155</v>
      </c>
      <c r="R16" s="893"/>
      <c r="S16" s="893"/>
      <c r="T16" s="893"/>
      <c r="U16" s="893"/>
      <c r="V16" s="893"/>
      <c r="W16" s="894"/>
      <c r="X16" s="724"/>
      <c r="Y16" s="694"/>
      <c r="Z16" s="694"/>
      <c r="AA16" s="695"/>
      <c r="AB16" s="523">
        <v>24</v>
      </c>
      <c r="AE16" s="76"/>
      <c r="AI16" s="102"/>
      <c r="AJ16" s="103"/>
    </row>
    <row r="17" spans="1:37" ht="12.6" customHeight="1" x14ac:dyDescent="0.2">
      <c r="A17" s="136"/>
      <c r="B17" s="731" t="s">
        <v>640</v>
      </c>
      <c r="C17" s="732"/>
      <c r="D17" s="732"/>
      <c r="E17" s="733"/>
      <c r="F17" s="477">
        <f>4.1*X2</f>
        <v>3788.3999999999996</v>
      </c>
      <c r="G17" s="370">
        <f>+F17*$X$1</f>
        <v>3788.3999999999996</v>
      </c>
      <c r="H17" s="389">
        <f>F17+220</f>
        <v>4008.3999999999996</v>
      </c>
      <c r="I17" s="338">
        <f t="shared" si="25"/>
        <v>4008.3999999999996</v>
      </c>
      <c r="J17" s="388"/>
      <c r="K17" s="340"/>
      <c r="L17" s="99"/>
      <c r="M17" s="340"/>
      <c r="N17" s="99">
        <f>F17+40</f>
        <v>3828.3999999999996</v>
      </c>
      <c r="O17" s="338"/>
      <c r="P17" s="327"/>
      <c r="Q17" s="875" t="s">
        <v>155</v>
      </c>
      <c r="R17" s="876"/>
      <c r="S17" s="876"/>
      <c r="T17" s="876"/>
      <c r="U17" s="876"/>
      <c r="V17" s="876"/>
      <c r="W17" s="877"/>
      <c r="X17" s="275"/>
      <c r="Y17" s="207"/>
      <c r="Z17" s="207"/>
      <c r="AA17" s="206"/>
      <c r="AB17" s="523">
        <v>25</v>
      </c>
      <c r="AE17" s="76"/>
      <c r="AI17" s="102"/>
      <c r="AJ17" s="103"/>
    </row>
    <row r="18" spans="1:37" ht="12.6" customHeight="1" x14ac:dyDescent="0.2">
      <c r="A18" s="101"/>
      <c r="B18" s="737" t="s">
        <v>480</v>
      </c>
      <c r="C18" s="887"/>
      <c r="D18" s="887"/>
      <c r="E18" s="887"/>
      <c r="F18" s="364"/>
      <c r="G18" s="365"/>
      <c r="H18" s="333"/>
      <c r="I18" s="417"/>
      <c r="J18" s="331"/>
      <c r="K18" s="339"/>
      <c r="L18" s="120"/>
      <c r="M18" s="339"/>
      <c r="N18" s="120"/>
      <c r="O18" s="337"/>
      <c r="P18" s="333"/>
      <c r="Q18" s="417"/>
      <c r="R18" s="331"/>
      <c r="S18" s="337"/>
      <c r="T18" s="120"/>
      <c r="U18" s="339"/>
      <c r="V18" s="120"/>
      <c r="W18" s="337"/>
      <c r="X18" s="275"/>
      <c r="Y18" s="252"/>
      <c r="Z18" s="252"/>
      <c r="AA18" s="251"/>
      <c r="AB18" s="523">
        <v>28</v>
      </c>
      <c r="AE18" s="76"/>
      <c r="AF18" s="686" t="s">
        <v>491</v>
      </c>
      <c r="AG18" s="686"/>
      <c r="AH18" s="686"/>
      <c r="AI18" s="895"/>
      <c r="AJ18" s="895"/>
    </row>
    <row r="19" spans="1:37" ht="12.6" customHeight="1" x14ac:dyDescent="0.2">
      <c r="A19" s="135"/>
      <c r="B19" s="731" t="s">
        <v>28</v>
      </c>
      <c r="C19" s="796"/>
      <c r="D19" s="796"/>
      <c r="E19" s="797"/>
      <c r="F19" s="338"/>
      <c r="G19" s="405"/>
      <c r="H19" s="327"/>
      <c r="I19" s="413"/>
      <c r="J19" s="97"/>
      <c r="K19" s="340"/>
      <c r="L19" s="97"/>
      <c r="M19" s="338"/>
      <c r="N19" s="97"/>
      <c r="O19" s="338"/>
      <c r="P19" s="107"/>
      <c r="Q19" s="338"/>
      <c r="R19" s="97"/>
      <c r="S19" s="338"/>
      <c r="T19" s="97"/>
      <c r="U19" s="338"/>
      <c r="V19" s="99"/>
      <c r="W19" s="338"/>
      <c r="X19" s="724"/>
      <c r="Y19" s="694"/>
      <c r="Z19" s="694"/>
      <c r="AA19" s="695"/>
      <c r="AB19" s="37"/>
      <c r="AF19" s="686" t="s">
        <v>445</v>
      </c>
      <c r="AG19" s="686"/>
      <c r="AH19" s="686"/>
      <c r="AI19" s="895"/>
      <c r="AJ19" s="895"/>
    </row>
    <row r="20" spans="1:37" ht="12.6" customHeight="1" x14ac:dyDescent="0.2">
      <c r="A20" s="20"/>
      <c r="B20" s="909" t="s">
        <v>29</v>
      </c>
      <c r="C20" s="706"/>
      <c r="D20" s="706"/>
      <c r="E20" s="707"/>
      <c r="F20" s="337">
        <v>2900</v>
      </c>
      <c r="G20" s="371">
        <f t="shared" ref="G20:G26" si="26">+F20*$X$1</f>
        <v>2900</v>
      </c>
      <c r="H20" s="389">
        <f>F20+220</f>
        <v>3120</v>
      </c>
      <c r="I20" s="337">
        <f t="shared" ref="I20:I21" si="27">+H20*$X$1</f>
        <v>3120</v>
      </c>
      <c r="J20" s="375">
        <f>F20+81</f>
        <v>2981</v>
      </c>
      <c r="K20" s="337">
        <f t="shared" ref="K20" si="28">+J20*$X$1</f>
        <v>2981</v>
      </c>
      <c r="L20" s="375">
        <f>F20+70</f>
        <v>2970</v>
      </c>
      <c r="M20" s="337">
        <f t="shared" ref="M20" si="29">+L20*$X$1</f>
        <v>2970</v>
      </c>
      <c r="N20" s="375">
        <f>F20+57</f>
        <v>2957</v>
      </c>
      <c r="O20" s="337">
        <f t="shared" ref="O20" si="30">+N20*$X$1</f>
        <v>2957</v>
      </c>
      <c r="P20" s="375">
        <f>F20+55</f>
        <v>2955</v>
      </c>
      <c r="Q20" s="337">
        <f t="shared" ref="Q20" si="31">+P20*$X$1</f>
        <v>2955</v>
      </c>
      <c r="R20" s="375">
        <f>F20+51</f>
        <v>2951</v>
      </c>
      <c r="S20" s="337">
        <f t="shared" ref="S20" si="32">+R20*$X$1</f>
        <v>2951</v>
      </c>
      <c r="T20" s="375">
        <f>F20+46</f>
        <v>2946</v>
      </c>
      <c r="U20" s="337">
        <f t="shared" ref="U20" si="33">+T20*$X$1</f>
        <v>2946</v>
      </c>
      <c r="V20" s="375"/>
      <c r="W20" s="337"/>
      <c r="X20" s="724"/>
      <c r="Y20" s="694"/>
      <c r="Z20" s="694"/>
      <c r="AA20" s="695"/>
      <c r="AB20" s="523" t="s">
        <v>30</v>
      </c>
      <c r="AE20" s="76"/>
      <c r="AF20" s="686" t="s">
        <v>446</v>
      </c>
      <c r="AG20" s="686"/>
      <c r="AH20" s="686"/>
      <c r="AI20" s="686"/>
      <c r="AJ20" s="77"/>
    </row>
    <row r="21" spans="1:37" ht="12.6" customHeight="1" x14ac:dyDescent="0.2">
      <c r="A21" s="20"/>
      <c r="B21" s="687" t="s">
        <v>31</v>
      </c>
      <c r="C21" s="688"/>
      <c r="D21" s="688"/>
      <c r="E21" s="688"/>
      <c r="F21" s="338">
        <v>2900</v>
      </c>
      <c r="G21" s="370">
        <f t="shared" ref="G21" si="34">+F21*$X$1</f>
        <v>2900</v>
      </c>
      <c r="H21" s="389">
        <f>F21+220</f>
        <v>3120</v>
      </c>
      <c r="I21" s="338">
        <f t="shared" si="27"/>
        <v>3120</v>
      </c>
      <c r="J21" s="468">
        <f>F21+81</f>
        <v>2981</v>
      </c>
      <c r="K21" s="338">
        <f t="shared" ref="K21" si="35">+J21*$X$1</f>
        <v>2981</v>
      </c>
      <c r="L21" s="468">
        <f>F21+70</f>
        <v>2970</v>
      </c>
      <c r="M21" s="338">
        <f t="shared" ref="M21" si="36">+L21*$X$1</f>
        <v>2970</v>
      </c>
      <c r="N21" s="468">
        <f>F21+57</f>
        <v>2957</v>
      </c>
      <c r="O21" s="338">
        <f t="shared" ref="O21" si="37">+N21*$X$1</f>
        <v>2957</v>
      </c>
      <c r="P21" s="468">
        <f>F21+55</f>
        <v>2955</v>
      </c>
      <c r="Q21" s="338">
        <f t="shared" ref="Q21" si="38">+P21*$X$1</f>
        <v>2955</v>
      </c>
      <c r="R21" s="468">
        <f>F21+51</f>
        <v>2951</v>
      </c>
      <c r="S21" s="338">
        <f t="shared" ref="S21" si="39">+R21*$X$1</f>
        <v>2951</v>
      </c>
      <c r="T21" s="468">
        <f>F21+46</f>
        <v>2946</v>
      </c>
      <c r="U21" s="338">
        <f t="shared" ref="U21" si="40">+T21*$X$1</f>
        <v>2946</v>
      </c>
      <c r="V21" s="468"/>
      <c r="W21" s="338"/>
      <c r="X21" s="724"/>
      <c r="Y21" s="694"/>
      <c r="Z21" s="694"/>
      <c r="AA21" s="695"/>
      <c r="AB21" s="523" t="s">
        <v>32</v>
      </c>
      <c r="AE21" s="76"/>
      <c r="AF21" s="686" t="s">
        <v>466</v>
      </c>
      <c r="AG21" s="686"/>
      <c r="AH21" s="686"/>
      <c r="AI21" s="686"/>
      <c r="AJ21" s="895"/>
    </row>
    <row r="22" spans="1:37" ht="12.6" customHeight="1" x14ac:dyDescent="0.2">
      <c r="A22" s="20"/>
      <c r="B22" s="737" t="s">
        <v>400</v>
      </c>
      <c r="C22" s="709"/>
      <c r="D22" s="709"/>
      <c r="E22" s="709"/>
      <c r="F22" s="337">
        <v>595</v>
      </c>
      <c r="G22" s="423">
        <f t="shared" si="26"/>
        <v>595</v>
      </c>
      <c r="H22" s="333"/>
      <c r="I22" s="444"/>
      <c r="J22" s="224"/>
      <c r="K22" s="339"/>
      <c r="L22" s="120"/>
      <c r="M22" s="339"/>
      <c r="N22" s="120"/>
      <c r="O22" s="337"/>
      <c r="P22" s="328"/>
      <c r="Q22" s="412"/>
      <c r="R22" s="375"/>
      <c r="S22" s="337"/>
      <c r="T22" s="375"/>
      <c r="U22" s="337"/>
      <c r="V22" s="375"/>
      <c r="W22" s="337"/>
      <c r="X22" s="141"/>
      <c r="Y22" s="141"/>
      <c r="Z22" s="141"/>
      <c r="AA22" s="141"/>
      <c r="AB22" s="523">
        <v>35</v>
      </c>
      <c r="AE22" s="76"/>
      <c r="AF22" s="686" t="s">
        <v>401</v>
      </c>
      <c r="AG22" s="895"/>
      <c r="AH22" s="895"/>
      <c r="AI22" s="895"/>
      <c r="AJ22" s="77"/>
    </row>
    <row r="23" spans="1:37" ht="12.6" customHeight="1" x14ac:dyDescent="0.2">
      <c r="A23" s="20"/>
      <c r="B23" s="687" t="s">
        <v>399</v>
      </c>
      <c r="C23" s="688"/>
      <c r="D23" s="688"/>
      <c r="E23" s="688"/>
      <c r="F23" s="338">
        <v>1930</v>
      </c>
      <c r="G23" s="405">
        <f t="shared" si="26"/>
        <v>1930</v>
      </c>
      <c r="H23" s="327"/>
      <c r="I23" s="413"/>
      <c r="J23" s="130"/>
      <c r="K23" s="338"/>
      <c r="L23" s="468"/>
      <c r="M23" s="338"/>
      <c r="N23" s="468"/>
      <c r="O23" s="338"/>
      <c r="P23" s="327"/>
      <c r="Q23" s="413"/>
      <c r="R23" s="468"/>
      <c r="S23" s="445"/>
      <c r="T23" s="107"/>
      <c r="U23" s="380"/>
      <c r="V23" s="107"/>
      <c r="W23" s="338"/>
      <c r="X23" s="141"/>
      <c r="Y23" s="141"/>
      <c r="Z23" s="141"/>
      <c r="AA23" s="141"/>
      <c r="AB23" s="523">
        <v>36</v>
      </c>
      <c r="AE23" s="76"/>
      <c r="AF23" s="686" t="s">
        <v>577</v>
      </c>
      <c r="AG23" s="686"/>
      <c r="AH23" s="686"/>
      <c r="AI23" s="686"/>
      <c r="AJ23" s="77"/>
    </row>
    <row r="24" spans="1:37" ht="12.6" customHeight="1" x14ac:dyDescent="0.2">
      <c r="A24" s="20"/>
      <c r="B24" s="737" t="s">
        <v>33</v>
      </c>
      <c r="C24" s="709"/>
      <c r="D24" s="709"/>
      <c r="E24" s="709"/>
      <c r="F24" s="337">
        <v>1930</v>
      </c>
      <c r="G24" s="365">
        <f t="shared" si="26"/>
        <v>1930</v>
      </c>
      <c r="H24" s="333"/>
      <c r="I24" s="417"/>
      <c r="J24" s="131"/>
      <c r="K24" s="337"/>
      <c r="L24" s="375"/>
      <c r="M24" s="337"/>
      <c r="N24" s="375"/>
      <c r="O24" s="337"/>
      <c r="P24" s="333"/>
      <c r="Q24" s="417"/>
      <c r="R24" s="375"/>
      <c r="S24" s="384"/>
      <c r="T24" s="375"/>
      <c r="U24" s="337"/>
      <c r="V24" s="375"/>
      <c r="W24" s="337"/>
      <c r="X24" s="141"/>
      <c r="Y24" s="141"/>
      <c r="Z24" s="141"/>
      <c r="AA24" s="141"/>
      <c r="AB24" s="523" t="s">
        <v>34</v>
      </c>
      <c r="AE24" s="76"/>
      <c r="AF24" s="686" t="s">
        <v>35</v>
      </c>
      <c r="AG24" s="686"/>
      <c r="AH24" s="686"/>
      <c r="AI24" s="686"/>
      <c r="AJ24" s="77"/>
    </row>
    <row r="25" spans="1:37" ht="12.6" customHeight="1" x14ac:dyDescent="0.2">
      <c r="A25" s="20"/>
      <c r="B25" s="687" t="s">
        <v>36</v>
      </c>
      <c r="C25" s="688"/>
      <c r="D25" s="688"/>
      <c r="E25" s="688"/>
      <c r="F25" s="338"/>
      <c r="G25" s="405"/>
      <c r="H25" s="327"/>
      <c r="I25" s="413"/>
      <c r="J25" s="130"/>
      <c r="K25" s="338"/>
      <c r="L25" s="468"/>
      <c r="M25" s="338"/>
      <c r="N25" s="468"/>
      <c r="O25" s="338"/>
      <c r="P25" s="468"/>
      <c r="Q25" s="338"/>
      <c r="R25" s="468"/>
      <c r="S25" s="471"/>
      <c r="T25" s="468"/>
      <c r="U25" s="363"/>
      <c r="V25" s="468"/>
      <c r="W25" s="338"/>
      <c r="X25" s="141"/>
      <c r="Y25" s="141"/>
      <c r="Z25" s="141"/>
      <c r="AA25" s="141"/>
      <c r="AB25" s="523" t="s">
        <v>37</v>
      </c>
      <c r="AD25" s="25"/>
      <c r="AE25" s="78"/>
      <c r="AF25" s="686" t="s">
        <v>38</v>
      </c>
      <c r="AG25" s="895"/>
      <c r="AH25" s="895"/>
      <c r="AI25" s="895"/>
      <c r="AJ25" s="77"/>
    </row>
    <row r="26" spans="1:37" ht="12.6" customHeight="1" x14ac:dyDescent="0.2">
      <c r="A26" s="20"/>
      <c r="B26" s="909" t="s">
        <v>39</v>
      </c>
      <c r="C26" s="706"/>
      <c r="D26" s="706"/>
      <c r="E26" s="707"/>
      <c r="F26" s="472">
        <f>5.8*X2</f>
        <v>5359.2</v>
      </c>
      <c r="G26" s="337">
        <f t="shared" si="26"/>
        <v>5359.2</v>
      </c>
      <c r="H26" s="328"/>
      <c r="I26" s="412"/>
      <c r="J26" s="375">
        <f>F26+50</f>
        <v>5409.2</v>
      </c>
      <c r="K26" s="337"/>
      <c r="L26" s="375">
        <f>F26+70</f>
        <v>5429.2</v>
      </c>
      <c r="M26" s="337">
        <f t="shared" ref="M26" si="41">+L26*$X$1</f>
        <v>5429.2</v>
      </c>
      <c r="N26" s="375">
        <f>F26+57</f>
        <v>5416.2</v>
      </c>
      <c r="O26" s="337">
        <f t="shared" ref="O26" si="42">+N26*$X$1</f>
        <v>5416.2</v>
      </c>
      <c r="P26" s="375">
        <f>F26+55</f>
        <v>5414.2</v>
      </c>
      <c r="Q26" s="337">
        <f t="shared" ref="Q26" si="43">+P26*$X$1</f>
        <v>5414.2</v>
      </c>
      <c r="R26" s="375">
        <f>F26+51</f>
        <v>5410.2</v>
      </c>
      <c r="S26" s="337">
        <f t="shared" ref="S26" si="44">+R26*$X$1</f>
        <v>5410.2</v>
      </c>
      <c r="T26" s="375">
        <f>F26+46</f>
        <v>5405.2</v>
      </c>
      <c r="U26" s="337">
        <f t="shared" ref="U26" si="45">+T26*$X$1</f>
        <v>5405.2</v>
      </c>
      <c r="V26" s="375"/>
      <c r="W26" s="337"/>
      <c r="X26" s="724"/>
      <c r="Y26" s="777"/>
      <c r="Z26" s="777"/>
      <c r="AA26" s="778"/>
      <c r="AB26" s="523">
        <v>39</v>
      </c>
      <c r="AE26" s="76"/>
      <c r="AF26" s="686" t="s">
        <v>885</v>
      </c>
      <c r="AG26" s="686"/>
      <c r="AH26" s="686"/>
      <c r="AI26" s="895"/>
      <c r="AJ26" s="895"/>
    </row>
    <row r="27" spans="1:37" ht="12.6" customHeight="1" x14ac:dyDescent="0.2">
      <c r="A27" s="20"/>
      <c r="B27" s="1094" t="s">
        <v>40</v>
      </c>
      <c r="C27" s="1095"/>
      <c r="D27" s="1095"/>
      <c r="E27" s="1096"/>
      <c r="F27" s="340"/>
      <c r="G27" s="338"/>
      <c r="H27" s="327"/>
      <c r="I27" s="413"/>
      <c r="J27" s="130"/>
      <c r="K27" s="338"/>
      <c r="L27" s="468">
        <f>6.421*X2</f>
        <v>5933.0039999999999</v>
      </c>
      <c r="M27" s="338">
        <f t="shared" ref="M27:M30" si="46">+L27*$X$1</f>
        <v>5933.0039999999999</v>
      </c>
      <c r="N27" s="468">
        <f>6.147*X2</f>
        <v>5679.8280000000004</v>
      </c>
      <c r="O27" s="338">
        <f t="shared" ref="O27" si="47">+N27*$X$1</f>
        <v>5679.8280000000004</v>
      </c>
      <c r="P27" s="329">
        <f>6.01*X2</f>
        <v>5553.24</v>
      </c>
      <c r="Q27" s="338">
        <f t="shared" ref="Q27:Q30" si="48">+P27*$X$1</f>
        <v>5553.24</v>
      </c>
      <c r="R27" s="468">
        <f>5.875*X2</f>
        <v>5428.5</v>
      </c>
      <c r="S27" s="383">
        <f t="shared" ref="S27" si="49">+R27*$X$1</f>
        <v>5428.5</v>
      </c>
      <c r="T27" s="99">
        <f>5.793*X2</f>
        <v>5352.732</v>
      </c>
      <c r="U27" s="419">
        <f t="shared" ref="U27" si="50">+T27*$X$1</f>
        <v>5352.732</v>
      </c>
      <c r="V27" s="99"/>
      <c r="W27" s="338"/>
      <c r="X27" s="140"/>
      <c r="Y27" s="141"/>
      <c r="Z27" s="141"/>
      <c r="AA27" s="141"/>
      <c r="AB27" s="523" t="s">
        <v>41</v>
      </c>
      <c r="AE27" s="76"/>
      <c r="AF27" s="686" t="s">
        <v>42</v>
      </c>
      <c r="AG27" s="686"/>
      <c r="AH27" s="686"/>
      <c r="AI27" s="686"/>
      <c r="AJ27" s="77"/>
    </row>
    <row r="28" spans="1:37" ht="12.6" customHeight="1" x14ac:dyDescent="0.2">
      <c r="A28" s="20"/>
      <c r="B28" s="737" t="s">
        <v>43</v>
      </c>
      <c r="C28" s="709"/>
      <c r="D28" s="709"/>
      <c r="E28" s="709"/>
      <c r="F28" s="472">
        <f>4.1*X2</f>
        <v>3788.3999999999996</v>
      </c>
      <c r="G28" s="337">
        <f>+F28*$X$1</f>
        <v>3788.3999999999996</v>
      </c>
      <c r="H28" s="328"/>
      <c r="I28" s="412"/>
      <c r="J28" s="131"/>
      <c r="K28" s="337"/>
      <c r="L28" s="375">
        <f>F28+200</f>
        <v>3988.3999999999996</v>
      </c>
      <c r="M28" s="337">
        <f t="shared" si="46"/>
        <v>3988.3999999999996</v>
      </c>
      <c r="N28" s="375">
        <f>F28+160</f>
        <v>3948.3999999999996</v>
      </c>
      <c r="O28" s="337">
        <f>+N28*$X$1</f>
        <v>3948.3999999999996</v>
      </c>
      <c r="P28" s="108">
        <f>F28+120</f>
        <v>3908.3999999999996</v>
      </c>
      <c r="Q28" s="337">
        <f t="shared" si="48"/>
        <v>3908.3999999999996</v>
      </c>
      <c r="R28" s="375">
        <f>F28+100</f>
        <v>3888.3999999999996</v>
      </c>
      <c r="S28" s="384">
        <f t="shared" ref="S28:S30" si="51">+R28*$X$1</f>
        <v>3888.3999999999996</v>
      </c>
      <c r="T28" s="375">
        <f>F28+75</f>
        <v>3863.3999999999996</v>
      </c>
      <c r="U28" s="337">
        <f t="shared" ref="U28:U30" si="52">+T28*$X$1</f>
        <v>3863.3999999999996</v>
      </c>
      <c r="V28" s="375"/>
      <c r="W28" s="337"/>
      <c r="X28" s="1082"/>
      <c r="Y28" s="777"/>
      <c r="Z28" s="777"/>
      <c r="AA28" s="778"/>
      <c r="AB28" s="523">
        <v>40</v>
      </c>
      <c r="AE28" s="76"/>
      <c r="AF28" s="686" t="s">
        <v>44</v>
      </c>
      <c r="AG28" s="686"/>
      <c r="AH28" s="686"/>
      <c r="AI28" s="686"/>
      <c r="AJ28" s="895"/>
    </row>
    <row r="29" spans="1:37" ht="12.6" customHeight="1" x14ac:dyDescent="0.2">
      <c r="A29" s="20"/>
      <c r="B29" s="731" t="s">
        <v>417</v>
      </c>
      <c r="C29" s="796"/>
      <c r="D29" s="796"/>
      <c r="E29" s="797"/>
      <c r="F29" s="477">
        <f>6.7*X2</f>
        <v>6190.8</v>
      </c>
      <c r="G29" s="338">
        <f>+F29*$X$1</f>
        <v>6190.8</v>
      </c>
      <c r="H29" s="327"/>
      <c r="I29" s="413"/>
      <c r="J29" s="570">
        <f>F29+81</f>
        <v>6271.8</v>
      </c>
      <c r="K29" s="338">
        <f t="shared" ref="K29" si="53">+J29*$X$1</f>
        <v>6271.8</v>
      </c>
      <c r="L29" s="570">
        <f>F29+70</f>
        <v>6260.8</v>
      </c>
      <c r="M29" s="338">
        <f t="shared" si="46"/>
        <v>6260.8</v>
      </c>
      <c r="N29" s="570">
        <f>F29+57</f>
        <v>6247.8</v>
      </c>
      <c r="O29" s="338">
        <f t="shared" ref="O29:O30" si="54">+N29*$X$1</f>
        <v>6247.8</v>
      </c>
      <c r="P29" s="570">
        <f>F29+55</f>
        <v>6245.8</v>
      </c>
      <c r="Q29" s="338">
        <f t="shared" si="48"/>
        <v>6245.8</v>
      </c>
      <c r="R29" s="570">
        <f>F29+51</f>
        <v>6241.8</v>
      </c>
      <c r="S29" s="338">
        <f t="shared" si="51"/>
        <v>6241.8</v>
      </c>
      <c r="T29" s="570">
        <f>F29+46</f>
        <v>6236.8</v>
      </c>
      <c r="U29" s="338">
        <f t="shared" si="52"/>
        <v>6236.8</v>
      </c>
      <c r="V29" s="570"/>
      <c r="W29" s="338"/>
      <c r="X29" s="230"/>
      <c r="Y29" s="178"/>
      <c r="Z29" s="178"/>
      <c r="AA29" s="179"/>
      <c r="AB29" s="523">
        <v>44</v>
      </c>
      <c r="AE29" s="76"/>
      <c r="AF29" s="686" t="s">
        <v>402</v>
      </c>
      <c r="AG29" s="686"/>
      <c r="AH29" s="686"/>
      <c r="AI29" s="686"/>
      <c r="AJ29" s="686"/>
      <c r="AK29" s="69"/>
    </row>
    <row r="30" spans="1:37" ht="12.6" customHeight="1" x14ac:dyDescent="0.2">
      <c r="A30" s="20"/>
      <c r="B30" s="689" t="s">
        <v>794</v>
      </c>
      <c r="C30" s="690"/>
      <c r="D30" s="690"/>
      <c r="E30" s="690"/>
      <c r="F30" s="472">
        <f>0.485*X2</f>
        <v>448.14</v>
      </c>
      <c r="G30" s="337">
        <f>+F30*$X$1</f>
        <v>448.14</v>
      </c>
      <c r="H30" s="328"/>
      <c r="I30" s="412"/>
      <c r="J30" s="571"/>
      <c r="K30" s="337"/>
      <c r="L30" s="375">
        <f>F30+74</f>
        <v>522.14</v>
      </c>
      <c r="M30" s="337">
        <f t="shared" si="46"/>
        <v>522.14</v>
      </c>
      <c r="N30" s="375">
        <f>F30+46</f>
        <v>494.14</v>
      </c>
      <c r="O30" s="337">
        <f t="shared" si="54"/>
        <v>494.14</v>
      </c>
      <c r="P30" s="375">
        <f>F30+42</f>
        <v>490.14</v>
      </c>
      <c r="Q30" s="337">
        <f t="shared" si="48"/>
        <v>490.14</v>
      </c>
      <c r="R30" s="375">
        <f>F30+35</f>
        <v>483.14</v>
      </c>
      <c r="S30" s="337">
        <f t="shared" si="51"/>
        <v>483.14</v>
      </c>
      <c r="T30" s="375">
        <f>F30+29</f>
        <v>477.14</v>
      </c>
      <c r="U30" s="337">
        <f t="shared" si="52"/>
        <v>477.14</v>
      </c>
      <c r="V30" s="375">
        <f>F30+24</f>
        <v>472.14</v>
      </c>
      <c r="W30" s="337">
        <f t="shared" ref="W30" si="55">+V30*$X$1</f>
        <v>472.14</v>
      </c>
      <c r="X30" s="141"/>
      <c r="Y30" s="141"/>
      <c r="Z30" s="141"/>
      <c r="AA30" s="141"/>
      <c r="AB30" s="523">
        <v>45</v>
      </c>
      <c r="AF30" s="686" t="s">
        <v>884</v>
      </c>
      <c r="AG30" s="686"/>
      <c r="AH30" s="686"/>
      <c r="AI30" s="686"/>
      <c r="AJ30" s="686"/>
    </row>
    <row r="31" spans="1:37" ht="12.6" customHeight="1" x14ac:dyDescent="0.2">
      <c r="A31" s="20"/>
      <c r="B31" s="687" t="s">
        <v>45</v>
      </c>
      <c r="C31" s="688"/>
      <c r="D31" s="688"/>
      <c r="E31" s="688"/>
      <c r="F31" s="338">
        <v>456</v>
      </c>
      <c r="G31" s="370">
        <f t="shared" ref="G31:G39" si="56">+F31*$X$1</f>
        <v>456</v>
      </c>
      <c r="H31" s="1074" t="s">
        <v>46</v>
      </c>
      <c r="I31" s="1074"/>
      <c r="J31" s="1075"/>
      <c r="K31" s="1076"/>
      <c r="L31" s="327"/>
      <c r="M31" s="413"/>
      <c r="N31" s="94">
        <v>1375</v>
      </c>
      <c r="O31" s="370">
        <f t="shared" ref="O31:O42" si="57">+N31*$X$1</f>
        <v>1375</v>
      </c>
      <c r="P31" s="329">
        <v>1265</v>
      </c>
      <c r="Q31" s="487">
        <f t="shared" ref="Q31:S55" si="58">+P31*$X$1</f>
        <v>1265</v>
      </c>
      <c r="R31" s="107">
        <v>1174</v>
      </c>
      <c r="S31" s="363">
        <f t="shared" si="58"/>
        <v>1174</v>
      </c>
      <c r="T31" s="607">
        <v>1086</v>
      </c>
      <c r="U31" s="363">
        <f t="shared" ref="U31:U48" si="59">+T31*$X$1</f>
        <v>1086</v>
      </c>
      <c r="V31" s="607">
        <v>1055</v>
      </c>
      <c r="W31" s="338">
        <f t="shared" ref="W31:W48" si="60">+V31*$X$1</f>
        <v>1055</v>
      </c>
      <c r="X31" s="724"/>
      <c r="Y31" s="777"/>
      <c r="Z31" s="777"/>
      <c r="AA31" s="778"/>
      <c r="AB31" s="523" t="s">
        <v>47</v>
      </c>
      <c r="AE31" s="76"/>
      <c r="AF31" s="686" t="s">
        <v>682</v>
      </c>
      <c r="AG31" s="686"/>
      <c r="AH31" s="686"/>
      <c r="AI31" s="686"/>
      <c r="AJ31" s="686"/>
    </row>
    <row r="32" spans="1:37" ht="12.6" customHeight="1" x14ac:dyDescent="0.2">
      <c r="A32" s="20"/>
      <c r="B32" s="737" t="s">
        <v>48</v>
      </c>
      <c r="C32" s="709"/>
      <c r="D32" s="709"/>
      <c r="E32" s="709"/>
      <c r="F32" s="337">
        <v>456</v>
      </c>
      <c r="G32" s="371">
        <f t="shared" si="56"/>
        <v>456</v>
      </c>
      <c r="H32" s="1083" t="s">
        <v>46</v>
      </c>
      <c r="I32" s="1083"/>
      <c r="J32" s="1084"/>
      <c r="K32" s="1085"/>
      <c r="L32" s="328"/>
      <c r="M32" s="412"/>
      <c r="N32" s="90">
        <v>1375</v>
      </c>
      <c r="O32" s="371">
        <f t="shared" ref="O32:O35" si="61">+N32*$X$1</f>
        <v>1375</v>
      </c>
      <c r="P32" s="382">
        <v>1265</v>
      </c>
      <c r="Q32" s="488">
        <f t="shared" ref="Q32:Q35" si="62">+P32*$X$1</f>
        <v>1265</v>
      </c>
      <c r="R32" s="108">
        <v>1174</v>
      </c>
      <c r="S32" s="299">
        <f t="shared" ref="S32:S35" si="63">+R32*$X$1</f>
        <v>1174</v>
      </c>
      <c r="T32" s="375">
        <v>1086</v>
      </c>
      <c r="U32" s="299">
        <f t="shared" ref="U32:U35" si="64">+T32*$X$1</f>
        <v>1086</v>
      </c>
      <c r="V32" s="375">
        <v>1055</v>
      </c>
      <c r="W32" s="337">
        <f t="shared" ref="W32:W35" si="65">+V32*$X$1</f>
        <v>1055</v>
      </c>
      <c r="X32" s="724"/>
      <c r="Y32" s="777"/>
      <c r="Z32" s="777"/>
      <c r="AA32" s="778"/>
      <c r="AB32" s="523" t="s">
        <v>49</v>
      </c>
    </row>
    <row r="33" spans="1:28" ht="12.6" customHeight="1" x14ac:dyDescent="0.2">
      <c r="A33" s="20"/>
      <c r="B33" s="687" t="s">
        <v>50</v>
      </c>
      <c r="C33" s="688"/>
      <c r="D33" s="688"/>
      <c r="E33" s="688"/>
      <c r="F33" s="338">
        <v>456</v>
      </c>
      <c r="G33" s="370">
        <f t="shared" si="56"/>
        <v>456</v>
      </c>
      <c r="H33" s="826" t="s">
        <v>46</v>
      </c>
      <c r="I33" s="826"/>
      <c r="J33" s="827"/>
      <c r="K33" s="828"/>
      <c r="L33" s="327"/>
      <c r="M33" s="413"/>
      <c r="N33" s="94">
        <v>1375</v>
      </c>
      <c r="O33" s="370">
        <f t="shared" si="61"/>
        <v>1375</v>
      </c>
      <c r="P33" s="329">
        <v>1265</v>
      </c>
      <c r="Q33" s="487">
        <f t="shared" si="62"/>
        <v>1265</v>
      </c>
      <c r="R33" s="107">
        <v>1174</v>
      </c>
      <c r="S33" s="363">
        <f t="shared" si="63"/>
        <v>1174</v>
      </c>
      <c r="T33" s="607">
        <v>1086</v>
      </c>
      <c r="U33" s="363">
        <f t="shared" si="64"/>
        <v>1086</v>
      </c>
      <c r="V33" s="607">
        <v>1055</v>
      </c>
      <c r="W33" s="338">
        <f t="shared" si="65"/>
        <v>1055</v>
      </c>
      <c r="X33" s="724"/>
      <c r="Y33" s="777"/>
      <c r="Z33" s="777"/>
      <c r="AA33" s="778"/>
      <c r="AB33" s="523" t="s">
        <v>51</v>
      </c>
    </row>
    <row r="34" spans="1:28" ht="12.6" customHeight="1" x14ac:dyDescent="0.2">
      <c r="A34" s="20"/>
      <c r="B34" s="737" t="s">
        <v>52</v>
      </c>
      <c r="C34" s="709"/>
      <c r="D34" s="709"/>
      <c r="E34" s="709"/>
      <c r="F34" s="337">
        <v>456</v>
      </c>
      <c r="G34" s="371">
        <f t="shared" si="56"/>
        <v>456</v>
      </c>
      <c r="H34" s="1083" t="s">
        <v>46</v>
      </c>
      <c r="I34" s="1083"/>
      <c r="J34" s="1084"/>
      <c r="K34" s="1085"/>
      <c r="L34" s="328"/>
      <c r="M34" s="412"/>
      <c r="N34" s="90">
        <v>1375</v>
      </c>
      <c r="O34" s="371">
        <f t="shared" si="61"/>
        <v>1375</v>
      </c>
      <c r="P34" s="382">
        <v>1265</v>
      </c>
      <c r="Q34" s="488">
        <f t="shared" si="62"/>
        <v>1265</v>
      </c>
      <c r="R34" s="108">
        <v>1174</v>
      </c>
      <c r="S34" s="299">
        <f t="shared" si="63"/>
        <v>1174</v>
      </c>
      <c r="T34" s="375">
        <v>1086</v>
      </c>
      <c r="U34" s="299">
        <f t="shared" si="64"/>
        <v>1086</v>
      </c>
      <c r="V34" s="375">
        <v>1055</v>
      </c>
      <c r="W34" s="337">
        <f t="shared" si="65"/>
        <v>1055</v>
      </c>
      <c r="X34" s="724"/>
      <c r="Y34" s="777"/>
      <c r="Z34" s="777"/>
      <c r="AA34" s="778"/>
      <c r="AB34" s="523" t="s">
        <v>53</v>
      </c>
    </row>
    <row r="35" spans="1:28" ht="12.6" customHeight="1" x14ac:dyDescent="0.2">
      <c r="A35" s="20"/>
      <c r="B35" s="687" t="s">
        <v>54</v>
      </c>
      <c r="C35" s="688"/>
      <c r="D35" s="688"/>
      <c r="E35" s="688"/>
      <c r="F35" s="338">
        <v>456</v>
      </c>
      <c r="G35" s="370">
        <f t="shared" si="56"/>
        <v>456</v>
      </c>
      <c r="H35" s="826" t="s">
        <v>46</v>
      </c>
      <c r="I35" s="826"/>
      <c r="J35" s="827"/>
      <c r="K35" s="828"/>
      <c r="L35" s="327"/>
      <c r="M35" s="413"/>
      <c r="N35" s="94">
        <v>1375</v>
      </c>
      <c r="O35" s="370">
        <f t="shared" si="61"/>
        <v>1375</v>
      </c>
      <c r="P35" s="329">
        <v>1265</v>
      </c>
      <c r="Q35" s="487">
        <f t="shared" si="62"/>
        <v>1265</v>
      </c>
      <c r="R35" s="107">
        <v>1174</v>
      </c>
      <c r="S35" s="363">
        <f t="shared" si="63"/>
        <v>1174</v>
      </c>
      <c r="T35" s="607">
        <v>1086</v>
      </c>
      <c r="U35" s="363">
        <f t="shared" si="64"/>
        <v>1086</v>
      </c>
      <c r="V35" s="607">
        <v>1055</v>
      </c>
      <c r="W35" s="338">
        <f t="shared" si="65"/>
        <v>1055</v>
      </c>
      <c r="X35" s="724"/>
      <c r="Y35" s="777"/>
      <c r="Z35" s="777"/>
      <c r="AA35" s="778"/>
      <c r="AB35" s="523" t="s">
        <v>55</v>
      </c>
    </row>
    <row r="36" spans="1:28" ht="12.6" customHeight="1" x14ac:dyDescent="0.25">
      <c r="A36" s="20"/>
      <c r="B36" s="737" t="s">
        <v>56</v>
      </c>
      <c r="C36" s="709"/>
      <c r="D36" s="709"/>
      <c r="E36" s="709"/>
      <c r="F36" s="337">
        <v>456</v>
      </c>
      <c r="G36" s="371">
        <f t="shared" si="56"/>
        <v>456</v>
      </c>
      <c r="H36" s="1083" t="s">
        <v>46</v>
      </c>
      <c r="I36" s="1083"/>
      <c r="J36" s="1084"/>
      <c r="K36" s="1085"/>
      <c r="L36" s="328"/>
      <c r="M36" s="412"/>
      <c r="N36" s="90">
        <v>1190</v>
      </c>
      <c r="O36" s="371">
        <f t="shared" si="57"/>
        <v>1190</v>
      </c>
      <c r="P36" s="382">
        <v>1093</v>
      </c>
      <c r="Q36" s="488">
        <f t="shared" si="58"/>
        <v>1093</v>
      </c>
      <c r="R36" s="375">
        <v>1007</v>
      </c>
      <c r="S36" s="299">
        <f t="shared" si="58"/>
        <v>1007</v>
      </c>
      <c r="T36" s="375">
        <v>939</v>
      </c>
      <c r="U36" s="299">
        <f t="shared" si="59"/>
        <v>939</v>
      </c>
      <c r="V36" s="375">
        <v>897</v>
      </c>
      <c r="W36" s="337">
        <f t="shared" si="60"/>
        <v>897</v>
      </c>
      <c r="X36" s="724"/>
      <c r="Y36" s="798"/>
      <c r="Z36" s="798"/>
      <c r="AA36" s="799"/>
      <c r="AB36" s="523" t="s">
        <v>533</v>
      </c>
    </row>
    <row r="37" spans="1:28" ht="12.6" customHeight="1" x14ac:dyDescent="0.2">
      <c r="A37" s="20"/>
      <c r="B37" s="687" t="s">
        <v>57</v>
      </c>
      <c r="C37" s="688"/>
      <c r="D37" s="688"/>
      <c r="E37" s="688"/>
      <c r="F37" s="338">
        <v>456</v>
      </c>
      <c r="G37" s="370">
        <f t="shared" si="56"/>
        <v>456</v>
      </c>
      <c r="H37" s="826" t="s">
        <v>46</v>
      </c>
      <c r="I37" s="826"/>
      <c r="J37" s="827"/>
      <c r="K37" s="828"/>
      <c r="L37" s="327"/>
      <c r="M37" s="413"/>
      <c r="N37" s="94">
        <v>1046</v>
      </c>
      <c r="O37" s="370">
        <f t="shared" ref="O37" si="66">+N37*$X$1</f>
        <v>1046</v>
      </c>
      <c r="P37" s="329">
        <v>960</v>
      </c>
      <c r="Q37" s="487">
        <f t="shared" ref="Q37" si="67">+P37*$X$1</f>
        <v>960</v>
      </c>
      <c r="R37" s="107">
        <v>881</v>
      </c>
      <c r="S37" s="363">
        <f t="shared" ref="S37" si="68">+R37*$X$1</f>
        <v>881</v>
      </c>
      <c r="T37" s="607">
        <v>811</v>
      </c>
      <c r="U37" s="363">
        <f t="shared" ref="U37" si="69">+T37*$X$1</f>
        <v>811</v>
      </c>
      <c r="V37" s="607">
        <v>732</v>
      </c>
      <c r="W37" s="338">
        <f t="shared" ref="W37" si="70">+V37*$X$1</f>
        <v>732</v>
      </c>
      <c r="X37" s="724"/>
      <c r="Y37" s="798"/>
      <c r="Z37" s="798"/>
      <c r="AA37" s="799"/>
      <c r="AB37" s="523" t="s">
        <v>531</v>
      </c>
    </row>
    <row r="38" spans="1:28" ht="12.6" customHeight="1" x14ac:dyDescent="0.25">
      <c r="A38" s="20"/>
      <c r="B38" s="737" t="s">
        <v>58</v>
      </c>
      <c r="C38" s="709"/>
      <c r="D38" s="709"/>
      <c r="E38" s="709"/>
      <c r="F38" s="337">
        <v>456</v>
      </c>
      <c r="G38" s="371">
        <f t="shared" si="56"/>
        <v>456</v>
      </c>
      <c r="H38" s="1083" t="s">
        <v>46</v>
      </c>
      <c r="I38" s="1083"/>
      <c r="J38" s="1084"/>
      <c r="K38" s="1085"/>
      <c r="L38" s="328"/>
      <c r="M38" s="412"/>
      <c r="N38" s="90">
        <v>1046</v>
      </c>
      <c r="O38" s="371">
        <f t="shared" ref="O38" si="71">+N38*$X$1</f>
        <v>1046</v>
      </c>
      <c r="P38" s="382">
        <v>960</v>
      </c>
      <c r="Q38" s="488">
        <f t="shared" ref="Q38" si="72">+P38*$X$1</f>
        <v>960</v>
      </c>
      <c r="R38" s="108">
        <v>881</v>
      </c>
      <c r="S38" s="299">
        <f t="shared" ref="S38" si="73">+R38*$X$1</f>
        <v>881</v>
      </c>
      <c r="T38" s="375">
        <v>811</v>
      </c>
      <c r="U38" s="299">
        <f t="shared" ref="U38" si="74">+T38*$X$1</f>
        <v>811</v>
      </c>
      <c r="V38" s="375">
        <v>732</v>
      </c>
      <c r="W38" s="337">
        <f t="shared" ref="W38" si="75">+V38*$X$1</f>
        <v>732</v>
      </c>
      <c r="X38" s="724"/>
      <c r="Y38" s="798"/>
      <c r="Z38" s="798"/>
      <c r="AA38" s="799"/>
      <c r="AB38" s="523" t="s">
        <v>534</v>
      </c>
    </row>
    <row r="39" spans="1:28" ht="12.6" customHeight="1" x14ac:dyDescent="0.25">
      <c r="A39" s="20"/>
      <c r="B39" s="687" t="s">
        <v>59</v>
      </c>
      <c r="C39" s="688"/>
      <c r="D39" s="688"/>
      <c r="E39" s="688"/>
      <c r="F39" s="338">
        <v>456</v>
      </c>
      <c r="G39" s="370">
        <f t="shared" si="56"/>
        <v>456</v>
      </c>
      <c r="H39" s="826" t="s">
        <v>46</v>
      </c>
      <c r="I39" s="826"/>
      <c r="J39" s="827"/>
      <c r="K39" s="828"/>
      <c r="L39" s="327"/>
      <c r="M39" s="413"/>
      <c r="N39" s="94">
        <v>1422</v>
      </c>
      <c r="O39" s="370">
        <f t="shared" si="57"/>
        <v>1422</v>
      </c>
      <c r="P39" s="329">
        <v>1314</v>
      </c>
      <c r="Q39" s="487">
        <f t="shared" si="58"/>
        <v>1314</v>
      </c>
      <c r="R39" s="607">
        <v>1314</v>
      </c>
      <c r="S39" s="363">
        <f t="shared" si="58"/>
        <v>1314</v>
      </c>
      <c r="T39" s="607">
        <v>1227</v>
      </c>
      <c r="U39" s="363">
        <f t="shared" si="59"/>
        <v>1227</v>
      </c>
      <c r="V39" s="607">
        <v>1176</v>
      </c>
      <c r="W39" s="338">
        <f t="shared" si="60"/>
        <v>1176</v>
      </c>
      <c r="X39" s="724"/>
      <c r="Y39" s="798"/>
      <c r="Z39" s="798"/>
      <c r="AA39" s="799"/>
      <c r="AB39" s="523" t="s">
        <v>532</v>
      </c>
    </row>
    <row r="40" spans="1:28" ht="12.6" customHeight="1" x14ac:dyDescent="0.2">
      <c r="A40" s="20"/>
      <c r="B40" s="737" t="s">
        <v>535</v>
      </c>
      <c r="C40" s="709"/>
      <c r="D40" s="709"/>
      <c r="E40" s="709"/>
      <c r="F40" s="337">
        <v>456</v>
      </c>
      <c r="G40" s="371">
        <f t="shared" ref="G40" si="76">+F40*$X$1</f>
        <v>456</v>
      </c>
      <c r="H40" s="1083" t="s">
        <v>46</v>
      </c>
      <c r="I40" s="1083"/>
      <c r="J40" s="1084"/>
      <c r="K40" s="1085"/>
      <c r="L40" s="328"/>
      <c r="M40" s="412"/>
      <c r="N40" s="90">
        <v>1397</v>
      </c>
      <c r="O40" s="371">
        <f t="shared" ref="O40:O41" si="77">+N40*$X$1</f>
        <v>1397</v>
      </c>
      <c r="P40" s="382">
        <v>1292</v>
      </c>
      <c r="Q40" s="488">
        <f t="shared" si="58"/>
        <v>1292</v>
      </c>
      <c r="R40" s="375">
        <v>1197</v>
      </c>
      <c r="S40" s="299">
        <f t="shared" si="58"/>
        <v>1197</v>
      </c>
      <c r="T40" s="375">
        <v>1132</v>
      </c>
      <c r="U40" s="299">
        <f t="shared" si="59"/>
        <v>1132</v>
      </c>
      <c r="V40" s="375">
        <v>1072</v>
      </c>
      <c r="W40" s="337">
        <f t="shared" si="60"/>
        <v>1072</v>
      </c>
      <c r="X40" s="724"/>
      <c r="Y40" s="798"/>
      <c r="Z40" s="798"/>
      <c r="AA40" s="799"/>
      <c r="AB40" s="523" t="s">
        <v>537</v>
      </c>
    </row>
    <row r="41" spans="1:28" ht="12.6" customHeight="1" x14ac:dyDescent="0.2">
      <c r="A41" s="20"/>
      <c r="B41" s="687" t="s">
        <v>536</v>
      </c>
      <c r="C41" s="688"/>
      <c r="D41" s="688"/>
      <c r="E41" s="688"/>
      <c r="F41" s="338">
        <v>456</v>
      </c>
      <c r="G41" s="370">
        <f t="shared" ref="G41" si="78">+F41*$X$1</f>
        <v>456</v>
      </c>
      <c r="H41" s="826" t="s">
        <v>46</v>
      </c>
      <c r="I41" s="826"/>
      <c r="J41" s="827"/>
      <c r="K41" s="828"/>
      <c r="L41" s="327"/>
      <c r="M41" s="413"/>
      <c r="N41" s="94">
        <v>1190</v>
      </c>
      <c r="O41" s="370">
        <f t="shared" si="77"/>
        <v>1190</v>
      </c>
      <c r="P41" s="329">
        <v>1093</v>
      </c>
      <c r="Q41" s="487">
        <f t="shared" ref="Q41" si="79">+P41*$X$1</f>
        <v>1093</v>
      </c>
      <c r="R41" s="607">
        <v>1007</v>
      </c>
      <c r="S41" s="363">
        <f t="shared" ref="S41" si="80">+R41*$X$1</f>
        <v>1007</v>
      </c>
      <c r="T41" s="607">
        <v>939</v>
      </c>
      <c r="U41" s="363">
        <f t="shared" ref="U41" si="81">+T41*$X$1</f>
        <v>939</v>
      </c>
      <c r="V41" s="607">
        <v>897</v>
      </c>
      <c r="W41" s="338">
        <f t="shared" ref="W41" si="82">+V41*$X$1</f>
        <v>897</v>
      </c>
      <c r="X41" s="724"/>
      <c r="Y41" s="798"/>
      <c r="Z41" s="798"/>
      <c r="AA41" s="799"/>
      <c r="AB41" s="523" t="s">
        <v>538</v>
      </c>
    </row>
    <row r="42" spans="1:28" ht="12.6" customHeight="1" x14ac:dyDescent="0.2">
      <c r="A42" s="20"/>
      <c r="B42" s="737" t="s">
        <v>60</v>
      </c>
      <c r="C42" s="709"/>
      <c r="D42" s="709"/>
      <c r="E42" s="709"/>
      <c r="F42" s="337">
        <v>785</v>
      </c>
      <c r="G42" s="371">
        <f t="shared" ref="G42:G50" si="83">+F42*$X$1</f>
        <v>785</v>
      </c>
      <c r="H42" s="1097" t="s">
        <v>61</v>
      </c>
      <c r="I42" s="1097"/>
      <c r="J42" s="1098"/>
      <c r="K42" s="1099"/>
      <c r="L42" s="328"/>
      <c r="M42" s="412"/>
      <c r="N42" s="90">
        <v>1490</v>
      </c>
      <c r="O42" s="371">
        <f t="shared" si="57"/>
        <v>1490</v>
      </c>
      <c r="P42" s="382">
        <v>1381</v>
      </c>
      <c r="Q42" s="488">
        <f t="shared" si="58"/>
        <v>1381</v>
      </c>
      <c r="R42" s="375">
        <v>1276</v>
      </c>
      <c r="S42" s="299">
        <f t="shared" si="58"/>
        <v>1276</v>
      </c>
      <c r="T42" s="375">
        <v>1190</v>
      </c>
      <c r="U42" s="299">
        <f t="shared" si="59"/>
        <v>1190</v>
      </c>
      <c r="V42" s="375">
        <v>1146</v>
      </c>
      <c r="W42" s="337">
        <f t="shared" si="60"/>
        <v>1146</v>
      </c>
      <c r="X42" s="724"/>
      <c r="Y42" s="798"/>
      <c r="Z42" s="798"/>
      <c r="AA42" s="799"/>
      <c r="AB42" s="524" t="s">
        <v>62</v>
      </c>
    </row>
    <row r="43" spans="1:28" ht="12.6" customHeight="1" x14ac:dyDescent="0.2">
      <c r="A43" s="20"/>
      <c r="B43" s="687" t="s">
        <v>63</v>
      </c>
      <c r="C43" s="688"/>
      <c r="D43" s="688"/>
      <c r="E43" s="688"/>
      <c r="F43" s="338">
        <v>785</v>
      </c>
      <c r="G43" s="370">
        <f t="shared" si="83"/>
        <v>785</v>
      </c>
      <c r="H43" s="1110" t="s">
        <v>61</v>
      </c>
      <c r="I43" s="1110"/>
      <c r="J43" s="1111"/>
      <c r="K43" s="1112"/>
      <c r="L43" s="327"/>
      <c r="M43" s="413"/>
      <c r="N43" s="94">
        <v>1490</v>
      </c>
      <c r="O43" s="370">
        <f t="shared" ref="O43:O44" si="84">+N43*$X$1</f>
        <v>1490</v>
      </c>
      <c r="P43" s="329">
        <v>1381</v>
      </c>
      <c r="Q43" s="487">
        <f t="shared" ref="Q43:Q44" si="85">+P43*$X$1</f>
        <v>1381</v>
      </c>
      <c r="R43" s="607">
        <v>1276</v>
      </c>
      <c r="S43" s="363">
        <f t="shared" ref="S43:S44" si="86">+R43*$X$1</f>
        <v>1276</v>
      </c>
      <c r="T43" s="607">
        <v>1190</v>
      </c>
      <c r="U43" s="363">
        <f t="shared" ref="U43:U44" si="87">+T43*$X$1</f>
        <v>1190</v>
      </c>
      <c r="V43" s="607">
        <v>1146</v>
      </c>
      <c r="W43" s="338">
        <f t="shared" ref="W43:W44" si="88">+V43*$X$1</f>
        <v>1146</v>
      </c>
      <c r="X43" s="724"/>
      <c r="Y43" s="798"/>
      <c r="Z43" s="798"/>
      <c r="AA43" s="799"/>
      <c r="AB43" s="524" t="s">
        <v>64</v>
      </c>
    </row>
    <row r="44" spans="1:28" ht="12.6" customHeight="1" x14ac:dyDescent="0.2">
      <c r="A44" s="20"/>
      <c r="B44" s="737" t="s">
        <v>65</v>
      </c>
      <c r="C44" s="709"/>
      <c r="D44" s="709"/>
      <c r="E44" s="709"/>
      <c r="F44" s="337">
        <v>785</v>
      </c>
      <c r="G44" s="371">
        <f t="shared" si="83"/>
        <v>785</v>
      </c>
      <c r="H44" s="1083" t="s">
        <v>61</v>
      </c>
      <c r="I44" s="1083"/>
      <c r="J44" s="1084"/>
      <c r="K44" s="1085"/>
      <c r="L44" s="328"/>
      <c r="M44" s="412"/>
      <c r="N44" s="90">
        <v>1490</v>
      </c>
      <c r="O44" s="371">
        <f t="shared" si="84"/>
        <v>1490</v>
      </c>
      <c r="P44" s="382">
        <v>1381</v>
      </c>
      <c r="Q44" s="488">
        <f t="shared" si="85"/>
        <v>1381</v>
      </c>
      <c r="R44" s="375">
        <v>1276</v>
      </c>
      <c r="S44" s="299">
        <f t="shared" si="86"/>
        <v>1276</v>
      </c>
      <c r="T44" s="375">
        <v>1190</v>
      </c>
      <c r="U44" s="299">
        <f t="shared" si="87"/>
        <v>1190</v>
      </c>
      <c r="V44" s="375">
        <v>1146</v>
      </c>
      <c r="W44" s="337">
        <f t="shared" si="88"/>
        <v>1146</v>
      </c>
      <c r="X44" s="724"/>
      <c r="Y44" s="798"/>
      <c r="Z44" s="798"/>
      <c r="AA44" s="799"/>
      <c r="AB44" s="524" t="s">
        <v>66</v>
      </c>
    </row>
    <row r="45" spans="1:28" ht="12.6" customHeight="1" x14ac:dyDescent="0.2">
      <c r="A45" s="20"/>
      <c r="B45" s="687" t="s">
        <v>637</v>
      </c>
      <c r="C45" s="688"/>
      <c r="D45" s="688"/>
      <c r="E45" s="688"/>
      <c r="F45" s="338">
        <v>859</v>
      </c>
      <c r="G45" s="370">
        <f t="shared" ref="G45" si="89">+F45*$X$1</f>
        <v>859</v>
      </c>
      <c r="H45" s="1074" t="s">
        <v>61</v>
      </c>
      <c r="I45" s="1074"/>
      <c r="J45" s="1075"/>
      <c r="K45" s="1076"/>
      <c r="L45" s="327"/>
      <c r="M45" s="413"/>
      <c r="N45" s="94">
        <v>1576</v>
      </c>
      <c r="O45" s="370">
        <f t="shared" ref="O45" si="90">+N45*$X$1</f>
        <v>1576</v>
      </c>
      <c r="P45" s="329">
        <v>1471</v>
      </c>
      <c r="Q45" s="487">
        <f t="shared" ref="Q45" si="91">+P45*$X$1</f>
        <v>1471</v>
      </c>
      <c r="R45" s="607">
        <v>1350</v>
      </c>
      <c r="S45" s="363">
        <f t="shared" ref="S45" si="92">+R45*$X$1</f>
        <v>1350</v>
      </c>
      <c r="T45" s="607">
        <v>1267</v>
      </c>
      <c r="U45" s="363">
        <f t="shared" ref="U45" si="93">+T45*$X$1</f>
        <v>1267</v>
      </c>
      <c r="V45" s="607">
        <v>1146</v>
      </c>
      <c r="W45" s="338">
        <f t="shared" ref="W45" si="94">+V45*$X$1</f>
        <v>1146</v>
      </c>
      <c r="X45" s="724"/>
      <c r="Y45" s="798"/>
      <c r="Z45" s="798"/>
      <c r="AA45" s="799"/>
      <c r="AB45" s="525" t="s">
        <v>649</v>
      </c>
    </row>
    <row r="46" spans="1:28" ht="12.6" customHeight="1" x14ac:dyDescent="0.2">
      <c r="A46" s="20"/>
      <c r="B46" s="737" t="s">
        <v>638</v>
      </c>
      <c r="C46" s="709"/>
      <c r="D46" s="709"/>
      <c r="E46" s="709"/>
      <c r="F46" s="337">
        <v>859</v>
      </c>
      <c r="G46" s="371">
        <f t="shared" ref="G46" si="95">+F46*$X$1</f>
        <v>859</v>
      </c>
      <c r="H46" s="1097" t="s">
        <v>61</v>
      </c>
      <c r="I46" s="1097"/>
      <c r="J46" s="1098"/>
      <c r="K46" s="1099"/>
      <c r="L46" s="328"/>
      <c r="M46" s="412"/>
      <c r="N46" s="90">
        <v>1576</v>
      </c>
      <c r="O46" s="371">
        <f t="shared" ref="O46:O47" si="96">+N46*$X$1</f>
        <v>1576</v>
      </c>
      <c r="P46" s="382">
        <v>1471</v>
      </c>
      <c r="Q46" s="488">
        <f t="shared" ref="Q46:Q47" si="97">+P46*$X$1</f>
        <v>1471</v>
      </c>
      <c r="R46" s="375">
        <v>1350</v>
      </c>
      <c r="S46" s="299">
        <f t="shared" ref="S46:S47" si="98">+R46*$X$1</f>
        <v>1350</v>
      </c>
      <c r="T46" s="375">
        <v>1267</v>
      </c>
      <c r="U46" s="299">
        <f t="shared" ref="U46:U47" si="99">+T46*$X$1</f>
        <v>1267</v>
      </c>
      <c r="V46" s="375">
        <v>1146</v>
      </c>
      <c r="W46" s="337">
        <f t="shared" ref="W46:W47" si="100">+V46*$X$1</f>
        <v>1146</v>
      </c>
      <c r="X46" s="724"/>
      <c r="Y46" s="798"/>
      <c r="Z46" s="798"/>
      <c r="AA46" s="799"/>
      <c r="AB46" s="525" t="s">
        <v>650</v>
      </c>
    </row>
    <row r="47" spans="1:28" ht="12.6" customHeight="1" x14ac:dyDescent="0.2">
      <c r="A47" s="20"/>
      <c r="B47" s="687" t="s">
        <v>639</v>
      </c>
      <c r="C47" s="688"/>
      <c r="D47" s="688"/>
      <c r="E47" s="688"/>
      <c r="F47" s="338">
        <v>859</v>
      </c>
      <c r="G47" s="370">
        <f t="shared" ref="G47" si="101">+F47*$X$1</f>
        <v>859</v>
      </c>
      <c r="H47" s="1074" t="s">
        <v>61</v>
      </c>
      <c r="I47" s="1074"/>
      <c r="J47" s="1075"/>
      <c r="K47" s="1076"/>
      <c r="L47" s="327"/>
      <c r="M47" s="413"/>
      <c r="N47" s="94">
        <v>1576</v>
      </c>
      <c r="O47" s="370">
        <f t="shared" si="96"/>
        <v>1576</v>
      </c>
      <c r="P47" s="329">
        <v>1471</v>
      </c>
      <c r="Q47" s="487">
        <f t="shared" si="97"/>
        <v>1471</v>
      </c>
      <c r="R47" s="607">
        <v>1350</v>
      </c>
      <c r="S47" s="363">
        <f t="shared" si="98"/>
        <v>1350</v>
      </c>
      <c r="T47" s="607">
        <v>1267</v>
      </c>
      <c r="U47" s="363">
        <f t="shared" si="99"/>
        <v>1267</v>
      </c>
      <c r="V47" s="607">
        <v>1146</v>
      </c>
      <c r="W47" s="338">
        <f t="shared" si="100"/>
        <v>1146</v>
      </c>
      <c r="X47" s="724"/>
      <c r="Y47" s="798"/>
      <c r="Z47" s="798"/>
      <c r="AA47" s="799"/>
      <c r="AB47" s="525" t="s">
        <v>651</v>
      </c>
    </row>
    <row r="48" spans="1:28" ht="12.6" customHeight="1" x14ac:dyDescent="0.2">
      <c r="A48" s="20"/>
      <c r="B48" s="737" t="s">
        <v>67</v>
      </c>
      <c r="C48" s="709"/>
      <c r="D48" s="709"/>
      <c r="E48" s="709"/>
      <c r="F48" s="337">
        <v>1078</v>
      </c>
      <c r="G48" s="371">
        <f t="shared" si="83"/>
        <v>1078</v>
      </c>
      <c r="H48" s="1083" t="s">
        <v>61</v>
      </c>
      <c r="I48" s="1083"/>
      <c r="J48" s="1084"/>
      <c r="K48" s="1085"/>
      <c r="L48" s="328"/>
      <c r="M48" s="412"/>
      <c r="N48" s="75">
        <v>2100</v>
      </c>
      <c r="O48" s="365">
        <f t="shared" ref="O48" si="102">+N48*$X$1</f>
        <v>2100</v>
      </c>
      <c r="P48" s="382">
        <v>1920</v>
      </c>
      <c r="Q48" s="384">
        <f t="shared" si="58"/>
        <v>1920</v>
      </c>
      <c r="R48" s="375">
        <v>1778</v>
      </c>
      <c r="S48" s="337">
        <f t="shared" si="58"/>
        <v>1778</v>
      </c>
      <c r="T48" s="375">
        <v>1653</v>
      </c>
      <c r="U48" s="337">
        <f t="shared" si="59"/>
        <v>1653</v>
      </c>
      <c r="V48" s="375">
        <v>1602</v>
      </c>
      <c r="W48" s="337">
        <f t="shared" si="60"/>
        <v>1602</v>
      </c>
      <c r="X48" s="724"/>
      <c r="Y48" s="798"/>
      <c r="Z48" s="798"/>
      <c r="AA48" s="799"/>
      <c r="AB48" s="525" t="s">
        <v>68</v>
      </c>
    </row>
    <row r="49" spans="1:35" ht="12.6" customHeight="1" x14ac:dyDescent="0.2">
      <c r="A49" s="20"/>
      <c r="B49" s="687" t="s">
        <v>69</v>
      </c>
      <c r="C49" s="688"/>
      <c r="D49" s="688"/>
      <c r="E49" s="688"/>
      <c r="F49" s="338">
        <v>1078</v>
      </c>
      <c r="G49" s="370">
        <f t="shared" si="83"/>
        <v>1078</v>
      </c>
      <c r="H49" s="1074" t="s">
        <v>61</v>
      </c>
      <c r="I49" s="1074"/>
      <c r="J49" s="1075"/>
      <c r="K49" s="1076"/>
      <c r="L49" s="327"/>
      <c r="M49" s="413"/>
      <c r="N49" s="93">
        <v>2100</v>
      </c>
      <c r="O49" s="405">
        <f t="shared" ref="O49:O50" si="103">+N49*$X$1</f>
        <v>2100</v>
      </c>
      <c r="P49" s="329">
        <v>1920</v>
      </c>
      <c r="Q49" s="383">
        <f t="shared" ref="Q49:Q50" si="104">+P49*$X$1</f>
        <v>1920</v>
      </c>
      <c r="R49" s="607">
        <v>1778</v>
      </c>
      <c r="S49" s="338">
        <f t="shared" ref="S49:S50" si="105">+R49*$X$1</f>
        <v>1778</v>
      </c>
      <c r="T49" s="607">
        <v>1653</v>
      </c>
      <c r="U49" s="338">
        <f t="shared" ref="U49:U50" si="106">+T49*$X$1</f>
        <v>1653</v>
      </c>
      <c r="V49" s="607">
        <v>1602</v>
      </c>
      <c r="W49" s="338">
        <f t="shared" ref="W49:W50" si="107">+V49*$X$1</f>
        <v>1602</v>
      </c>
      <c r="X49" s="724"/>
      <c r="Y49" s="798"/>
      <c r="Z49" s="798"/>
      <c r="AA49" s="799"/>
      <c r="AB49" s="525" t="s">
        <v>70</v>
      </c>
    </row>
    <row r="50" spans="1:35" ht="12.6" customHeight="1" x14ac:dyDescent="0.2">
      <c r="A50" s="20"/>
      <c r="B50" s="737" t="s">
        <v>71</v>
      </c>
      <c r="C50" s="709"/>
      <c r="D50" s="709"/>
      <c r="E50" s="709"/>
      <c r="F50" s="337">
        <v>1078</v>
      </c>
      <c r="G50" s="404">
        <f t="shared" si="83"/>
        <v>1078</v>
      </c>
      <c r="H50" s="1083" t="s">
        <v>61</v>
      </c>
      <c r="I50" s="1083"/>
      <c r="J50" s="1084"/>
      <c r="K50" s="1100"/>
      <c r="L50" s="328"/>
      <c r="M50" s="412"/>
      <c r="N50" s="75">
        <v>2100</v>
      </c>
      <c r="O50" s="365">
        <f t="shared" si="103"/>
        <v>2100</v>
      </c>
      <c r="P50" s="382">
        <v>1920</v>
      </c>
      <c r="Q50" s="384">
        <f t="shared" si="104"/>
        <v>1920</v>
      </c>
      <c r="R50" s="375">
        <v>1778</v>
      </c>
      <c r="S50" s="337">
        <f t="shared" si="105"/>
        <v>1778</v>
      </c>
      <c r="T50" s="375">
        <v>1653</v>
      </c>
      <c r="U50" s="337">
        <f t="shared" si="106"/>
        <v>1653</v>
      </c>
      <c r="V50" s="375">
        <v>1602</v>
      </c>
      <c r="W50" s="337">
        <f t="shared" si="107"/>
        <v>1602</v>
      </c>
      <c r="X50" s="724"/>
      <c r="Y50" s="798"/>
      <c r="Z50" s="798"/>
      <c r="AA50" s="799"/>
      <c r="AB50" s="525" t="s">
        <v>72</v>
      </c>
    </row>
    <row r="51" spans="1:35" ht="12.6" customHeight="1" x14ac:dyDescent="0.2">
      <c r="A51" s="20"/>
      <c r="B51" s="687" t="s">
        <v>73</v>
      </c>
      <c r="C51" s="688"/>
      <c r="D51" s="688"/>
      <c r="E51" s="760"/>
      <c r="F51" s="1086" t="s">
        <v>488</v>
      </c>
      <c r="G51" s="1084"/>
      <c r="H51" s="1084"/>
      <c r="I51" s="1084"/>
      <c r="J51" s="304"/>
      <c r="K51" s="483"/>
      <c r="L51" s="484"/>
      <c r="M51" s="338"/>
      <c r="N51" s="489"/>
      <c r="O51" s="370"/>
      <c r="P51" s="327"/>
      <c r="Q51" s="383"/>
      <c r="R51" s="107"/>
      <c r="S51" s="363"/>
      <c r="T51" s="107"/>
      <c r="U51" s="363"/>
      <c r="V51" s="107"/>
      <c r="W51" s="338"/>
      <c r="X51" s="141"/>
      <c r="Y51" s="141"/>
      <c r="Z51" s="141"/>
      <c r="AA51" s="141"/>
      <c r="AB51" s="523" t="s">
        <v>74</v>
      </c>
    </row>
    <row r="52" spans="1:35" ht="12.6" customHeight="1" x14ac:dyDescent="0.2">
      <c r="A52" s="20"/>
      <c r="B52" s="737" t="s">
        <v>75</v>
      </c>
      <c r="C52" s="709"/>
      <c r="D52" s="709"/>
      <c r="E52" s="761"/>
      <c r="F52" s="1084"/>
      <c r="G52" s="1084"/>
      <c r="H52" s="1084"/>
      <c r="I52" s="1084"/>
      <c r="J52" s="19"/>
      <c r="K52" s="333"/>
      <c r="L52" s="306"/>
      <c r="M52" s="337"/>
      <c r="N52" s="229"/>
      <c r="O52" s="371"/>
      <c r="P52" s="333"/>
      <c r="Q52" s="384"/>
      <c r="R52" s="375"/>
      <c r="S52" s="299"/>
      <c r="T52" s="375"/>
      <c r="U52" s="299"/>
      <c r="V52" s="375"/>
      <c r="W52" s="337"/>
      <c r="X52" s="141"/>
      <c r="Y52" s="141"/>
      <c r="Z52" s="141"/>
      <c r="AA52" s="141"/>
      <c r="AB52" s="523" t="s">
        <v>76</v>
      </c>
    </row>
    <row r="53" spans="1:35" ht="12.6" customHeight="1" x14ac:dyDescent="0.2">
      <c r="A53" s="20"/>
      <c r="B53" s="687" t="s">
        <v>509</v>
      </c>
      <c r="C53" s="688"/>
      <c r="D53" s="688"/>
      <c r="E53" s="760"/>
      <c r="F53" s="1084"/>
      <c r="G53" s="1084"/>
      <c r="H53" s="1084"/>
      <c r="I53" s="1084"/>
      <c r="J53" s="304"/>
      <c r="K53" s="327"/>
      <c r="L53" s="357"/>
      <c r="M53" s="338"/>
      <c r="N53" s="358"/>
      <c r="O53" s="426"/>
      <c r="P53" s="327"/>
      <c r="Q53" s="383"/>
      <c r="R53" s="99"/>
      <c r="S53" s="419"/>
      <c r="T53" s="99"/>
      <c r="U53" s="419"/>
      <c r="V53" s="99"/>
      <c r="W53" s="338"/>
      <c r="X53" s="141"/>
      <c r="Y53" s="141"/>
      <c r="Z53" s="141"/>
      <c r="AA53" s="141"/>
      <c r="AB53" s="38">
        <v>48</v>
      </c>
      <c r="AC53" s="526" t="s">
        <v>77</v>
      </c>
      <c r="AD53" s="526" t="s">
        <v>78</v>
      </c>
      <c r="AE53" s="526" t="s">
        <v>79</v>
      </c>
    </row>
    <row r="54" spans="1:35" ht="12.6" customHeight="1" x14ac:dyDescent="0.2">
      <c r="A54" s="20"/>
      <c r="B54" s="1077" t="s">
        <v>80</v>
      </c>
      <c r="C54" s="1078"/>
      <c r="D54" s="1078"/>
      <c r="E54" s="1078"/>
      <c r="F54" s="1084"/>
      <c r="G54" s="1084"/>
      <c r="H54" s="1084"/>
      <c r="I54" s="1084"/>
      <c r="J54" s="19"/>
      <c r="K54" s="19"/>
      <c r="L54" s="306"/>
      <c r="M54" s="302"/>
      <c r="N54" s="229"/>
      <c r="O54" s="264"/>
      <c r="P54" s="126"/>
      <c r="Q54" s="308"/>
      <c r="R54" s="264"/>
      <c r="S54" s="264"/>
      <c r="T54" s="264"/>
      <c r="U54" s="264"/>
      <c r="V54" s="96"/>
      <c r="W54" s="96"/>
      <c r="X54" s="180"/>
      <c r="Y54" s="180"/>
      <c r="Z54" s="180"/>
      <c r="AA54" s="180"/>
      <c r="AB54" s="208">
        <v>54</v>
      </c>
    </row>
    <row r="55" spans="1:35" ht="12.6" customHeight="1" x14ac:dyDescent="0.2">
      <c r="A55" s="20"/>
      <c r="B55" s="687" t="s">
        <v>81</v>
      </c>
      <c r="C55" s="688"/>
      <c r="D55" s="688"/>
      <c r="E55" s="688"/>
      <c r="F55" s="338">
        <v>780</v>
      </c>
      <c r="G55" s="363">
        <f t="shared" ref="G55:G58" si="108">+F55*$X$1</f>
        <v>780</v>
      </c>
      <c r="H55" s="133"/>
      <c r="I55" s="338"/>
      <c r="J55" s="584">
        <f>F55+120</f>
        <v>900</v>
      </c>
      <c r="K55" s="338">
        <f t="shared" ref="K55" si="109">+J55*$X$1</f>
        <v>900</v>
      </c>
      <c r="L55" s="584">
        <f>F55+90</f>
        <v>870</v>
      </c>
      <c r="M55" s="338">
        <f t="shared" ref="M55" si="110">+L55*$X$1</f>
        <v>870</v>
      </c>
      <c r="N55" s="107">
        <f>F55+60</f>
        <v>840</v>
      </c>
      <c r="O55" s="363">
        <f t="shared" ref="O55" si="111">+N55*$X$1</f>
        <v>840</v>
      </c>
      <c r="P55" s="107">
        <f>F55+50</f>
        <v>830</v>
      </c>
      <c r="Q55" s="338">
        <f t="shared" si="58"/>
        <v>830</v>
      </c>
      <c r="R55" s="107">
        <f>F55+40</f>
        <v>820</v>
      </c>
      <c r="S55" s="363">
        <f t="shared" ref="S55" si="112">+R55*$X$1</f>
        <v>820</v>
      </c>
      <c r="T55" s="107">
        <f>F55+36</f>
        <v>816</v>
      </c>
      <c r="U55" s="363">
        <f t="shared" ref="U55" si="113">+T55*$X$1</f>
        <v>816</v>
      </c>
      <c r="V55" s="107">
        <f>F55+33</f>
        <v>813</v>
      </c>
      <c r="W55" s="338">
        <f t="shared" ref="W55" si="114">+V55*$X$1</f>
        <v>813</v>
      </c>
      <c r="X55" s="140"/>
      <c r="Y55" s="141"/>
      <c r="Z55" s="141"/>
      <c r="AA55" s="141"/>
      <c r="AB55" s="523">
        <v>60</v>
      </c>
    </row>
    <row r="56" spans="1:35" ht="12.6" customHeight="1" x14ac:dyDescent="0.2">
      <c r="A56" s="20"/>
      <c r="B56" s="737" t="s">
        <v>615</v>
      </c>
      <c r="C56" s="709"/>
      <c r="D56" s="709"/>
      <c r="E56" s="709"/>
      <c r="F56" s="337">
        <v>840</v>
      </c>
      <c r="G56" s="299">
        <f t="shared" si="108"/>
        <v>840</v>
      </c>
      <c r="H56" s="132"/>
      <c r="I56" s="337"/>
      <c r="J56" s="375">
        <f>F56+120</f>
        <v>960</v>
      </c>
      <c r="K56" s="337">
        <f t="shared" ref="K56:K58" si="115">+J56*$X$1</f>
        <v>960</v>
      </c>
      <c r="L56" s="375">
        <f>F56+90</f>
        <v>930</v>
      </c>
      <c r="M56" s="337">
        <f t="shared" ref="M56:M58" si="116">+L56*$X$1</f>
        <v>930</v>
      </c>
      <c r="N56" s="108">
        <f>F56+60</f>
        <v>900</v>
      </c>
      <c r="O56" s="299">
        <f t="shared" ref="O56:O58" si="117">+N56*$X$1</f>
        <v>900</v>
      </c>
      <c r="P56" s="108">
        <f>F56+50</f>
        <v>890</v>
      </c>
      <c r="Q56" s="337">
        <f t="shared" ref="Q56:Q58" si="118">+P56*$X$1</f>
        <v>890</v>
      </c>
      <c r="R56" s="108">
        <f>F56+40</f>
        <v>880</v>
      </c>
      <c r="S56" s="299">
        <f t="shared" ref="S56:S58" si="119">+R56*$X$1</f>
        <v>880</v>
      </c>
      <c r="T56" s="108">
        <f>F56+36</f>
        <v>876</v>
      </c>
      <c r="U56" s="299">
        <f t="shared" ref="U56:U58" si="120">+T56*$X$1</f>
        <v>876</v>
      </c>
      <c r="V56" s="108">
        <f>F56+33</f>
        <v>873</v>
      </c>
      <c r="W56" s="337">
        <f t="shared" ref="W56:W58" si="121">+V56*$X$1</f>
        <v>873</v>
      </c>
      <c r="X56" s="140"/>
      <c r="Y56" s="141"/>
      <c r="Z56" s="141"/>
      <c r="AA56" s="141"/>
      <c r="AB56" s="523">
        <v>61</v>
      </c>
    </row>
    <row r="57" spans="1:35" ht="12.6" customHeight="1" x14ac:dyDescent="0.2">
      <c r="A57" s="20"/>
      <c r="B57" s="925" t="s">
        <v>82</v>
      </c>
      <c r="C57" s="926"/>
      <c r="D57" s="926"/>
      <c r="E57" s="926"/>
      <c r="F57" s="340">
        <v>800</v>
      </c>
      <c r="G57" s="419">
        <f t="shared" si="108"/>
        <v>800</v>
      </c>
      <c r="H57" s="561"/>
      <c r="I57" s="338"/>
      <c r="J57" s="584">
        <f>F57+120</f>
        <v>920</v>
      </c>
      <c r="K57" s="338">
        <f t="shared" si="115"/>
        <v>920</v>
      </c>
      <c r="L57" s="584">
        <f>F57+90</f>
        <v>890</v>
      </c>
      <c r="M57" s="338">
        <f t="shared" si="116"/>
        <v>890</v>
      </c>
      <c r="N57" s="107">
        <f>F57+60</f>
        <v>860</v>
      </c>
      <c r="O57" s="363">
        <f t="shared" si="117"/>
        <v>860</v>
      </c>
      <c r="P57" s="107">
        <f>F57+50</f>
        <v>850</v>
      </c>
      <c r="Q57" s="338">
        <f t="shared" si="118"/>
        <v>850</v>
      </c>
      <c r="R57" s="107">
        <f>F57+40</f>
        <v>840</v>
      </c>
      <c r="S57" s="363">
        <f t="shared" si="119"/>
        <v>840</v>
      </c>
      <c r="T57" s="107">
        <f>F57+36</f>
        <v>836</v>
      </c>
      <c r="U57" s="363">
        <f t="shared" si="120"/>
        <v>836</v>
      </c>
      <c r="V57" s="107">
        <f>F57+33</f>
        <v>833</v>
      </c>
      <c r="W57" s="338">
        <f t="shared" si="121"/>
        <v>833</v>
      </c>
      <c r="X57" s="140"/>
      <c r="Y57" s="141"/>
      <c r="Z57" s="141"/>
      <c r="AA57" s="141"/>
      <c r="AB57" s="523">
        <v>62</v>
      </c>
    </row>
    <row r="58" spans="1:35" ht="12.6" customHeight="1" x14ac:dyDescent="0.2">
      <c r="A58" s="20"/>
      <c r="B58" s="737" t="s">
        <v>83</v>
      </c>
      <c r="C58" s="751"/>
      <c r="D58" s="751"/>
      <c r="E58" s="751"/>
      <c r="F58" s="337">
        <v>860</v>
      </c>
      <c r="G58" s="337">
        <f t="shared" si="108"/>
        <v>860</v>
      </c>
      <c r="H58" s="132"/>
      <c r="I58" s="337"/>
      <c r="J58" s="375">
        <f>F58+120</f>
        <v>980</v>
      </c>
      <c r="K58" s="337">
        <f t="shared" si="115"/>
        <v>980</v>
      </c>
      <c r="L58" s="375">
        <f>F58+90</f>
        <v>950</v>
      </c>
      <c r="M58" s="337">
        <f t="shared" si="116"/>
        <v>950</v>
      </c>
      <c r="N58" s="108">
        <f>F58+60</f>
        <v>920</v>
      </c>
      <c r="O58" s="299">
        <f t="shared" si="117"/>
        <v>920</v>
      </c>
      <c r="P58" s="108">
        <f>F58+50</f>
        <v>910</v>
      </c>
      <c r="Q58" s="337">
        <f t="shared" si="118"/>
        <v>910</v>
      </c>
      <c r="R58" s="108">
        <f>F58+40</f>
        <v>900</v>
      </c>
      <c r="S58" s="299">
        <f t="shared" si="119"/>
        <v>900</v>
      </c>
      <c r="T58" s="108">
        <f>F58+36</f>
        <v>896</v>
      </c>
      <c r="U58" s="299">
        <f t="shared" si="120"/>
        <v>896</v>
      </c>
      <c r="V58" s="108">
        <f>F58+33</f>
        <v>893</v>
      </c>
      <c r="W58" s="337">
        <f t="shared" si="121"/>
        <v>893</v>
      </c>
      <c r="X58" s="140"/>
      <c r="Y58" s="141"/>
      <c r="Z58" s="141"/>
      <c r="AA58" s="141"/>
      <c r="AB58" s="523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687" t="s">
        <v>610</v>
      </c>
      <c r="C59" s="688"/>
      <c r="D59" s="688"/>
      <c r="E59" s="688"/>
      <c r="F59" s="338">
        <v>910</v>
      </c>
      <c r="G59" s="338">
        <f t="shared" ref="G59" si="122">+F59*$X$1</f>
        <v>910</v>
      </c>
      <c r="H59" s="133"/>
      <c r="I59" s="338"/>
      <c r="J59" s="584">
        <f>F59+270</f>
        <v>1180</v>
      </c>
      <c r="K59" s="338">
        <f t="shared" ref="K59" si="123">+J59*$X$1</f>
        <v>1180</v>
      </c>
      <c r="L59" s="584">
        <f>F59+170</f>
        <v>1080</v>
      </c>
      <c r="M59" s="338">
        <f t="shared" ref="M59" si="124">+L59*$X$1</f>
        <v>1080</v>
      </c>
      <c r="N59" s="107">
        <f>F59+110</f>
        <v>1020</v>
      </c>
      <c r="O59" s="363">
        <f t="shared" ref="O59:O60" si="125">+N59*$X$1</f>
        <v>1020</v>
      </c>
      <c r="P59" s="107">
        <f>F59+95</f>
        <v>1005</v>
      </c>
      <c r="Q59" s="338">
        <f t="shared" ref="Q59:Q60" si="126">+P59*$X$1</f>
        <v>1005</v>
      </c>
      <c r="R59" s="107">
        <f>F59+85</f>
        <v>995</v>
      </c>
      <c r="S59" s="363">
        <f t="shared" ref="S59:S60" si="127">+R59*$X$1</f>
        <v>995</v>
      </c>
      <c r="T59" s="107">
        <f>F59+79</f>
        <v>989</v>
      </c>
      <c r="U59" s="363">
        <f t="shared" ref="U59:U60" si="128">+T59*$X$1</f>
        <v>989</v>
      </c>
      <c r="V59" s="107">
        <f>F59+75</f>
        <v>985</v>
      </c>
      <c r="W59" s="338">
        <f t="shared" ref="W59:W60" si="129">+V59*$X$1</f>
        <v>985</v>
      </c>
      <c r="X59" s="140"/>
      <c r="Y59" s="141"/>
      <c r="Z59" s="141"/>
      <c r="AA59" s="141"/>
      <c r="AB59" s="523">
        <v>64</v>
      </c>
    </row>
    <row r="60" spans="1:35" ht="12.6" customHeight="1" x14ac:dyDescent="0.2">
      <c r="A60" s="20"/>
      <c r="B60" s="938" t="s">
        <v>831</v>
      </c>
      <c r="C60" s="939"/>
      <c r="D60" s="939"/>
      <c r="E60" s="939"/>
      <c r="F60" s="403">
        <v>230</v>
      </c>
      <c r="G60" s="403">
        <f t="shared" ref="G60:G69" si="130">+F60*$X$1</f>
        <v>230</v>
      </c>
      <c r="H60" s="334"/>
      <c r="I60" s="411"/>
      <c r="J60" s="588"/>
      <c r="K60" s="403"/>
      <c r="L60" s="122"/>
      <c r="M60" s="403"/>
      <c r="N60" s="585">
        <f t="shared" ref="N60:N66" si="131">F60+46</f>
        <v>276</v>
      </c>
      <c r="O60" s="402">
        <f t="shared" si="125"/>
        <v>276</v>
      </c>
      <c r="P60" s="585">
        <f t="shared" ref="P60:P66" si="132">F60+42</f>
        <v>272</v>
      </c>
      <c r="Q60" s="402">
        <f t="shared" si="126"/>
        <v>272</v>
      </c>
      <c r="R60" s="585">
        <f t="shared" ref="R60:R66" si="133">F60+35</f>
        <v>265</v>
      </c>
      <c r="S60" s="402">
        <f t="shared" si="127"/>
        <v>265</v>
      </c>
      <c r="T60" s="585">
        <f t="shared" ref="T60:T66" si="134">F60+29</f>
        <v>259</v>
      </c>
      <c r="U60" s="402">
        <f t="shared" si="128"/>
        <v>259</v>
      </c>
      <c r="V60" s="585">
        <f t="shared" ref="V60:V66" si="135">F60+24</f>
        <v>254</v>
      </c>
      <c r="W60" s="402">
        <f t="shared" si="129"/>
        <v>254</v>
      </c>
      <c r="X60" s="141"/>
      <c r="Y60" s="141"/>
      <c r="Z60" s="141"/>
      <c r="AA60" s="141"/>
      <c r="AB60" s="523">
        <v>85</v>
      </c>
    </row>
    <row r="61" spans="1:35" ht="12.6" customHeight="1" x14ac:dyDescent="0.2">
      <c r="A61" s="20"/>
      <c r="B61" s="898" t="s">
        <v>696</v>
      </c>
      <c r="C61" s="792"/>
      <c r="D61" s="792"/>
      <c r="E61" s="792"/>
      <c r="F61" s="380">
        <v>650</v>
      </c>
      <c r="G61" s="406">
        <f t="shared" si="130"/>
        <v>650</v>
      </c>
      <c r="H61" s="327"/>
      <c r="I61" s="413"/>
      <c r="J61" s="590"/>
      <c r="K61" s="380"/>
      <c r="L61" s="107"/>
      <c r="M61" s="380"/>
      <c r="N61" s="677">
        <f t="shared" si="131"/>
        <v>696</v>
      </c>
      <c r="O61" s="338">
        <f t="shared" ref="O61" si="136">+N61*$X$1</f>
        <v>696</v>
      </c>
      <c r="P61" s="677">
        <f t="shared" si="132"/>
        <v>692</v>
      </c>
      <c r="Q61" s="338">
        <f t="shared" ref="Q61" si="137">+P61*$X$1</f>
        <v>692</v>
      </c>
      <c r="R61" s="677">
        <f t="shared" si="133"/>
        <v>685</v>
      </c>
      <c r="S61" s="338">
        <f t="shared" ref="S61" si="138">+R61*$X$1</f>
        <v>685</v>
      </c>
      <c r="T61" s="677">
        <f t="shared" si="134"/>
        <v>679</v>
      </c>
      <c r="U61" s="338">
        <f t="shared" ref="U61" si="139">+T61*$X$1</f>
        <v>679</v>
      </c>
      <c r="V61" s="677">
        <f t="shared" si="135"/>
        <v>674</v>
      </c>
      <c r="W61" s="338">
        <f t="shared" ref="W61" si="140">+V61*$X$1</f>
        <v>674</v>
      </c>
      <c r="X61" s="141"/>
      <c r="Y61" s="141"/>
      <c r="Z61" s="141"/>
      <c r="AA61" s="141"/>
      <c r="AB61" s="523" t="s">
        <v>84</v>
      </c>
    </row>
    <row r="62" spans="1:35" ht="12.6" customHeight="1" x14ac:dyDescent="0.2">
      <c r="A62" s="20"/>
      <c r="B62" s="691" t="s">
        <v>695</v>
      </c>
      <c r="C62" s="692"/>
      <c r="D62" s="692"/>
      <c r="E62" s="692"/>
      <c r="F62" s="364">
        <v>575</v>
      </c>
      <c r="G62" s="404">
        <f t="shared" ref="G62" si="141">+F62*$X$1</f>
        <v>575</v>
      </c>
      <c r="H62" s="328"/>
      <c r="I62" s="412"/>
      <c r="J62" s="589"/>
      <c r="K62" s="364"/>
      <c r="L62" s="108"/>
      <c r="M62" s="364"/>
      <c r="N62" s="375">
        <f t="shared" si="131"/>
        <v>621</v>
      </c>
      <c r="O62" s="337">
        <f t="shared" ref="O62" si="142">+N62*$X$1</f>
        <v>621</v>
      </c>
      <c r="P62" s="375">
        <f t="shared" si="132"/>
        <v>617</v>
      </c>
      <c r="Q62" s="337">
        <f t="shared" ref="Q62" si="143">+P62*$X$1</f>
        <v>617</v>
      </c>
      <c r="R62" s="375">
        <f t="shared" si="133"/>
        <v>610</v>
      </c>
      <c r="S62" s="337">
        <f t="shared" ref="S62" si="144">+R62*$X$1</f>
        <v>610</v>
      </c>
      <c r="T62" s="375">
        <f t="shared" si="134"/>
        <v>604</v>
      </c>
      <c r="U62" s="337">
        <f t="shared" ref="U62" si="145">+T62*$X$1</f>
        <v>604</v>
      </c>
      <c r="V62" s="375">
        <f t="shared" si="135"/>
        <v>599</v>
      </c>
      <c r="W62" s="337">
        <f t="shared" ref="W62" si="146">+V62*$X$1</f>
        <v>599</v>
      </c>
      <c r="X62" s="141"/>
      <c r="Y62" s="141"/>
      <c r="Z62" s="141"/>
      <c r="AA62" s="141"/>
      <c r="AB62" s="523" t="s">
        <v>84</v>
      </c>
    </row>
    <row r="63" spans="1:35" ht="12.6" customHeight="1" x14ac:dyDescent="0.2">
      <c r="A63" s="20"/>
      <c r="B63" s="689" t="s">
        <v>906</v>
      </c>
      <c r="C63" s="690"/>
      <c r="D63" s="690"/>
      <c r="E63" s="690"/>
      <c r="F63" s="380">
        <v>490</v>
      </c>
      <c r="G63" s="406">
        <f t="shared" ref="G63" si="147">+F63*$X$1</f>
        <v>490</v>
      </c>
      <c r="H63" s="327"/>
      <c r="I63" s="413"/>
      <c r="J63" s="590"/>
      <c r="K63" s="380"/>
      <c r="L63" s="107"/>
      <c r="M63" s="380"/>
      <c r="N63" s="677">
        <f t="shared" ref="N63" si="148">F63+46</f>
        <v>536</v>
      </c>
      <c r="O63" s="338">
        <f t="shared" ref="O63" si="149">+N63*$X$1</f>
        <v>536</v>
      </c>
      <c r="P63" s="677">
        <f t="shared" ref="P63" si="150">F63+42</f>
        <v>532</v>
      </c>
      <c r="Q63" s="338">
        <f t="shared" ref="Q63" si="151">+P63*$X$1</f>
        <v>532</v>
      </c>
      <c r="R63" s="677">
        <f t="shared" ref="R63" si="152">F63+35</f>
        <v>525</v>
      </c>
      <c r="S63" s="338">
        <f t="shared" ref="S63" si="153">+R63*$X$1</f>
        <v>525</v>
      </c>
      <c r="T63" s="677">
        <f t="shared" ref="T63" si="154">F63+29</f>
        <v>519</v>
      </c>
      <c r="U63" s="338">
        <f t="shared" ref="U63" si="155">+T63*$X$1</f>
        <v>519</v>
      </c>
      <c r="V63" s="677">
        <f t="shared" ref="V63" si="156">F63+24</f>
        <v>514</v>
      </c>
      <c r="W63" s="338">
        <f t="shared" ref="W63" si="157">+V63*$X$1</f>
        <v>514</v>
      </c>
      <c r="X63" s="141"/>
      <c r="Y63" s="141"/>
      <c r="Z63" s="141"/>
      <c r="AA63" s="141"/>
      <c r="AB63" s="523"/>
    </row>
    <row r="64" spans="1:35" ht="12.6" customHeight="1" x14ac:dyDescent="0.2">
      <c r="A64" s="20"/>
      <c r="B64" s="691" t="s">
        <v>476</v>
      </c>
      <c r="C64" s="692"/>
      <c r="D64" s="692"/>
      <c r="E64" s="692"/>
      <c r="F64" s="364">
        <v>890</v>
      </c>
      <c r="G64" s="404">
        <f t="shared" si="130"/>
        <v>890</v>
      </c>
      <c r="H64" s="328"/>
      <c r="I64" s="412"/>
      <c r="J64" s="75">
        <f>F64+120</f>
        <v>1010</v>
      </c>
      <c r="K64" s="337">
        <f t="shared" ref="K64" si="158">+J64*$X$1</f>
        <v>1010</v>
      </c>
      <c r="L64" s="375">
        <f>F64+90</f>
        <v>980</v>
      </c>
      <c r="M64" s="337">
        <f t="shared" ref="M64" si="159">+L64*$X$1</f>
        <v>980</v>
      </c>
      <c r="N64" s="375">
        <f>F64+60</f>
        <v>950</v>
      </c>
      <c r="O64" s="337">
        <f t="shared" ref="O64" si="160">+N64*$X$1</f>
        <v>950</v>
      </c>
      <c r="P64" s="375">
        <f>F64+50</f>
        <v>940</v>
      </c>
      <c r="Q64" s="337">
        <f t="shared" ref="Q64" si="161">+P64*$X$1</f>
        <v>940</v>
      </c>
      <c r="R64" s="375">
        <f>F64+40</f>
        <v>930</v>
      </c>
      <c r="S64" s="337">
        <f t="shared" ref="S64" si="162">+R64*$X$1</f>
        <v>930</v>
      </c>
      <c r="T64" s="375">
        <f>F64+34</f>
        <v>924</v>
      </c>
      <c r="U64" s="337">
        <f t="shared" ref="U64" si="163">+T64*$X$1</f>
        <v>924</v>
      </c>
      <c r="V64" s="375">
        <f>F64+30</f>
        <v>920</v>
      </c>
      <c r="W64" s="337">
        <f t="shared" ref="W64" si="164">+V64*$X$1</f>
        <v>920</v>
      </c>
      <c r="X64" s="141"/>
      <c r="Y64" s="141"/>
      <c r="Z64" s="141"/>
      <c r="AA64" s="141"/>
      <c r="AB64" s="523">
        <v>89</v>
      </c>
    </row>
    <row r="65" spans="1:38" ht="12.6" customHeight="1" x14ac:dyDescent="0.2">
      <c r="A65" s="20"/>
      <c r="B65" s="687" t="s">
        <v>585</v>
      </c>
      <c r="C65" s="688"/>
      <c r="D65" s="688"/>
      <c r="E65" s="688"/>
      <c r="F65" s="338">
        <v>452</v>
      </c>
      <c r="G65" s="406">
        <f t="shared" si="130"/>
        <v>452</v>
      </c>
      <c r="H65" s="327"/>
      <c r="I65" s="413"/>
      <c r="J65" s="93"/>
      <c r="K65" s="363"/>
      <c r="L65" s="677"/>
      <c r="M65" s="363"/>
      <c r="N65" s="677">
        <f t="shared" si="131"/>
        <v>498</v>
      </c>
      <c r="O65" s="338">
        <f t="shared" ref="O65:O66" si="165">+N65*$X$1</f>
        <v>498</v>
      </c>
      <c r="P65" s="677">
        <f t="shared" si="132"/>
        <v>494</v>
      </c>
      <c r="Q65" s="338">
        <f t="shared" ref="Q65:Q66" si="166">+P65*$X$1</f>
        <v>494</v>
      </c>
      <c r="R65" s="677">
        <f t="shared" si="133"/>
        <v>487</v>
      </c>
      <c r="S65" s="338">
        <f t="shared" ref="S65:S66" si="167">+R65*$X$1</f>
        <v>487</v>
      </c>
      <c r="T65" s="677">
        <f t="shared" si="134"/>
        <v>481</v>
      </c>
      <c r="U65" s="338">
        <f t="shared" ref="U65:U66" si="168">+T65*$X$1</f>
        <v>481</v>
      </c>
      <c r="V65" s="677">
        <f t="shared" si="135"/>
        <v>476</v>
      </c>
      <c r="W65" s="338">
        <f t="shared" ref="W65:W66" si="169">+V65*$X$1</f>
        <v>476</v>
      </c>
      <c r="X65" s="157"/>
      <c r="Y65" s="157"/>
      <c r="Z65" s="157" t="s">
        <v>85</v>
      </c>
      <c r="AA65" s="141"/>
      <c r="AB65" s="523">
        <v>91</v>
      </c>
    </row>
    <row r="66" spans="1:38" ht="12.6" customHeight="1" x14ac:dyDescent="0.2">
      <c r="A66" s="20"/>
      <c r="B66" s="1077" t="s">
        <v>86</v>
      </c>
      <c r="C66" s="1078"/>
      <c r="D66" s="1078"/>
      <c r="E66" s="1079"/>
      <c r="F66" s="337">
        <v>215</v>
      </c>
      <c r="G66" s="371">
        <f t="shared" si="130"/>
        <v>215</v>
      </c>
      <c r="H66" s="328"/>
      <c r="I66" s="412"/>
      <c r="J66" s="75"/>
      <c r="K66" s="299"/>
      <c r="L66" s="375"/>
      <c r="M66" s="299"/>
      <c r="N66" s="375">
        <f t="shared" si="131"/>
        <v>261</v>
      </c>
      <c r="O66" s="337">
        <f t="shared" si="165"/>
        <v>261</v>
      </c>
      <c r="P66" s="375">
        <f t="shared" si="132"/>
        <v>257</v>
      </c>
      <c r="Q66" s="337">
        <f t="shared" si="166"/>
        <v>257</v>
      </c>
      <c r="R66" s="375">
        <f t="shared" si="133"/>
        <v>250</v>
      </c>
      <c r="S66" s="337">
        <f t="shared" si="167"/>
        <v>250</v>
      </c>
      <c r="T66" s="375">
        <f t="shared" si="134"/>
        <v>244</v>
      </c>
      <c r="U66" s="337">
        <f t="shared" si="168"/>
        <v>244</v>
      </c>
      <c r="V66" s="375">
        <f t="shared" si="135"/>
        <v>239</v>
      </c>
      <c r="W66" s="337">
        <f t="shared" si="169"/>
        <v>239</v>
      </c>
      <c r="X66" s="157"/>
      <c r="Y66" s="157"/>
      <c r="Z66" s="157"/>
      <c r="AA66" s="141"/>
      <c r="AB66" s="523" t="s">
        <v>87</v>
      </c>
    </row>
    <row r="67" spans="1:38" ht="12.6" customHeight="1" x14ac:dyDescent="0.2">
      <c r="A67" s="20"/>
      <c r="B67" s="1087" t="s">
        <v>396</v>
      </c>
      <c r="C67" s="1088"/>
      <c r="D67" s="1088"/>
      <c r="E67" s="1089"/>
      <c r="F67" s="338"/>
      <c r="G67" s="370"/>
      <c r="H67" s="327"/>
      <c r="I67" s="327"/>
      <c r="J67" s="93"/>
      <c r="K67" s="98"/>
      <c r="L67" s="677"/>
      <c r="M67" s="363"/>
      <c r="N67" s="107"/>
      <c r="O67" s="363"/>
      <c r="P67" s="107"/>
      <c r="Q67" s="338"/>
      <c r="R67" s="107"/>
      <c r="S67" s="363"/>
      <c r="T67" s="107"/>
      <c r="U67" s="363"/>
      <c r="V67" s="107"/>
      <c r="W67" s="338"/>
      <c r="X67" s="157"/>
      <c r="Y67" s="157"/>
      <c r="Z67" s="157"/>
      <c r="AA67" s="141"/>
      <c r="AB67" s="37"/>
    </row>
    <row r="68" spans="1:38" ht="12.6" customHeight="1" x14ac:dyDescent="0.2">
      <c r="A68" s="20"/>
      <c r="B68" s="1077" t="s">
        <v>397</v>
      </c>
      <c r="C68" s="1078"/>
      <c r="D68" s="1078"/>
      <c r="E68" s="1079"/>
      <c r="F68" s="337"/>
      <c r="G68" s="371"/>
      <c r="H68" s="328"/>
      <c r="I68" s="328"/>
      <c r="J68" s="75"/>
      <c r="K68" s="100"/>
      <c r="L68" s="375"/>
      <c r="M68" s="299"/>
      <c r="N68" s="108"/>
      <c r="O68" s="299"/>
      <c r="P68" s="108"/>
      <c r="Q68" s="337"/>
      <c r="R68" s="108"/>
      <c r="S68" s="299"/>
      <c r="T68" s="108"/>
      <c r="U68" s="299"/>
      <c r="V68" s="108"/>
      <c r="W68" s="337"/>
      <c r="X68" s="157"/>
      <c r="Y68" s="157"/>
      <c r="Z68" s="157"/>
      <c r="AA68" s="141"/>
      <c r="AB68" s="37"/>
    </row>
    <row r="69" spans="1:38" ht="12.6" customHeight="1" x14ac:dyDescent="0.2">
      <c r="A69" s="20"/>
      <c r="B69" s="687" t="s">
        <v>88</v>
      </c>
      <c r="C69" s="688"/>
      <c r="D69" s="688"/>
      <c r="E69" s="688"/>
      <c r="F69" s="338">
        <v>4195</v>
      </c>
      <c r="G69" s="370">
        <f t="shared" si="130"/>
        <v>4195</v>
      </c>
      <c r="H69" s="93">
        <f>F69+290</f>
        <v>4485</v>
      </c>
      <c r="I69" s="338">
        <f>+H69*$X$1</f>
        <v>4485</v>
      </c>
      <c r="J69" s="93">
        <f>F69+120</f>
        <v>4315</v>
      </c>
      <c r="K69" s="338">
        <f t="shared" ref="K69" si="170">+J69*$X$1</f>
        <v>4315</v>
      </c>
      <c r="L69" s="677">
        <f>F69+74</f>
        <v>4269</v>
      </c>
      <c r="M69" s="338">
        <f t="shared" ref="M69" si="171">+L69*$X$1</f>
        <v>4269</v>
      </c>
      <c r="N69" s="677">
        <f>F69+46</f>
        <v>4241</v>
      </c>
      <c r="O69" s="338">
        <f t="shared" ref="O69" si="172">+N69*$X$1</f>
        <v>4241</v>
      </c>
      <c r="P69" s="677">
        <f>F69+42</f>
        <v>4237</v>
      </c>
      <c r="Q69" s="338">
        <f t="shared" ref="Q69" si="173">+P69*$X$1</f>
        <v>4237</v>
      </c>
      <c r="R69" s="677">
        <f>F69+35</f>
        <v>4230</v>
      </c>
      <c r="S69" s="338">
        <f t="shared" ref="S69" si="174">+R69*$X$1</f>
        <v>4230</v>
      </c>
      <c r="T69" s="677">
        <f>F69+29</f>
        <v>4224</v>
      </c>
      <c r="U69" s="338">
        <f t="shared" ref="U69" si="175">+T69*$X$1</f>
        <v>4224</v>
      </c>
      <c r="V69" s="677">
        <f>F69+24</f>
        <v>4219</v>
      </c>
      <c r="W69" s="338">
        <f t="shared" ref="W69" si="176">+V69*$X$1</f>
        <v>4219</v>
      </c>
      <c r="X69" s="144"/>
      <c r="Y69" s="141"/>
      <c r="Z69" s="141"/>
      <c r="AA69" s="141"/>
      <c r="AB69" s="523">
        <v>92</v>
      </c>
    </row>
    <row r="70" spans="1:38" ht="12.6" customHeight="1" x14ac:dyDescent="0.25">
      <c r="A70" s="61"/>
      <c r="B70" s="737" t="s">
        <v>549</v>
      </c>
      <c r="C70" s="751"/>
      <c r="D70" s="751"/>
      <c r="E70" s="751"/>
      <c r="F70" s="337"/>
      <c r="G70" s="299"/>
      <c r="H70" s="113"/>
      <c r="I70" s="809" t="s">
        <v>557</v>
      </c>
      <c r="J70" s="810"/>
      <c r="K70" s="810"/>
      <c r="L70" s="811"/>
      <c r="M70" s="812"/>
      <c r="N70" s="375">
        <v>750</v>
      </c>
      <c r="O70" s="371">
        <f>+N70*$X$1</f>
        <v>750</v>
      </c>
      <c r="P70" s="382">
        <v>746</v>
      </c>
      <c r="Q70" s="365">
        <f>+P70*$X$1</f>
        <v>746</v>
      </c>
      <c r="R70" s="375">
        <v>707</v>
      </c>
      <c r="S70" s="299">
        <f>+R70*$X$1</f>
        <v>707</v>
      </c>
      <c r="T70" s="375">
        <v>677</v>
      </c>
      <c r="U70" s="337">
        <f>+T70*$X$1</f>
        <v>677</v>
      </c>
      <c r="V70" s="375">
        <v>616</v>
      </c>
      <c r="W70" s="337">
        <f>+V70*$X$1</f>
        <v>616</v>
      </c>
      <c r="X70" s="803"/>
      <c r="Y70" s="803"/>
      <c r="Z70" s="803"/>
      <c r="AA70" s="803"/>
      <c r="AB70" s="208" t="s">
        <v>550</v>
      </c>
    </row>
    <row r="71" spans="1:38" ht="12.6" customHeight="1" x14ac:dyDescent="0.25">
      <c r="A71" s="61"/>
      <c r="B71" s="687" t="s">
        <v>386</v>
      </c>
      <c r="C71" s="702"/>
      <c r="D71" s="702"/>
      <c r="E71" s="702"/>
      <c r="F71" s="338"/>
      <c r="G71" s="363"/>
      <c r="H71" s="281"/>
      <c r="I71" s="1090" t="s">
        <v>557</v>
      </c>
      <c r="J71" s="1091"/>
      <c r="K71" s="1091"/>
      <c r="L71" s="1092"/>
      <c r="M71" s="1093"/>
      <c r="N71" s="677">
        <v>810</v>
      </c>
      <c r="O71" s="370">
        <f>+N71*$X$1</f>
        <v>810</v>
      </c>
      <c r="P71" s="351">
        <v>806</v>
      </c>
      <c r="Q71" s="405">
        <f>+P71*$X$1</f>
        <v>806</v>
      </c>
      <c r="R71" s="677">
        <v>760</v>
      </c>
      <c r="S71" s="363">
        <f>+R71*$X$1</f>
        <v>760</v>
      </c>
      <c r="T71" s="677">
        <v>741</v>
      </c>
      <c r="U71" s="338">
        <f>+T71*$X$1</f>
        <v>741</v>
      </c>
      <c r="V71" s="677">
        <v>670</v>
      </c>
      <c r="W71" s="338">
        <f>+V71*$X$1</f>
        <v>670</v>
      </c>
      <c r="X71" s="803"/>
      <c r="Y71" s="803"/>
      <c r="Z71" s="803"/>
      <c r="AA71" s="803"/>
      <c r="AB71" s="208" t="s">
        <v>89</v>
      </c>
    </row>
    <row r="72" spans="1:38" ht="12.6" customHeight="1" x14ac:dyDescent="0.25">
      <c r="A72" s="61"/>
      <c r="B72" s="737" t="s">
        <v>551</v>
      </c>
      <c r="C72" s="751"/>
      <c r="D72" s="751"/>
      <c r="E72" s="751"/>
      <c r="F72" s="337"/>
      <c r="G72" s="299"/>
      <c r="H72" s="113"/>
      <c r="I72" s="809" t="s">
        <v>557</v>
      </c>
      <c r="J72" s="810"/>
      <c r="K72" s="810"/>
      <c r="L72" s="811"/>
      <c r="M72" s="812"/>
      <c r="N72" s="375">
        <v>1160</v>
      </c>
      <c r="O72" s="371">
        <f>+N72*$X$1</f>
        <v>1160</v>
      </c>
      <c r="P72" s="352">
        <v>1155</v>
      </c>
      <c r="Q72" s="365">
        <f>+P72*$X$1</f>
        <v>1155</v>
      </c>
      <c r="R72" s="375">
        <v>1115</v>
      </c>
      <c r="S72" s="299">
        <f>+R72*$X$1</f>
        <v>1115</v>
      </c>
      <c r="T72" s="375">
        <v>1096</v>
      </c>
      <c r="U72" s="337">
        <f>+T72*$X$1</f>
        <v>1096</v>
      </c>
      <c r="V72" s="375">
        <v>1021</v>
      </c>
      <c r="W72" s="337">
        <f>+V72*$X$1</f>
        <v>1021</v>
      </c>
      <c r="X72" s="803"/>
      <c r="Y72" s="803"/>
      <c r="Z72" s="803"/>
      <c r="AA72" s="803"/>
      <c r="AB72" s="208" t="s">
        <v>552</v>
      </c>
    </row>
    <row r="73" spans="1:38" ht="12.6" customHeight="1" x14ac:dyDescent="0.25">
      <c r="A73" s="20"/>
      <c r="B73" s="687" t="s">
        <v>387</v>
      </c>
      <c r="C73" s="702"/>
      <c r="D73" s="702"/>
      <c r="E73" s="702"/>
      <c r="F73" s="338"/>
      <c r="G73" s="363"/>
      <c r="H73" s="281"/>
      <c r="I73" s="1061"/>
      <c r="J73" s="1062"/>
      <c r="K73" s="1062"/>
      <c r="L73" s="327"/>
      <c r="M73" s="413"/>
      <c r="N73" s="677"/>
      <c r="O73" s="370"/>
      <c r="P73" s="677"/>
      <c r="Q73" s="338"/>
      <c r="R73" s="677"/>
      <c r="S73" s="363"/>
      <c r="T73" s="677"/>
      <c r="U73" s="338"/>
      <c r="V73" s="99"/>
      <c r="W73" s="338"/>
      <c r="X73" s="803"/>
      <c r="Y73" s="803"/>
      <c r="Z73" s="803"/>
      <c r="AA73" s="803"/>
      <c r="AB73" s="208" t="s">
        <v>90</v>
      </c>
      <c r="AH73" s="4"/>
      <c r="AI73" s="4"/>
      <c r="AJ73" s="4"/>
    </row>
    <row r="74" spans="1:38" s="6" customFormat="1" ht="12.6" customHeight="1" x14ac:dyDescent="0.25">
      <c r="A74" s="61"/>
      <c r="B74" s="762" t="s">
        <v>464</v>
      </c>
      <c r="C74" s="706"/>
      <c r="D74" s="706"/>
      <c r="E74" s="707"/>
      <c r="F74" s="337"/>
      <c r="G74" s="299"/>
      <c r="H74" s="375"/>
      <c r="I74" s="371"/>
      <c r="J74" s="376"/>
      <c r="K74" s="442"/>
      <c r="L74" s="377">
        <v>2050</v>
      </c>
      <c r="M74" s="337">
        <f>+L74*$X$1</f>
        <v>2050</v>
      </c>
      <c r="N74" s="375">
        <v>1905</v>
      </c>
      <c r="O74" s="371">
        <f>+N74*$X$1</f>
        <v>1905</v>
      </c>
      <c r="P74" s="490">
        <v>1760</v>
      </c>
      <c r="Q74" s="365">
        <f>+P74*$X$1</f>
        <v>1760</v>
      </c>
      <c r="R74" s="375">
        <v>1740</v>
      </c>
      <c r="S74" s="299">
        <f>+R74*$X$1</f>
        <v>1740</v>
      </c>
      <c r="T74" s="375">
        <v>1690</v>
      </c>
      <c r="U74" s="337">
        <f>+T74*$X$1</f>
        <v>1690</v>
      </c>
      <c r="V74" s="675"/>
      <c r="W74" s="439"/>
      <c r="X74" s="279"/>
      <c r="Y74" s="280"/>
      <c r="Z74" s="280"/>
      <c r="AA74" s="280"/>
      <c r="AB74" s="208" t="s">
        <v>91</v>
      </c>
      <c r="AC74" s="9"/>
      <c r="AD74" s="9"/>
      <c r="AE74" s="9"/>
      <c r="AF74" s="9"/>
      <c r="AG74" s="9"/>
      <c r="AH74" s="60"/>
      <c r="AI74" s="26"/>
      <c r="AJ74" s="60"/>
      <c r="AK74" s="9"/>
      <c r="AL74" s="9"/>
    </row>
    <row r="75" spans="1:38" s="6" customFormat="1" ht="12.6" customHeight="1" x14ac:dyDescent="0.25">
      <c r="A75" s="61"/>
      <c r="B75" s="800" t="s">
        <v>465</v>
      </c>
      <c r="C75" s="801"/>
      <c r="D75" s="801"/>
      <c r="E75" s="802"/>
      <c r="F75" s="338"/>
      <c r="G75" s="438"/>
      <c r="H75" s="677"/>
      <c r="I75" s="441"/>
      <c r="J75" s="344"/>
      <c r="K75" s="443"/>
      <c r="L75" s="378">
        <v>2900</v>
      </c>
      <c r="M75" s="338">
        <f>+L75*$X$1</f>
        <v>2900</v>
      </c>
      <c r="N75" s="677">
        <v>2670</v>
      </c>
      <c r="O75" s="441">
        <f>+N75*$X$1</f>
        <v>2670</v>
      </c>
      <c r="P75" s="491">
        <v>2615</v>
      </c>
      <c r="Q75" s="405">
        <f>+P75*$X$1</f>
        <v>2615</v>
      </c>
      <c r="R75" s="677">
        <v>2590</v>
      </c>
      <c r="S75" s="438">
        <f>+R75*$X$1</f>
        <v>2590</v>
      </c>
      <c r="T75" s="677">
        <v>2420</v>
      </c>
      <c r="U75" s="338">
        <f>+T75*$X$1</f>
        <v>2420</v>
      </c>
      <c r="V75" s="676"/>
      <c r="W75" s="440"/>
      <c r="X75" s="1072"/>
      <c r="Y75" s="1073"/>
      <c r="Z75" s="1073"/>
      <c r="AA75" s="1073"/>
      <c r="AB75" s="208" t="s">
        <v>92</v>
      </c>
      <c r="AC75" s="9"/>
      <c r="AD75" s="9"/>
      <c r="AE75" s="9"/>
      <c r="AF75" s="9"/>
      <c r="AG75" s="9"/>
      <c r="AH75" s="60"/>
      <c r="AI75" s="60"/>
      <c r="AJ75" s="60"/>
      <c r="AK75" s="9"/>
      <c r="AL75" s="9"/>
    </row>
    <row r="76" spans="1:38" ht="12.6" customHeight="1" x14ac:dyDescent="0.2">
      <c r="A76" s="101"/>
      <c r="B76" s="115"/>
      <c r="C76" s="71"/>
      <c r="D76" s="71"/>
      <c r="E76" s="71"/>
      <c r="F76" s="199"/>
      <c r="G76" s="199"/>
      <c r="H76" s="199"/>
      <c r="I76" s="199"/>
      <c r="J76" s="199"/>
      <c r="K76" s="199"/>
      <c r="L76" s="116"/>
      <c r="M76" s="116"/>
      <c r="N76" s="117"/>
      <c r="O76" s="117"/>
      <c r="P76" s="117"/>
      <c r="Q76" s="118"/>
      <c r="R76" s="92"/>
      <c r="S76" s="67"/>
      <c r="T76" s="67"/>
      <c r="U76" s="67"/>
      <c r="V76" s="67"/>
      <c r="W76" s="67"/>
      <c r="X76" s="80"/>
      <c r="AB76" s="114"/>
    </row>
    <row r="77" spans="1:38" ht="12.6" customHeight="1" x14ac:dyDescent="0.2">
      <c r="A77" s="101"/>
      <c r="B77" s="115"/>
      <c r="C77" s="374"/>
      <c r="D77" s="374"/>
      <c r="E77" s="374"/>
      <c r="F77" s="265"/>
      <c r="G77" s="265"/>
      <c r="H77" s="265"/>
      <c r="I77" s="265"/>
      <c r="J77" s="265"/>
      <c r="K77" s="265"/>
      <c r="L77" s="116"/>
      <c r="M77" s="116"/>
      <c r="N77" s="117"/>
      <c r="O77" s="117"/>
      <c r="P77" s="117"/>
      <c r="Q77" s="118"/>
      <c r="R77" s="92"/>
      <c r="S77" s="67"/>
      <c r="T77" s="67"/>
      <c r="U77" s="67"/>
      <c r="V77" s="67"/>
      <c r="W77" s="67"/>
      <c r="X77" s="80"/>
      <c r="AB77" s="114"/>
    </row>
    <row r="78" spans="1:38" ht="12.6" customHeight="1" thickBot="1" x14ac:dyDescent="0.25">
      <c r="A78" s="101"/>
      <c r="B78" s="115"/>
      <c r="C78" s="266"/>
      <c r="D78" s="266"/>
      <c r="E78" s="266"/>
      <c r="F78" s="265"/>
      <c r="G78" s="265"/>
      <c r="H78" s="265"/>
      <c r="I78" s="265"/>
      <c r="J78" s="265"/>
      <c r="K78" s="265"/>
      <c r="L78" s="116"/>
      <c r="M78" s="116"/>
      <c r="N78" s="117"/>
      <c r="O78" s="117"/>
      <c r="P78" s="117"/>
      <c r="Q78" s="118"/>
      <c r="R78" s="92"/>
      <c r="S78" s="67"/>
      <c r="T78" s="67"/>
      <c r="U78" s="67"/>
      <c r="V78" s="67"/>
      <c r="W78" s="67"/>
      <c r="X78" s="80"/>
      <c r="AB78" s="114"/>
    </row>
    <row r="79" spans="1:38" ht="15.75" customHeight="1" x14ac:dyDescent="0.2">
      <c r="A79" s="20"/>
      <c r="B79" s="899" t="s">
        <v>11</v>
      </c>
      <c r="C79" s="734" t="s">
        <v>12</v>
      </c>
      <c r="D79" s="735"/>
      <c r="E79" s="735"/>
      <c r="F79" s="804" t="s">
        <v>13</v>
      </c>
      <c r="G79" s="804" t="s">
        <v>13</v>
      </c>
      <c r="H79" s="754" t="s">
        <v>14</v>
      </c>
      <c r="I79" s="754"/>
      <c r="J79" s="755"/>
      <c r="K79" s="755"/>
      <c r="L79" s="755"/>
      <c r="M79" s="755"/>
      <c r="N79" s="755"/>
      <c r="O79" s="755"/>
      <c r="P79" s="755"/>
      <c r="Q79" s="755"/>
      <c r="R79" s="755"/>
      <c r="S79" s="755"/>
      <c r="T79" s="755"/>
      <c r="U79" s="755"/>
      <c r="V79" s="755"/>
      <c r="W79" s="756"/>
      <c r="X79" s="746" t="s">
        <v>15</v>
      </c>
      <c r="Y79" s="746"/>
      <c r="Z79" s="746"/>
      <c r="AA79" s="746"/>
      <c r="AB79" s="743" t="s">
        <v>16</v>
      </c>
      <c r="AF79" s="741" t="s">
        <v>3</v>
      </c>
      <c r="AG79" s="742"/>
      <c r="AH79" s="742"/>
    </row>
    <row r="80" spans="1:38" ht="12" customHeight="1" thickBot="1" x14ac:dyDescent="0.25">
      <c r="A80" s="20"/>
      <c r="B80" s="900"/>
      <c r="C80" s="736"/>
      <c r="D80" s="736"/>
      <c r="E80" s="736"/>
      <c r="F80" s="805"/>
      <c r="G80" s="805"/>
      <c r="H80" s="292"/>
      <c r="I80" s="288" t="s">
        <v>310</v>
      </c>
      <c r="J80" s="292"/>
      <c r="K80" s="288" t="s">
        <v>18</v>
      </c>
      <c r="L80" s="293"/>
      <c r="M80" s="293" t="s">
        <v>19</v>
      </c>
      <c r="N80" s="293"/>
      <c r="O80" s="288" t="s">
        <v>20</v>
      </c>
      <c r="P80" s="294"/>
      <c r="Q80" s="293" t="s">
        <v>312</v>
      </c>
      <c r="R80" s="293"/>
      <c r="S80" s="293" t="s">
        <v>21</v>
      </c>
      <c r="T80" s="293"/>
      <c r="U80" s="293" t="s">
        <v>22</v>
      </c>
      <c r="V80" s="293"/>
      <c r="W80" s="295" t="s">
        <v>23</v>
      </c>
      <c r="X80" s="748"/>
      <c r="Y80" s="748"/>
      <c r="Z80" s="748"/>
      <c r="AA80" s="748"/>
      <c r="AB80" s="924"/>
    </row>
    <row r="81" spans="1:34" ht="12.6" customHeight="1" x14ac:dyDescent="0.2">
      <c r="A81" s="20"/>
      <c r="B81" s="701" t="s">
        <v>93</v>
      </c>
      <c r="C81" s="688"/>
      <c r="D81" s="688"/>
      <c r="E81" s="760"/>
      <c r="F81" s="771" t="s">
        <v>790</v>
      </c>
      <c r="G81" s="772"/>
      <c r="H81" s="772"/>
      <c r="I81" s="772"/>
      <c r="J81" s="304"/>
      <c r="K81" s="327"/>
      <c r="L81" s="359"/>
      <c r="M81" s="338"/>
      <c r="N81" s="486"/>
      <c r="O81" s="405"/>
      <c r="P81" s="329"/>
      <c r="Q81" s="405"/>
      <c r="R81" s="486"/>
      <c r="S81" s="338"/>
      <c r="T81" s="486"/>
      <c r="U81" s="338"/>
      <c r="V81" s="486"/>
      <c r="W81" s="338"/>
      <c r="X81" s="141"/>
      <c r="Y81" s="141"/>
      <c r="Z81" s="141"/>
      <c r="AA81" s="141"/>
      <c r="AB81" s="530" t="s">
        <v>94</v>
      </c>
      <c r="AC81" s="526" t="s">
        <v>95</v>
      </c>
      <c r="AD81" s="526" t="s">
        <v>96</v>
      </c>
      <c r="AE81" s="526" t="s">
        <v>97</v>
      </c>
      <c r="AF81" s="526" t="s">
        <v>98</v>
      </c>
      <c r="AG81" s="526" t="s">
        <v>99</v>
      </c>
    </row>
    <row r="82" spans="1:34" ht="12.6" customHeight="1" x14ac:dyDescent="0.2">
      <c r="A82" s="20"/>
      <c r="B82" s="708" t="s">
        <v>100</v>
      </c>
      <c r="C82" s="709"/>
      <c r="D82" s="709"/>
      <c r="E82" s="761"/>
      <c r="F82" s="773"/>
      <c r="G82" s="774"/>
      <c r="H82" s="774"/>
      <c r="I82" s="774"/>
      <c r="J82" s="19"/>
      <c r="K82" s="333"/>
      <c r="L82" s="360"/>
      <c r="M82" s="337"/>
      <c r="N82" s="492"/>
      <c r="O82" s="371"/>
      <c r="P82" s="330"/>
      <c r="Q82" s="365"/>
      <c r="R82" s="492"/>
      <c r="S82" s="299"/>
      <c r="T82" s="492"/>
      <c r="U82" s="337"/>
      <c r="V82" s="119"/>
      <c r="W82" s="337"/>
      <c r="X82" s="145"/>
      <c r="Y82" s="145"/>
      <c r="Z82" s="145"/>
      <c r="AA82" s="145"/>
      <c r="AB82" s="530" t="s">
        <v>101</v>
      </c>
      <c r="AC82" s="526" t="s">
        <v>102</v>
      </c>
      <c r="AD82" s="526" t="s">
        <v>103</v>
      </c>
      <c r="AE82" s="526" t="s">
        <v>104</v>
      </c>
      <c r="AF82" s="526" t="s">
        <v>105</v>
      </c>
      <c r="AG82" s="526" t="s">
        <v>106</v>
      </c>
      <c r="AH82" s="526" t="s">
        <v>107</v>
      </c>
    </row>
    <row r="83" spans="1:34" ht="12.6" customHeight="1" x14ac:dyDescent="0.25">
      <c r="A83" s="20"/>
      <c r="B83" s="701" t="s">
        <v>108</v>
      </c>
      <c r="C83" s="688"/>
      <c r="D83" s="688"/>
      <c r="E83" s="760"/>
      <c r="F83" s="773"/>
      <c r="G83" s="774"/>
      <c r="H83" s="774"/>
      <c r="I83" s="774"/>
      <c r="J83" s="304"/>
      <c r="K83" s="327"/>
      <c r="L83" s="359"/>
      <c r="M83" s="338"/>
      <c r="N83" s="486"/>
      <c r="O83" s="370"/>
      <c r="P83" s="329"/>
      <c r="Q83" s="405"/>
      <c r="R83" s="486"/>
      <c r="S83" s="363"/>
      <c r="T83" s="486"/>
      <c r="U83" s="338"/>
      <c r="V83" s="486"/>
      <c r="W83" s="338"/>
      <c r="X83" s="779"/>
      <c r="Y83" s="780"/>
      <c r="Z83" s="780"/>
      <c r="AA83" s="201"/>
      <c r="AB83" s="530" t="s">
        <v>109</v>
      </c>
      <c r="AC83" s="526" t="s">
        <v>110</v>
      </c>
      <c r="AD83" s="526" t="s">
        <v>111</v>
      </c>
      <c r="AE83" s="526" t="s">
        <v>112</v>
      </c>
      <c r="AF83" s="526" t="s">
        <v>113</v>
      </c>
      <c r="AG83" s="531" t="s">
        <v>114</v>
      </c>
      <c r="AH83" s="526" t="s">
        <v>115</v>
      </c>
    </row>
    <row r="84" spans="1:34" ht="12.6" customHeight="1" x14ac:dyDescent="0.25">
      <c r="A84" s="20"/>
      <c r="B84" s="708" t="s">
        <v>116</v>
      </c>
      <c r="C84" s="709"/>
      <c r="D84" s="709"/>
      <c r="E84" s="761"/>
      <c r="F84" s="773"/>
      <c r="G84" s="774"/>
      <c r="H84" s="774"/>
      <c r="I84" s="774"/>
      <c r="J84" s="19"/>
      <c r="K84" s="333"/>
      <c r="L84" s="360"/>
      <c r="M84" s="337"/>
      <c r="N84" s="119"/>
      <c r="O84" s="371"/>
      <c r="P84" s="330"/>
      <c r="Q84" s="365"/>
      <c r="R84" s="119"/>
      <c r="S84" s="299"/>
      <c r="T84" s="119"/>
      <c r="U84" s="337"/>
      <c r="V84" s="119"/>
      <c r="W84" s="337"/>
      <c r="X84" s="779"/>
      <c r="Y84" s="780"/>
      <c r="Z84" s="780"/>
      <c r="AA84" s="201"/>
      <c r="AB84" s="530" t="s">
        <v>117</v>
      </c>
      <c r="AC84" s="532" t="s">
        <v>118</v>
      </c>
      <c r="AD84" s="532" t="s">
        <v>119</v>
      </c>
      <c r="AE84" s="532" t="s">
        <v>120</v>
      </c>
      <c r="AF84" s="532" t="s">
        <v>121</v>
      </c>
      <c r="AG84" s="32"/>
    </row>
    <row r="85" spans="1:34" ht="12.6" customHeight="1" x14ac:dyDescent="0.2">
      <c r="A85" s="20"/>
      <c r="B85" s="701" t="s">
        <v>122</v>
      </c>
      <c r="C85" s="688"/>
      <c r="D85" s="688"/>
      <c r="E85" s="760"/>
      <c r="F85" s="773"/>
      <c r="G85" s="774"/>
      <c r="H85" s="774"/>
      <c r="I85" s="774"/>
      <c r="J85" s="304"/>
      <c r="K85" s="327"/>
      <c r="L85" s="359"/>
      <c r="M85" s="338"/>
      <c r="N85" s="486"/>
      <c r="O85" s="370"/>
      <c r="P85" s="329"/>
      <c r="Q85" s="405"/>
      <c r="R85" s="486"/>
      <c r="S85" s="363"/>
      <c r="T85" s="486"/>
      <c r="U85" s="338"/>
      <c r="V85" s="486"/>
      <c r="W85" s="338"/>
      <c r="X85" s="162"/>
      <c r="Y85" s="162"/>
      <c r="Z85" s="162"/>
      <c r="AA85" s="162"/>
      <c r="AB85" s="33" t="s">
        <v>123</v>
      </c>
      <c r="AC85" s="526" t="s">
        <v>124</v>
      </c>
      <c r="AD85" s="526" t="s">
        <v>125</v>
      </c>
      <c r="AE85" s="526" t="s">
        <v>126</v>
      </c>
      <c r="AF85" s="526" t="s">
        <v>127</v>
      </c>
      <c r="AG85" s="526" t="s">
        <v>128</v>
      </c>
    </row>
    <row r="86" spans="1:34" ht="12.6" customHeight="1" x14ac:dyDescent="0.2">
      <c r="A86" s="20"/>
      <c r="B86" s="708" t="s">
        <v>129</v>
      </c>
      <c r="C86" s="709"/>
      <c r="D86" s="709"/>
      <c r="E86" s="761"/>
      <c r="F86" s="773"/>
      <c r="G86" s="774"/>
      <c r="H86" s="774"/>
      <c r="I86" s="774"/>
      <c r="J86" s="19"/>
      <c r="K86" s="333"/>
      <c r="L86" s="360"/>
      <c r="M86" s="337"/>
      <c r="N86" s="119"/>
      <c r="O86" s="371"/>
      <c r="P86" s="330"/>
      <c r="Q86" s="365"/>
      <c r="R86" s="119"/>
      <c r="S86" s="299"/>
      <c r="T86" s="119"/>
      <c r="U86" s="337"/>
      <c r="V86" s="119"/>
      <c r="W86" s="337"/>
      <c r="X86" s="162"/>
      <c r="Y86" s="162"/>
      <c r="Z86" s="162"/>
      <c r="AA86" s="162"/>
      <c r="AB86" s="33" t="s">
        <v>130</v>
      </c>
      <c r="AC86" s="532" t="s">
        <v>131</v>
      </c>
      <c r="AD86" s="532" t="s">
        <v>132</v>
      </c>
      <c r="AE86" s="532" t="s">
        <v>133</v>
      </c>
    </row>
    <row r="87" spans="1:34" ht="12.6" customHeight="1" x14ac:dyDescent="0.25">
      <c r="A87" s="20"/>
      <c r="B87" s="701" t="s">
        <v>134</v>
      </c>
      <c r="C87" s="688"/>
      <c r="D87" s="688"/>
      <c r="E87" s="760"/>
      <c r="F87" s="773"/>
      <c r="G87" s="774"/>
      <c r="H87" s="774"/>
      <c r="I87" s="774"/>
      <c r="J87" s="304"/>
      <c r="K87" s="327"/>
      <c r="L87" s="359"/>
      <c r="M87" s="338"/>
      <c r="N87" s="486"/>
      <c r="O87" s="370"/>
      <c r="P87" s="329"/>
      <c r="Q87" s="405"/>
      <c r="R87" s="486"/>
      <c r="S87" s="363"/>
      <c r="T87" s="486"/>
      <c r="U87" s="338"/>
      <c r="V87" s="486"/>
      <c r="W87" s="338"/>
      <c r="X87" s="779"/>
      <c r="Y87" s="780"/>
      <c r="Z87" s="780"/>
      <c r="AA87" s="201"/>
      <c r="AB87" s="33" t="s">
        <v>135</v>
      </c>
      <c r="AC87" s="526" t="s">
        <v>136</v>
      </c>
      <c r="AD87" s="526" t="s">
        <v>137</v>
      </c>
      <c r="AE87" s="526" t="s">
        <v>138</v>
      </c>
      <c r="AF87" s="526" t="s">
        <v>139</v>
      </c>
      <c r="AG87" s="526" t="s">
        <v>140</v>
      </c>
      <c r="AH87" s="526" t="s">
        <v>141</v>
      </c>
    </row>
    <row r="88" spans="1:34" ht="12.6" customHeight="1" x14ac:dyDescent="0.25">
      <c r="A88" s="20"/>
      <c r="B88" s="708" t="s">
        <v>142</v>
      </c>
      <c r="C88" s="709"/>
      <c r="D88" s="709"/>
      <c r="E88" s="761"/>
      <c r="F88" s="773"/>
      <c r="G88" s="774"/>
      <c r="H88" s="774"/>
      <c r="I88" s="774"/>
      <c r="J88" s="19"/>
      <c r="K88" s="333"/>
      <c r="L88" s="360"/>
      <c r="M88" s="337"/>
      <c r="N88" s="119"/>
      <c r="O88" s="371"/>
      <c r="P88" s="330"/>
      <c r="Q88" s="365"/>
      <c r="R88" s="119"/>
      <c r="S88" s="299"/>
      <c r="T88" s="119"/>
      <c r="U88" s="337"/>
      <c r="V88" s="119"/>
      <c r="W88" s="337"/>
      <c r="X88" s="779"/>
      <c r="Y88" s="780"/>
      <c r="Z88" s="780"/>
      <c r="AA88" s="201"/>
      <c r="AB88" s="528" t="s">
        <v>143</v>
      </c>
      <c r="AC88" s="68"/>
      <c r="AD88" s="68"/>
      <c r="AE88" s="68"/>
      <c r="AF88" s="68"/>
      <c r="AG88" s="68"/>
    </row>
    <row r="89" spans="1:34" ht="12.6" customHeight="1" x14ac:dyDescent="0.2">
      <c r="A89" s="20"/>
      <c r="B89" s="701" t="s">
        <v>144</v>
      </c>
      <c r="C89" s="688"/>
      <c r="D89" s="688"/>
      <c r="E89" s="760"/>
      <c r="F89" s="773"/>
      <c r="G89" s="774"/>
      <c r="H89" s="774"/>
      <c r="I89" s="774"/>
      <c r="J89" s="304"/>
      <c r="K89" s="327"/>
      <c r="L89" s="359"/>
      <c r="M89" s="338"/>
      <c r="N89" s="486"/>
      <c r="O89" s="370"/>
      <c r="P89" s="329"/>
      <c r="Q89" s="405"/>
      <c r="R89" s="486"/>
      <c r="S89" s="363"/>
      <c r="T89" s="486"/>
      <c r="U89" s="338"/>
      <c r="V89" s="486"/>
      <c r="W89" s="338"/>
      <c r="X89" s="161"/>
      <c r="Y89" s="161"/>
      <c r="Z89" s="161"/>
      <c r="AA89" s="161"/>
      <c r="AB89" s="526" t="s">
        <v>145</v>
      </c>
      <c r="AC89" s="68"/>
      <c r="AD89" s="68"/>
      <c r="AE89" s="68"/>
      <c r="AF89" s="68"/>
      <c r="AG89" s="68"/>
    </row>
    <row r="90" spans="1:34" ht="12.6" customHeight="1" x14ac:dyDescent="0.2">
      <c r="A90" s="20"/>
      <c r="B90" s="708" t="s">
        <v>146</v>
      </c>
      <c r="C90" s="709"/>
      <c r="D90" s="709"/>
      <c r="E90" s="761"/>
      <c r="F90" s="773"/>
      <c r="G90" s="774"/>
      <c r="H90" s="774"/>
      <c r="I90" s="774"/>
      <c r="J90" s="19"/>
      <c r="K90" s="333"/>
      <c r="L90" s="360"/>
      <c r="M90" s="337"/>
      <c r="N90" s="119"/>
      <c r="O90" s="371"/>
      <c r="P90" s="330"/>
      <c r="Q90" s="371"/>
      <c r="R90" s="119"/>
      <c r="S90" s="371"/>
      <c r="T90" s="119"/>
      <c r="U90" s="337"/>
      <c r="V90" s="119"/>
      <c r="W90" s="337"/>
      <c r="X90" s="161"/>
      <c r="Y90" s="161"/>
      <c r="Z90" s="161"/>
      <c r="AA90" s="161"/>
      <c r="AB90" s="526" t="s">
        <v>147</v>
      </c>
      <c r="AC90" s="68"/>
      <c r="AD90" s="68"/>
      <c r="AE90" s="68"/>
      <c r="AF90" s="68"/>
      <c r="AG90" s="68"/>
    </row>
    <row r="91" spans="1:34" ht="12.6" customHeight="1" x14ac:dyDescent="0.2">
      <c r="A91" s="20"/>
      <c r="B91" s="701" t="s">
        <v>148</v>
      </c>
      <c r="C91" s="688"/>
      <c r="D91" s="688"/>
      <c r="E91" s="760"/>
      <c r="F91" s="775"/>
      <c r="G91" s="776"/>
      <c r="H91" s="776"/>
      <c r="I91" s="776"/>
      <c r="J91" s="304"/>
      <c r="K91" s="327"/>
      <c r="L91" s="359"/>
      <c r="M91" s="338"/>
      <c r="N91" s="486"/>
      <c r="O91" s="426"/>
      <c r="P91" s="329"/>
      <c r="Q91" s="405"/>
      <c r="R91" s="99"/>
      <c r="S91" s="419"/>
      <c r="T91" s="486"/>
      <c r="U91" s="338"/>
      <c r="V91" s="486"/>
      <c r="W91" s="338"/>
      <c r="X91" s="141"/>
      <c r="Y91" s="141"/>
      <c r="Z91" s="141"/>
      <c r="AA91" s="141"/>
      <c r="AB91" s="529" t="s">
        <v>149</v>
      </c>
      <c r="AC91" s="526" t="s">
        <v>150</v>
      </c>
      <c r="AD91" s="526" t="s">
        <v>151</v>
      </c>
      <c r="AE91" s="526" t="s">
        <v>152</v>
      </c>
      <c r="AF91" s="526" t="s">
        <v>153</v>
      </c>
      <c r="AG91" s="526" t="s">
        <v>154</v>
      </c>
    </row>
    <row r="92" spans="1:34" ht="12.6" customHeight="1" x14ac:dyDescent="0.2">
      <c r="A92" s="20"/>
      <c r="B92" s="708" t="s">
        <v>580</v>
      </c>
      <c r="C92" s="709"/>
      <c r="D92" s="709"/>
      <c r="E92" s="709"/>
      <c r="F92" s="435"/>
      <c r="G92" s="365"/>
      <c r="H92" s="75"/>
      <c r="I92" s="393"/>
      <c r="J92" s="375"/>
      <c r="K92" s="337"/>
      <c r="L92" s="375"/>
      <c r="M92" s="337"/>
      <c r="N92" s="375"/>
      <c r="O92" s="337"/>
      <c r="P92" s="375"/>
      <c r="Q92" s="337"/>
      <c r="R92" s="375"/>
      <c r="S92" s="337"/>
      <c r="T92" s="375"/>
      <c r="U92" s="337"/>
      <c r="V92" s="375"/>
      <c r="W92" s="337"/>
      <c r="X92" s="173"/>
      <c r="Y92" s="145"/>
      <c r="Z92" s="145"/>
      <c r="AA92" s="148"/>
      <c r="AB92" s="172"/>
    </row>
    <row r="93" spans="1:34" ht="12.6" customHeight="1" x14ac:dyDescent="0.2">
      <c r="A93" s="20"/>
      <c r="B93" s="701" t="s">
        <v>544</v>
      </c>
      <c r="C93" s="688"/>
      <c r="D93" s="688"/>
      <c r="E93" s="688"/>
      <c r="F93" s="338"/>
      <c r="G93" s="405"/>
      <c r="H93" s="304"/>
      <c r="I93" s="343"/>
      <c r="J93" s="456"/>
      <c r="K93" s="338"/>
      <c r="L93" s="486"/>
      <c r="M93" s="338"/>
      <c r="N93" s="486"/>
      <c r="O93" s="338"/>
      <c r="P93" s="486"/>
      <c r="Q93" s="338"/>
      <c r="R93" s="486"/>
      <c r="S93" s="338"/>
      <c r="T93" s="486"/>
      <c r="U93" s="338"/>
      <c r="V93" s="93"/>
      <c r="W93" s="414"/>
      <c r="X93" s="173"/>
      <c r="Y93" s="145"/>
      <c r="Z93" s="145"/>
      <c r="AA93" s="148"/>
      <c r="AB93" s="527">
        <v>117</v>
      </c>
    </row>
    <row r="94" spans="1:34" ht="12.6" customHeight="1" x14ac:dyDescent="0.2">
      <c r="A94" s="20"/>
      <c r="B94" s="703" t="s">
        <v>564</v>
      </c>
      <c r="C94" s="706"/>
      <c r="D94" s="706"/>
      <c r="E94" s="707"/>
      <c r="F94" s="337"/>
      <c r="G94" s="365"/>
      <c r="H94" s="307"/>
      <c r="I94" s="328"/>
      <c r="J94" s="375"/>
      <c r="K94" s="337"/>
      <c r="L94" s="375"/>
      <c r="M94" s="337"/>
      <c r="N94" s="375"/>
      <c r="O94" s="337"/>
      <c r="P94" s="375"/>
      <c r="Q94" s="337"/>
      <c r="R94" s="375"/>
      <c r="S94" s="337"/>
      <c r="T94" s="375"/>
      <c r="U94" s="337"/>
      <c r="V94" s="75"/>
      <c r="W94" s="415"/>
      <c r="X94" s="173"/>
      <c r="Y94" s="145"/>
      <c r="Z94" s="145"/>
      <c r="AA94" s="148"/>
      <c r="AB94" s="527"/>
    </row>
    <row r="95" spans="1:34" ht="12.6" customHeight="1" x14ac:dyDescent="0.2">
      <c r="A95" s="20"/>
      <c r="B95" s="701" t="s">
        <v>545</v>
      </c>
      <c r="C95" s="688"/>
      <c r="D95" s="688"/>
      <c r="E95" s="688"/>
      <c r="F95" s="338"/>
      <c r="G95" s="405"/>
      <c r="H95" s="304"/>
      <c r="I95" s="327"/>
      <c r="J95" s="456"/>
      <c r="K95" s="338"/>
      <c r="L95" s="468"/>
      <c r="M95" s="338"/>
      <c r="N95" s="468"/>
      <c r="O95" s="338"/>
      <c r="P95" s="468"/>
      <c r="Q95" s="338"/>
      <c r="R95" s="468"/>
      <c r="S95" s="338"/>
      <c r="T95" s="468"/>
      <c r="U95" s="338"/>
      <c r="V95" s="93"/>
      <c r="W95" s="414"/>
      <c r="X95" s="173"/>
      <c r="Y95" s="145"/>
      <c r="Z95" s="145"/>
      <c r="AA95" s="148"/>
      <c r="AB95" s="527">
        <v>129</v>
      </c>
    </row>
    <row r="96" spans="1:34" ht="12.6" customHeight="1" x14ac:dyDescent="0.2">
      <c r="A96" s="111"/>
      <c r="B96" s="715" t="s">
        <v>455</v>
      </c>
      <c r="C96" s="939"/>
      <c r="D96" s="939"/>
      <c r="E96" s="939"/>
      <c r="F96" s="403">
        <v>480</v>
      </c>
      <c r="G96" s="436">
        <f t="shared" ref="G96:G101" si="177">+F96*$X$1</f>
        <v>480</v>
      </c>
      <c r="H96" s="305"/>
      <c r="I96" s="334"/>
      <c r="J96" s="273">
        <f t="shared" ref="J96:J104" si="178">F96+120</f>
        <v>600</v>
      </c>
      <c r="K96" s="470">
        <f>+J96*$X$1</f>
        <v>600</v>
      </c>
      <c r="L96" s="122">
        <f>F96+74</f>
        <v>554</v>
      </c>
      <c r="M96" s="470">
        <f t="shared" ref="M96:M97" si="179">+L96*$X$1</f>
        <v>554</v>
      </c>
      <c r="N96" s="110">
        <f>F96+7.2</f>
        <v>487.2</v>
      </c>
      <c r="O96" s="824" t="s">
        <v>155</v>
      </c>
      <c r="P96" s="825"/>
      <c r="Q96" s="825"/>
      <c r="R96" s="825"/>
      <c r="S96" s="825"/>
      <c r="T96" s="825"/>
      <c r="U96" s="825"/>
      <c r="V96" s="825"/>
      <c r="W96" s="825"/>
      <c r="X96" s="174"/>
      <c r="Y96" s="145"/>
      <c r="Z96" s="145"/>
      <c r="AA96" s="148"/>
      <c r="AB96" s="533">
        <v>247</v>
      </c>
    </row>
    <row r="97" spans="1:30" ht="12.6" customHeight="1" x14ac:dyDescent="0.2">
      <c r="A97" s="101"/>
      <c r="B97" s="795" t="s">
        <v>581</v>
      </c>
      <c r="C97" s="796"/>
      <c r="D97" s="796"/>
      <c r="E97" s="797"/>
      <c r="F97" s="473">
        <f>2.631*X2</f>
        <v>2431.0439999999999</v>
      </c>
      <c r="G97" s="370">
        <f>+F97*$X$1</f>
        <v>2431.0439999999999</v>
      </c>
      <c r="H97" s="327"/>
      <c r="I97" s="327"/>
      <c r="J97" s="93">
        <f t="shared" si="178"/>
        <v>2551.0439999999999</v>
      </c>
      <c r="K97" s="338">
        <f t="shared" ref="K97" si="180">+J97*$X$1</f>
        <v>2551.0439999999999</v>
      </c>
      <c r="L97" s="584">
        <f>F97+74</f>
        <v>2505.0439999999999</v>
      </c>
      <c r="M97" s="338">
        <f t="shared" si="179"/>
        <v>2505.0439999999999</v>
      </c>
      <c r="N97" s="584">
        <f>F97+46</f>
        <v>2477.0439999999999</v>
      </c>
      <c r="O97" s="338">
        <f t="shared" ref="O97" si="181">+N97*$X$1</f>
        <v>2477.0439999999999</v>
      </c>
      <c r="P97" s="584">
        <f>F97+42</f>
        <v>2473.0439999999999</v>
      </c>
      <c r="Q97" s="338">
        <f t="shared" ref="Q97" si="182">+P97*$X$1</f>
        <v>2473.0439999999999</v>
      </c>
      <c r="R97" s="584">
        <f>F97+35</f>
        <v>2466.0439999999999</v>
      </c>
      <c r="S97" s="338">
        <f t="shared" ref="S97" si="183">+R97*$X$1</f>
        <v>2466.0439999999999</v>
      </c>
      <c r="T97" s="584">
        <f>F97+29</f>
        <v>2460.0439999999999</v>
      </c>
      <c r="U97" s="338">
        <f t="shared" ref="U97" si="184">+T97*$X$1</f>
        <v>2460.0439999999999</v>
      </c>
      <c r="V97" s="584">
        <f>F97+24</f>
        <v>2455.0439999999999</v>
      </c>
      <c r="W97" s="338">
        <f t="shared" ref="W97" si="185">+V97*$X$1</f>
        <v>2455.0439999999999</v>
      </c>
      <c r="X97" s="174"/>
      <c r="Y97" s="145"/>
      <c r="Z97" s="145"/>
      <c r="AA97" s="148"/>
      <c r="AB97" s="533">
        <v>249</v>
      </c>
    </row>
    <row r="98" spans="1:30" ht="12.6" customHeight="1" x14ac:dyDescent="0.2">
      <c r="A98" s="111"/>
      <c r="B98" s="930" t="s">
        <v>454</v>
      </c>
      <c r="C98" s="897"/>
      <c r="D98" s="897"/>
      <c r="E98" s="897"/>
      <c r="F98" s="402">
        <v>40</v>
      </c>
      <c r="G98" s="437">
        <f t="shared" si="177"/>
        <v>40</v>
      </c>
      <c r="H98" s="342"/>
      <c r="I98" s="342"/>
      <c r="J98" s="109">
        <f t="shared" si="178"/>
        <v>160</v>
      </c>
      <c r="K98" s="402">
        <f t="shared" ref="K98" si="186">+J98*$X$1</f>
        <v>160</v>
      </c>
      <c r="L98" s="585">
        <f>F98+74</f>
        <v>114</v>
      </c>
      <c r="M98" s="402">
        <f t="shared" ref="M98" si="187">+L98*$X$1</f>
        <v>114</v>
      </c>
      <c r="N98" s="585">
        <f>F98+46</f>
        <v>86</v>
      </c>
      <c r="O98" s="402">
        <f t="shared" ref="O98" si="188">+N98*$X$1</f>
        <v>86</v>
      </c>
      <c r="P98" s="585">
        <f>F98+42</f>
        <v>82</v>
      </c>
      <c r="Q98" s="402">
        <f t="shared" ref="Q98" si="189">+P98*$X$1</f>
        <v>82</v>
      </c>
      <c r="R98" s="585">
        <f>F98+35</f>
        <v>75</v>
      </c>
      <c r="S98" s="402">
        <f t="shared" ref="S98" si="190">+R98*$X$1</f>
        <v>75</v>
      </c>
      <c r="T98" s="585">
        <f>F98+29</f>
        <v>69</v>
      </c>
      <c r="U98" s="402">
        <f t="shared" ref="U98" si="191">+T98*$X$1</f>
        <v>69</v>
      </c>
      <c r="V98" s="585">
        <f>F98+24</f>
        <v>64</v>
      </c>
      <c r="W98" s="402">
        <f t="shared" ref="W98" si="192">+V98*$X$1</f>
        <v>64</v>
      </c>
      <c r="X98" s="175"/>
      <c r="Y98" s="145"/>
      <c r="Z98" s="145"/>
      <c r="AA98" s="148"/>
      <c r="AB98" s="534">
        <v>251</v>
      </c>
    </row>
    <row r="99" spans="1:30" ht="12.6" customHeight="1" x14ac:dyDescent="0.2">
      <c r="A99" s="20"/>
      <c r="B99" s="701" t="s">
        <v>418</v>
      </c>
      <c r="C99" s="688"/>
      <c r="D99" s="688"/>
      <c r="E99" s="688"/>
      <c r="F99" s="338">
        <v>690</v>
      </c>
      <c r="G99" s="338">
        <f t="shared" si="177"/>
        <v>690</v>
      </c>
      <c r="H99" s="327"/>
      <c r="I99" s="327"/>
      <c r="J99" s="125">
        <f t="shared" si="178"/>
        <v>810</v>
      </c>
      <c r="K99" s="338">
        <f t="shared" ref="K99:K100" si="193">+J99*$X$1</f>
        <v>810</v>
      </c>
      <c r="L99" s="677"/>
      <c r="M99" s="677"/>
      <c r="N99" s="677">
        <f>F99+23</f>
        <v>713</v>
      </c>
      <c r="O99" s="677"/>
      <c r="P99" s="327"/>
      <c r="Q99" s="327"/>
      <c r="R99" s="677">
        <f>F99+15</f>
        <v>705</v>
      </c>
      <c r="S99" s="677"/>
      <c r="T99" s="677">
        <f>F99+12</f>
        <v>702</v>
      </c>
      <c r="U99" s="677"/>
      <c r="V99" s="677">
        <f>F99+10</f>
        <v>700</v>
      </c>
      <c r="W99" s="677"/>
      <c r="X99" s="175"/>
      <c r="Y99" s="145"/>
      <c r="Z99" s="145"/>
      <c r="AA99" s="148"/>
      <c r="AB99" s="534" t="s">
        <v>156</v>
      </c>
    </row>
    <row r="100" spans="1:30" ht="12.6" customHeight="1" x14ac:dyDescent="0.2">
      <c r="A100" s="20"/>
      <c r="B100" s="703" t="s">
        <v>569</v>
      </c>
      <c r="C100" s="749"/>
      <c r="D100" s="749"/>
      <c r="E100" s="750"/>
      <c r="F100" s="472">
        <f>12.097*X2</f>
        <v>11177.627999999999</v>
      </c>
      <c r="G100" s="337">
        <f t="shared" si="177"/>
        <v>11177.627999999999</v>
      </c>
      <c r="H100" s="75">
        <f>F100+290</f>
        <v>11467.627999999999</v>
      </c>
      <c r="I100" s="337">
        <f>+H100*$X$1</f>
        <v>11467.627999999999</v>
      </c>
      <c r="J100" s="75">
        <f t="shared" si="178"/>
        <v>11297.627999999999</v>
      </c>
      <c r="K100" s="337">
        <f t="shared" si="193"/>
        <v>11297.627999999999</v>
      </c>
      <c r="L100" s="375">
        <f>F100+74</f>
        <v>11251.627999999999</v>
      </c>
      <c r="M100" s="337">
        <f t="shared" ref="M100" si="194">+L100*$X$1</f>
        <v>11251.627999999999</v>
      </c>
      <c r="N100" s="375">
        <f>F100+46</f>
        <v>11223.627999999999</v>
      </c>
      <c r="O100" s="337">
        <f t="shared" ref="O100" si="195">+N100*$X$1</f>
        <v>11223.627999999999</v>
      </c>
      <c r="P100" s="375">
        <f>F100+42</f>
        <v>11219.627999999999</v>
      </c>
      <c r="Q100" s="337">
        <f t="shared" ref="Q100" si="196">+P100*$X$1</f>
        <v>11219.627999999999</v>
      </c>
      <c r="R100" s="375">
        <f>F100+35</f>
        <v>11212.627999999999</v>
      </c>
      <c r="S100" s="337">
        <f t="shared" ref="S100" si="197">+R100*$X$1</f>
        <v>11212.627999999999</v>
      </c>
      <c r="T100" s="375">
        <f>F100+29</f>
        <v>11206.627999999999</v>
      </c>
      <c r="U100" s="337">
        <f t="shared" ref="U100" si="198">+T100*$X$1</f>
        <v>11206.627999999999</v>
      </c>
      <c r="V100" s="375">
        <f>F100+24</f>
        <v>11201.627999999999</v>
      </c>
      <c r="W100" s="337">
        <f t="shared" ref="W100" si="199">+V100*$X$1</f>
        <v>11201.627999999999</v>
      </c>
      <c r="X100" s="176"/>
      <c r="Y100" s="145"/>
      <c r="Z100" s="145"/>
      <c r="AA100" s="148"/>
      <c r="AB100" s="534">
        <v>268</v>
      </c>
    </row>
    <row r="101" spans="1:30" ht="12.6" customHeight="1" x14ac:dyDescent="0.2">
      <c r="A101" s="20"/>
      <c r="B101" s="701" t="s">
        <v>776</v>
      </c>
      <c r="C101" s="688"/>
      <c r="D101" s="688"/>
      <c r="E101" s="688"/>
      <c r="F101" s="473">
        <f>4.502*X2</f>
        <v>4159.848</v>
      </c>
      <c r="G101" s="338">
        <f t="shared" si="177"/>
        <v>4159.848</v>
      </c>
      <c r="H101" s="93">
        <f>F101+290</f>
        <v>4449.848</v>
      </c>
      <c r="I101" s="338">
        <f>+H101*$X$1</f>
        <v>4449.848</v>
      </c>
      <c r="J101" s="93">
        <f t="shared" si="178"/>
        <v>4279.848</v>
      </c>
      <c r="K101" s="338">
        <f t="shared" ref="K101:K104" si="200">+J101*$X$1</f>
        <v>4279.848</v>
      </c>
      <c r="L101" s="677">
        <f>F101+74</f>
        <v>4233.848</v>
      </c>
      <c r="M101" s="338">
        <f t="shared" ref="M101:M104" si="201">+L101*$X$1</f>
        <v>4233.848</v>
      </c>
      <c r="N101" s="677">
        <f>F101+46</f>
        <v>4205.848</v>
      </c>
      <c r="O101" s="338">
        <f t="shared" ref="O101:O104" si="202">+N101*$X$1</f>
        <v>4205.848</v>
      </c>
      <c r="P101" s="677">
        <f>F101+42</f>
        <v>4201.848</v>
      </c>
      <c r="Q101" s="338">
        <f t="shared" ref="Q101:Q104" si="203">+P101*$X$1</f>
        <v>4201.848</v>
      </c>
      <c r="R101" s="677">
        <f>F101+35</f>
        <v>4194.848</v>
      </c>
      <c r="S101" s="338">
        <f t="shared" ref="S101:S104" si="204">+R101*$X$1</f>
        <v>4194.848</v>
      </c>
      <c r="T101" s="677">
        <f>F101+29</f>
        <v>4188.848</v>
      </c>
      <c r="U101" s="338">
        <f t="shared" ref="U101:U104" si="205">+T101*$X$1</f>
        <v>4188.848</v>
      </c>
      <c r="V101" s="677">
        <f>F101+24</f>
        <v>4183.848</v>
      </c>
      <c r="W101" s="338">
        <f t="shared" ref="W101:W104" si="206">+V101*$X$1</f>
        <v>4183.848</v>
      </c>
      <c r="X101" s="176"/>
      <c r="Y101" s="149"/>
      <c r="Z101" s="145"/>
      <c r="AA101" s="148"/>
      <c r="AB101" s="534">
        <v>270</v>
      </c>
      <c r="AC101" s="32"/>
    </row>
    <row r="102" spans="1:30" ht="12.6" customHeight="1" x14ac:dyDescent="0.2">
      <c r="A102" s="20"/>
      <c r="B102" s="708" t="s">
        <v>157</v>
      </c>
      <c r="C102" s="709"/>
      <c r="D102" s="709"/>
      <c r="E102" s="709"/>
      <c r="F102" s="472">
        <f>14.042*X2</f>
        <v>12974.807999999999</v>
      </c>
      <c r="G102" s="337">
        <f t="shared" ref="G102:G104" si="207">+F102*$X$1</f>
        <v>12974.807999999999</v>
      </c>
      <c r="H102" s="75">
        <f>F102+290</f>
        <v>13264.807999999999</v>
      </c>
      <c r="I102" s="337">
        <f>+H102*$X$1</f>
        <v>13264.807999999999</v>
      </c>
      <c r="J102" s="75">
        <f t="shared" si="178"/>
        <v>13094.807999999999</v>
      </c>
      <c r="K102" s="337">
        <f t="shared" si="200"/>
        <v>13094.807999999999</v>
      </c>
      <c r="L102" s="375">
        <f>F102+74</f>
        <v>13048.807999999999</v>
      </c>
      <c r="M102" s="337">
        <f t="shared" si="201"/>
        <v>13048.807999999999</v>
      </c>
      <c r="N102" s="375">
        <f>F102+46</f>
        <v>13020.807999999999</v>
      </c>
      <c r="O102" s="337">
        <f t="shared" si="202"/>
        <v>13020.807999999999</v>
      </c>
      <c r="P102" s="375">
        <f>F102+42</f>
        <v>13016.807999999999</v>
      </c>
      <c r="Q102" s="337">
        <f t="shared" si="203"/>
        <v>13016.807999999999</v>
      </c>
      <c r="R102" s="375">
        <f>F102+35</f>
        <v>13009.807999999999</v>
      </c>
      <c r="S102" s="337">
        <f t="shared" si="204"/>
        <v>13009.807999999999</v>
      </c>
      <c r="T102" s="375">
        <f>F102+29</f>
        <v>13003.807999999999</v>
      </c>
      <c r="U102" s="337">
        <f t="shared" si="205"/>
        <v>13003.807999999999</v>
      </c>
      <c r="V102" s="375">
        <f>F102+24</f>
        <v>12998.807999999999</v>
      </c>
      <c r="W102" s="337">
        <f t="shared" si="206"/>
        <v>12998.807999999999</v>
      </c>
      <c r="X102" s="175"/>
      <c r="Y102" s="145"/>
      <c r="Z102" s="145"/>
      <c r="AA102" s="148"/>
      <c r="AB102" s="534">
        <v>273</v>
      </c>
      <c r="AC102" s="32"/>
    </row>
    <row r="103" spans="1:30" ht="12.6" customHeight="1" x14ac:dyDescent="0.2">
      <c r="A103" s="20"/>
      <c r="B103" s="701" t="s">
        <v>158</v>
      </c>
      <c r="C103" s="688"/>
      <c r="D103" s="688"/>
      <c r="E103" s="688"/>
      <c r="F103" s="473">
        <f>11.208*X2</f>
        <v>10356.192000000001</v>
      </c>
      <c r="G103" s="338">
        <f t="shared" si="207"/>
        <v>10356.192000000001</v>
      </c>
      <c r="H103" s="93">
        <f>F103+290</f>
        <v>10646.192000000001</v>
      </c>
      <c r="I103" s="338">
        <f>+H103*$X$1</f>
        <v>10646.192000000001</v>
      </c>
      <c r="J103" s="93">
        <f t="shared" si="178"/>
        <v>10476.192000000001</v>
      </c>
      <c r="K103" s="338">
        <f t="shared" si="200"/>
        <v>10476.192000000001</v>
      </c>
      <c r="L103" s="677">
        <f>F103+74</f>
        <v>10430.192000000001</v>
      </c>
      <c r="M103" s="338">
        <f t="shared" si="201"/>
        <v>10430.192000000001</v>
      </c>
      <c r="N103" s="677">
        <f>F103+46</f>
        <v>10402.192000000001</v>
      </c>
      <c r="O103" s="338">
        <f t="shared" si="202"/>
        <v>10402.192000000001</v>
      </c>
      <c r="P103" s="677">
        <f>F103+42</f>
        <v>10398.192000000001</v>
      </c>
      <c r="Q103" s="338">
        <f t="shared" si="203"/>
        <v>10398.192000000001</v>
      </c>
      <c r="R103" s="677">
        <f>F103+35</f>
        <v>10391.192000000001</v>
      </c>
      <c r="S103" s="338">
        <f t="shared" si="204"/>
        <v>10391.192000000001</v>
      </c>
      <c r="T103" s="677">
        <f>F103+29</f>
        <v>10385.192000000001</v>
      </c>
      <c r="U103" s="338">
        <f t="shared" si="205"/>
        <v>10385.192000000001</v>
      </c>
      <c r="V103" s="677">
        <f>F103+24</f>
        <v>10380.192000000001</v>
      </c>
      <c r="W103" s="338">
        <f t="shared" si="206"/>
        <v>10380.192000000001</v>
      </c>
      <c r="X103" s="176"/>
      <c r="Y103" s="149"/>
      <c r="Z103" s="145"/>
      <c r="AA103" s="148"/>
      <c r="AB103" s="534" t="s">
        <v>159</v>
      </c>
      <c r="AC103" s="32"/>
    </row>
    <row r="104" spans="1:30" ht="12.6" customHeight="1" x14ac:dyDescent="0.2">
      <c r="A104" s="20"/>
      <c r="B104" s="708" t="s">
        <v>160</v>
      </c>
      <c r="C104" s="709"/>
      <c r="D104" s="709"/>
      <c r="E104" s="709"/>
      <c r="F104" s="472">
        <f>8.73*X2</f>
        <v>8066.52</v>
      </c>
      <c r="G104" s="337">
        <f t="shared" si="207"/>
        <v>8066.52</v>
      </c>
      <c r="H104" s="75">
        <f>F104+290</f>
        <v>8356.52</v>
      </c>
      <c r="I104" s="337">
        <f>+H104*$X$1</f>
        <v>8356.52</v>
      </c>
      <c r="J104" s="75">
        <f t="shared" si="178"/>
        <v>8186.52</v>
      </c>
      <c r="K104" s="337">
        <f t="shared" si="200"/>
        <v>8186.52</v>
      </c>
      <c r="L104" s="375">
        <f>F104+74</f>
        <v>8140.52</v>
      </c>
      <c r="M104" s="337">
        <f t="shared" si="201"/>
        <v>8140.52</v>
      </c>
      <c r="N104" s="375">
        <f>F104+46</f>
        <v>8112.52</v>
      </c>
      <c r="O104" s="337">
        <f t="shared" si="202"/>
        <v>8112.52</v>
      </c>
      <c r="P104" s="375">
        <f>F104+42</f>
        <v>8108.52</v>
      </c>
      <c r="Q104" s="337">
        <f t="shared" si="203"/>
        <v>8108.52</v>
      </c>
      <c r="R104" s="375">
        <f>F104+35</f>
        <v>8101.52</v>
      </c>
      <c r="S104" s="337">
        <f t="shared" si="204"/>
        <v>8101.52</v>
      </c>
      <c r="T104" s="375">
        <f>F104+29</f>
        <v>8095.52</v>
      </c>
      <c r="U104" s="337">
        <f t="shared" si="205"/>
        <v>8095.52</v>
      </c>
      <c r="V104" s="375">
        <f>F104+24</f>
        <v>8090.52</v>
      </c>
      <c r="W104" s="337">
        <f t="shared" si="206"/>
        <v>8090.52</v>
      </c>
      <c r="X104" s="176"/>
      <c r="Y104" s="149"/>
      <c r="Z104" s="145"/>
      <c r="AA104" s="148"/>
      <c r="AB104" s="534">
        <v>278</v>
      </c>
      <c r="AC104" s="32"/>
    </row>
    <row r="105" spans="1:30" ht="12.6" customHeight="1" x14ac:dyDescent="0.2">
      <c r="A105" s="20"/>
      <c r="B105" s="1080" t="s">
        <v>161</v>
      </c>
      <c r="C105" s="1081"/>
      <c r="D105" s="1081"/>
      <c r="E105" s="1081"/>
      <c r="F105" s="473">
        <f>2.02*X2</f>
        <v>1866.48</v>
      </c>
      <c r="G105" s="338">
        <f>+F105*$X$1</f>
        <v>1866.48</v>
      </c>
      <c r="H105" s="93">
        <f>F105+250</f>
        <v>2116.48</v>
      </c>
      <c r="I105" s="338">
        <f>+H105*$X$1</f>
        <v>2116.48</v>
      </c>
      <c r="J105" s="93">
        <f>F105+115</f>
        <v>1981.48</v>
      </c>
      <c r="K105" s="338">
        <f t="shared" ref="K105" si="208">+J105*$X$1</f>
        <v>1981.48</v>
      </c>
      <c r="L105" s="584">
        <f>F105+72</f>
        <v>1938.48</v>
      </c>
      <c r="M105" s="338">
        <f t="shared" ref="M105:M106" si="209">+L105*$X$1</f>
        <v>1938.48</v>
      </c>
      <c r="N105" s="584">
        <f>F105+43</f>
        <v>1909.48</v>
      </c>
      <c r="O105" s="338">
        <f t="shared" ref="O105" si="210">+N105*$X$1</f>
        <v>1909.48</v>
      </c>
      <c r="P105" s="584">
        <f>F105+39</f>
        <v>1905.48</v>
      </c>
      <c r="Q105" s="338">
        <f t="shared" ref="Q105:Q106" si="211">+P105*$X$1</f>
        <v>1905.48</v>
      </c>
      <c r="R105" s="584">
        <f>F105+30</f>
        <v>1896.48</v>
      </c>
      <c r="S105" s="338">
        <f t="shared" ref="S105" si="212">+R105*$X$1</f>
        <v>1896.48</v>
      </c>
      <c r="T105" s="584">
        <f>F105+25</f>
        <v>1891.48</v>
      </c>
      <c r="U105" s="338">
        <f t="shared" ref="U105" si="213">+T105*$X$1</f>
        <v>1891.48</v>
      </c>
      <c r="V105" s="584">
        <f>F105+21</f>
        <v>1887.48</v>
      </c>
      <c r="W105" s="338">
        <f t="shared" ref="W105" si="214">+V105*$X$1</f>
        <v>1887.48</v>
      </c>
      <c r="X105" s="173"/>
      <c r="Y105" s="149"/>
      <c r="Z105" s="145"/>
      <c r="AA105" s="148"/>
      <c r="AB105" s="534">
        <v>288</v>
      </c>
      <c r="AC105" s="32"/>
    </row>
    <row r="106" spans="1:30" ht="12.6" customHeight="1" x14ac:dyDescent="0.2">
      <c r="A106" s="20"/>
      <c r="B106" s="708" t="s">
        <v>162</v>
      </c>
      <c r="C106" s="709"/>
      <c r="D106" s="709"/>
      <c r="E106" s="709"/>
      <c r="F106" s="337">
        <v>330</v>
      </c>
      <c r="G106" s="337">
        <f>+F106*$X$1</f>
        <v>330</v>
      </c>
      <c r="H106" s="328"/>
      <c r="I106" s="328"/>
      <c r="J106" s="75">
        <f>F106+120</f>
        <v>450</v>
      </c>
      <c r="K106" s="337">
        <f>+J106*$X$1</f>
        <v>450</v>
      </c>
      <c r="L106" s="375">
        <f>F106+75</f>
        <v>405</v>
      </c>
      <c r="M106" s="337">
        <f t="shared" si="209"/>
        <v>405</v>
      </c>
      <c r="N106" s="375">
        <f>F106+50</f>
        <v>380</v>
      </c>
      <c r="O106" s="337">
        <f>+N106*$X$1</f>
        <v>380</v>
      </c>
      <c r="P106" s="375">
        <f>F106+45</f>
        <v>375</v>
      </c>
      <c r="Q106" s="337">
        <f t="shared" si="211"/>
        <v>375</v>
      </c>
      <c r="R106" s="375">
        <f>F106+37</f>
        <v>367</v>
      </c>
      <c r="S106" s="337">
        <f>+R106*$X$1</f>
        <v>367</v>
      </c>
      <c r="T106" s="108">
        <f>F106+31</f>
        <v>361</v>
      </c>
      <c r="U106" s="299">
        <f>+T106*$X$1</f>
        <v>361</v>
      </c>
      <c r="V106" s="108">
        <f>F106+27</f>
        <v>357</v>
      </c>
      <c r="W106" s="299">
        <f>+V106*$X$1</f>
        <v>357</v>
      </c>
      <c r="X106" s="173"/>
      <c r="Y106" s="149"/>
      <c r="Z106" s="145"/>
      <c r="AA106" s="148"/>
      <c r="AB106" s="534">
        <v>289</v>
      </c>
      <c r="AC106" s="32"/>
    </row>
    <row r="107" spans="1:30" ht="12.6" customHeight="1" x14ac:dyDescent="0.2">
      <c r="A107" s="20"/>
      <c r="B107" s="701" t="s">
        <v>163</v>
      </c>
      <c r="C107" s="688"/>
      <c r="D107" s="688"/>
      <c r="E107" s="688"/>
      <c r="F107" s="338"/>
      <c r="G107" s="806" t="s">
        <v>678</v>
      </c>
      <c r="H107" s="807"/>
      <c r="I107" s="807"/>
      <c r="J107" s="807"/>
      <c r="K107" s="807"/>
      <c r="L107" s="807"/>
      <c r="M107" s="807"/>
      <c r="N107" s="807"/>
      <c r="O107" s="808"/>
      <c r="P107" s="329">
        <v>323</v>
      </c>
      <c r="Q107" s="338">
        <f t="shared" ref="Q107:Q111" si="215">+P107*$X$1</f>
        <v>323</v>
      </c>
      <c r="R107" s="123">
        <v>321</v>
      </c>
      <c r="S107" s="363">
        <f t="shared" ref="S107:S110" si="216">+R107*$X$1</f>
        <v>321</v>
      </c>
      <c r="T107" s="107">
        <v>314</v>
      </c>
      <c r="U107" s="363">
        <f t="shared" ref="U107:U110" si="217">+T107*$X$1</f>
        <v>314</v>
      </c>
      <c r="V107" s="107">
        <v>307</v>
      </c>
      <c r="W107" s="363">
        <f t="shared" ref="W107:W110" si="218">+V107*$X$1</f>
        <v>307</v>
      </c>
      <c r="X107" s="738"/>
      <c r="Y107" s="739"/>
      <c r="Z107" s="739"/>
      <c r="AA107" s="740"/>
      <c r="AB107" s="534">
        <v>290</v>
      </c>
    </row>
    <row r="108" spans="1:30" ht="12.6" customHeight="1" x14ac:dyDescent="0.2">
      <c r="A108" s="20"/>
      <c r="B108" s="708" t="s">
        <v>470</v>
      </c>
      <c r="C108" s="709"/>
      <c r="D108" s="709"/>
      <c r="E108" s="709"/>
      <c r="F108" s="337"/>
      <c r="G108" s="806" t="s">
        <v>679</v>
      </c>
      <c r="H108" s="807"/>
      <c r="I108" s="807"/>
      <c r="J108" s="807"/>
      <c r="K108" s="807"/>
      <c r="L108" s="807"/>
      <c r="M108" s="807"/>
      <c r="N108" s="807"/>
      <c r="O108" s="808"/>
      <c r="P108" s="330">
        <v>441</v>
      </c>
      <c r="Q108" s="337">
        <f t="shared" si="215"/>
        <v>441</v>
      </c>
      <c r="R108" s="519">
        <v>439</v>
      </c>
      <c r="S108" s="299">
        <f t="shared" si="216"/>
        <v>439</v>
      </c>
      <c r="T108" s="375">
        <v>431</v>
      </c>
      <c r="U108" s="299">
        <f t="shared" si="217"/>
        <v>431</v>
      </c>
      <c r="V108" s="375">
        <v>423</v>
      </c>
      <c r="W108" s="299">
        <f t="shared" si="218"/>
        <v>423</v>
      </c>
      <c r="X108" s="738"/>
      <c r="Y108" s="739"/>
      <c r="Z108" s="739"/>
      <c r="AA108" s="740"/>
      <c r="AB108" s="534" t="s">
        <v>164</v>
      </c>
    </row>
    <row r="109" spans="1:30" ht="12.6" customHeight="1" x14ac:dyDescent="0.2">
      <c r="A109" s="20"/>
      <c r="B109" s="701" t="s">
        <v>471</v>
      </c>
      <c r="C109" s="688"/>
      <c r="D109" s="688"/>
      <c r="E109" s="688"/>
      <c r="F109" s="338"/>
      <c r="G109" s="806" t="s">
        <v>680</v>
      </c>
      <c r="H109" s="807"/>
      <c r="I109" s="807"/>
      <c r="J109" s="807"/>
      <c r="K109" s="807"/>
      <c r="L109" s="807"/>
      <c r="M109" s="808"/>
      <c r="N109" s="329">
        <v>475</v>
      </c>
      <c r="O109" s="338">
        <f t="shared" ref="O109:O110" si="219">+N109*$X$1</f>
        <v>475</v>
      </c>
      <c r="P109" s="329">
        <v>396</v>
      </c>
      <c r="Q109" s="338">
        <f t="shared" si="215"/>
        <v>396</v>
      </c>
      <c r="R109" s="518">
        <v>394</v>
      </c>
      <c r="S109" s="363">
        <f t="shared" si="216"/>
        <v>394</v>
      </c>
      <c r="T109" s="517">
        <v>388</v>
      </c>
      <c r="U109" s="363">
        <f t="shared" si="217"/>
        <v>388</v>
      </c>
      <c r="V109" s="517">
        <v>320</v>
      </c>
      <c r="W109" s="363">
        <f t="shared" si="218"/>
        <v>320</v>
      </c>
      <c r="X109" s="738"/>
      <c r="Y109" s="739"/>
      <c r="Z109" s="739"/>
      <c r="AA109" s="740"/>
      <c r="AB109" s="534">
        <v>291</v>
      </c>
    </row>
    <row r="110" spans="1:30" ht="12.6" customHeight="1" x14ac:dyDescent="0.2">
      <c r="A110" s="20"/>
      <c r="B110" s="708" t="s">
        <v>472</v>
      </c>
      <c r="C110" s="709"/>
      <c r="D110" s="709"/>
      <c r="E110" s="709"/>
      <c r="F110" s="337"/>
      <c r="G110" s="806" t="s">
        <v>681</v>
      </c>
      <c r="H110" s="807"/>
      <c r="I110" s="807"/>
      <c r="J110" s="807"/>
      <c r="K110" s="807"/>
      <c r="L110" s="807"/>
      <c r="M110" s="808"/>
      <c r="N110" s="330">
        <v>685</v>
      </c>
      <c r="O110" s="337">
        <f t="shared" si="219"/>
        <v>685</v>
      </c>
      <c r="P110" s="330">
        <v>571</v>
      </c>
      <c r="Q110" s="337">
        <f t="shared" si="215"/>
        <v>571</v>
      </c>
      <c r="R110" s="519">
        <v>569</v>
      </c>
      <c r="S110" s="299">
        <f t="shared" si="216"/>
        <v>569</v>
      </c>
      <c r="T110" s="375">
        <v>563</v>
      </c>
      <c r="U110" s="299">
        <f t="shared" si="217"/>
        <v>563</v>
      </c>
      <c r="V110" s="375">
        <v>554</v>
      </c>
      <c r="W110" s="299">
        <f t="shared" si="218"/>
        <v>554</v>
      </c>
      <c r="X110" s="738"/>
      <c r="Y110" s="739"/>
      <c r="Z110" s="739"/>
      <c r="AA110" s="740"/>
      <c r="AB110" s="534" t="s">
        <v>165</v>
      </c>
    </row>
    <row r="111" spans="1:30" ht="12.6" customHeight="1" x14ac:dyDescent="0.2">
      <c r="A111" s="20"/>
      <c r="B111" s="701" t="s">
        <v>166</v>
      </c>
      <c r="C111" s="701"/>
      <c r="D111" s="701"/>
      <c r="E111" s="701"/>
      <c r="F111" s="654">
        <v>220</v>
      </c>
      <c r="G111" s="338">
        <f t="shared" ref="G111:G114" si="220">+F111*$X$1</f>
        <v>220</v>
      </c>
      <c r="H111" s="783" t="s">
        <v>469</v>
      </c>
      <c r="I111" s="784"/>
      <c r="J111" s="784"/>
      <c r="K111" s="784"/>
      <c r="L111" s="785"/>
      <c r="M111" s="786"/>
      <c r="N111" s="123">
        <f>F111+50</f>
        <v>270</v>
      </c>
      <c r="O111" s="380">
        <f>+N111*$X$1</f>
        <v>270</v>
      </c>
      <c r="P111" s="123">
        <f>F111+40</f>
        <v>260</v>
      </c>
      <c r="Q111" s="338">
        <f t="shared" si="215"/>
        <v>260</v>
      </c>
      <c r="R111" s="591">
        <f>F111+33</f>
        <v>253</v>
      </c>
      <c r="S111" s="363">
        <f>+R111*$X$1</f>
        <v>253</v>
      </c>
      <c r="T111" s="584">
        <f>F111+28</f>
        <v>248</v>
      </c>
      <c r="U111" s="363">
        <f>+T111*$X$1</f>
        <v>248</v>
      </c>
      <c r="V111" s="584">
        <f>F111+24</f>
        <v>244</v>
      </c>
      <c r="W111" s="363">
        <f>+V111*$X$1</f>
        <v>244</v>
      </c>
      <c r="X111" s="738"/>
      <c r="Y111" s="739"/>
      <c r="Z111" s="739"/>
      <c r="AA111" s="740"/>
      <c r="AB111" s="208">
        <v>296</v>
      </c>
      <c r="AD111" s="68"/>
    </row>
    <row r="112" spans="1:30" ht="12.6" customHeight="1" x14ac:dyDescent="0.2">
      <c r="A112" s="20"/>
      <c r="B112" s="708" t="s">
        <v>167</v>
      </c>
      <c r="C112" s="708"/>
      <c r="D112" s="708"/>
      <c r="E112" s="708"/>
      <c r="F112" s="655">
        <v>300</v>
      </c>
      <c r="G112" s="337">
        <f t="shared" si="220"/>
        <v>300</v>
      </c>
      <c r="H112" s="787"/>
      <c r="I112" s="788"/>
      <c r="J112" s="788"/>
      <c r="K112" s="788"/>
      <c r="L112" s="789"/>
      <c r="M112" s="790"/>
      <c r="N112" s="341">
        <f>F112+50</f>
        <v>350</v>
      </c>
      <c r="O112" s="364">
        <f>+N112*$X$1</f>
        <v>350</v>
      </c>
      <c r="P112" s="341">
        <f>F112+40</f>
        <v>340</v>
      </c>
      <c r="Q112" s="337">
        <f t="shared" ref="Q112" si="221">+P112*$X$1</f>
        <v>340</v>
      </c>
      <c r="R112" s="229">
        <f>F112+33</f>
        <v>333</v>
      </c>
      <c r="S112" s="299">
        <f>+R112*$X$1</f>
        <v>333</v>
      </c>
      <c r="T112" s="375">
        <f>F112+28</f>
        <v>328</v>
      </c>
      <c r="U112" s="299">
        <f>+T112*$X$1</f>
        <v>328</v>
      </c>
      <c r="V112" s="375">
        <f>F112+24</f>
        <v>324</v>
      </c>
      <c r="W112" s="299">
        <f>+V112*$X$1</f>
        <v>324</v>
      </c>
      <c r="X112" s="738"/>
      <c r="Y112" s="739"/>
      <c r="Z112" s="739"/>
      <c r="AA112" s="740"/>
      <c r="AB112" s="208">
        <v>297</v>
      </c>
    </row>
    <row r="113" spans="1:28" ht="12.6" customHeight="1" x14ac:dyDescent="0.2">
      <c r="A113" s="20"/>
      <c r="B113" s="791" t="s">
        <v>403</v>
      </c>
      <c r="C113" s="792"/>
      <c r="D113" s="792"/>
      <c r="E113" s="792"/>
      <c r="F113" s="380">
        <v>308</v>
      </c>
      <c r="G113" s="380">
        <f t="shared" si="220"/>
        <v>308</v>
      </c>
      <c r="H113" s="97"/>
      <c r="I113" s="817" t="s">
        <v>404</v>
      </c>
      <c r="J113" s="818"/>
      <c r="K113" s="818"/>
      <c r="L113" s="818"/>
      <c r="M113" s="818"/>
      <c r="N113" s="818"/>
      <c r="O113" s="818"/>
      <c r="P113" s="818"/>
      <c r="Q113" s="818"/>
      <c r="R113" s="818"/>
      <c r="S113" s="818"/>
      <c r="T113" s="818"/>
      <c r="U113" s="818"/>
      <c r="V113" s="818"/>
      <c r="W113" s="819"/>
      <c r="X113" s="693"/>
      <c r="Y113" s="724"/>
      <c r="Z113" s="724"/>
      <c r="AA113" s="695"/>
      <c r="AB113" s="534"/>
    </row>
    <row r="114" spans="1:28" ht="12.6" customHeight="1" x14ac:dyDescent="0.2">
      <c r="A114" s="20"/>
      <c r="B114" s="718" t="s">
        <v>405</v>
      </c>
      <c r="C114" s="692"/>
      <c r="D114" s="692"/>
      <c r="E114" s="692"/>
      <c r="F114" s="364">
        <v>308</v>
      </c>
      <c r="G114" s="423">
        <f t="shared" si="220"/>
        <v>308</v>
      </c>
      <c r="H114" s="128"/>
      <c r="I114" s="820"/>
      <c r="J114" s="821"/>
      <c r="K114" s="821"/>
      <c r="L114" s="822"/>
      <c r="M114" s="822"/>
      <c r="N114" s="822"/>
      <c r="O114" s="821"/>
      <c r="P114" s="821"/>
      <c r="Q114" s="821"/>
      <c r="R114" s="821"/>
      <c r="S114" s="821"/>
      <c r="T114" s="822"/>
      <c r="U114" s="822"/>
      <c r="V114" s="822"/>
      <c r="W114" s="823"/>
      <c r="X114" s="693"/>
      <c r="Y114" s="724"/>
      <c r="Z114" s="724"/>
      <c r="AA114" s="695"/>
      <c r="AB114" s="534"/>
    </row>
    <row r="115" spans="1:28" ht="12.6" customHeight="1" x14ac:dyDescent="0.2">
      <c r="A115" s="20"/>
      <c r="B115" s="701" t="s">
        <v>913</v>
      </c>
      <c r="C115" s="688"/>
      <c r="D115" s="688"/>
      <c r="E115" s="688"/>
      <c r="F115" s="433"/>
      <c r="G115" s="806" t="s">
        <v>468</v>
      </c>
      <c r="H115" s="807"/>
      <c r="I115" s="807"/>
      <c r="J115" s="807"/>
      <c r="K115" s="808"/>
      <c r="L115" s="516">
        <v>1365</v>
      </c>
      <c r="M115" s="338">
        <f t="shared" ref="M115:O123" si="222">+L115*$X$1</f>
        <v>1365</v>
      </c>
      <c r="N115" s="134">
        <v>1164</v>
      </c>
      <c r="O115" s="338">
        <f t="shared" si="222"/>
        <v>1164</v>
      </c>
      <c r="P115" s="493">
        <v>965</v>
      </c>
      <c r="Q115" s="338">
        <f t="shared" ref="Q115:Q122" si="223">+P115*$X$1</f>
        <v>965</v>
      </c>
      <c r="R115" s="517">
        <v>963</v>
      </c>
      <c r="S115" s="338">
        <f t="shared" ref="S115:S123" si="224">+R115*$X$1</f>
        <v>963</v>
      </c>
      <c r="T115" s="517">
        <v>954</v>
      </c>
      <c r="U115" s="380">
        <f t="shared" ref="U115:U121" si="225">+T115*$X$1</f>
        <v>954</v>
      </c>
      <c r="V115" s="517">
        <v>719</v>
      </c>
      <c r="W115" s="380">
        <f t="shared" ref="W115:W121" si="226">+V115*$X$1</f>
        <v>719</v>
      </c>
      <c r="X115" s="738"/>
      <c r="Y115" s="739"/>
      <c r="Z115" s="739"/>
      <c r="AA115" s="740"/>
      <c r="AB115" s="534">
        <v>301</v>
      </c>
    </row>
    <row r="116" spans="1:28" ht="12.6" customHeight="1" x14ac:dyDescent="0.2">
      <c r="A116" s="20"/>
      <c r="B116" s="708" t="s">
        <v>914</v>
      </c>
      <c r="C116" s="709"/>
      <c r="D116" s="709"/>
      <c r="E116" s="709"/>
      <c r="F116" s="434"/>
      <c r="G116" s="806" t="s">
        <v>468</v>
      </c>
      <c r="H116" s="807"/>
      <c r="I116" s="807"/>
      <c r="J116" s="807"/>
      <c r="K116" s="808"/>
      <c r="L116" s="361">
        <v>1510</v>
      </c>
      <c r="M116" s="424">
        <f t="shared" si="222"/>
        <v>1510</v>
      </c>
      <c r="N116" s="519">
        <v>1287</v>
      </c>
      <c r="O116" s="424">
        <f t="shared" si="222"/>
        <v>1287</v>
      </c>
      <c r="P116" s="362">
        <v>1067</v>
      </c>
      <c r="Q116" s="337">
        <f t="shared" si="223"/>
        <v>1067</v>
      </c>
      <c r="R116" s="128">
        <v>1064</v>
      </c>
      <c r="S116" s="424">
        <f t="shared" si="224"/>
        <v>1064</v>
      </c>
      <c r="T116" s="375">
        <v>1056</v>
      </c>
      <c r="U116" s="364">
        <f t="shared" si="225"/>
        <v>1056</v>
      </c>
      <c r="V116" s="375">
        <v>830</v>
      </c>
      <c r="W116" s="364">
        <f t="shared" si="226"/>
        <v>830</v>
      </c>
      <c r="X116" s="738"/>
      <c r="Y116" s="739"/>
      <c r="Z116" s="739"/>
      <c r="AA116" s="740"/>
      <c r="AB116" s="534" t="s">
        <v>168</v>
      </c>
    </row>
    <row r="117" spans="1:28" ht="12.6" customHeight="1" x14ac:dyDescent="0.2">
      <c r="A117" s="20"/>
      <c r="B117" s="701" t="s">
        <v>915</v>
      </c>
      <c r="C117" s="688"/>
      <c r="D117" s="688"/>
      <c r="E117" s="688"/>
      <c r="F117" s="433"/>
      <c r="G117" s="806" t="s">
        <v>468</v>
      </c>
      <c r="H117" s="807"/>
      <c r="I117" s="807"/>
      <c r="J117" s="807"/>
      <c r="K117" s="808"/>
      <c r="L117" s="516"/>
      <c r="M117" s="517"/>
      <c r="N117" s="134"/>
      <c r="O117" s="517"/>
      <c r="P117" s="493"/>
      <c r="Q117" s="338"/>
      <c r="R117" s="517"/>
      <c r="S117" s="338"/>
      <c r="T117" s="517"/>
      <c r="U117" s="380"/>
      <c r="V117" s="517"/>
      <c r="W117" s="380"/>
      <c r="X117" s="738"/>
      <c r="Y117" s="739"/>
      <c r="Z117" s="739"/>
      <c r="AA117" s="740"/>
      <c r="AB117" s="534" t="s">
        <v>169</v>
      </c>
    </row>
    <row r="118" spans="1:28" ht="12.6" customHeight="1" x14ac:dyDescent="0.2">
      <c r="A118" s="20"/>
      <c r="B118" s="708" t="s">
        <v>473</v>
      </c>
      <c r="C118" s="709"/>
      <c r="D118" s="709"/>
      <c r="E118" s="709"/>
      <c r="F118" s="415"/>
      <c r="G118" s="806" t="s">
        <v>467</v>
      </c>
      <c r="H118" s="807"/>
      <c r="I118" s="807"/>
      <c r="J118" s="807"/>
      <c r="K118" s="808"/>
      <c r="L118" s="361">
        <v>870</v>
      </c>
      <c r="M118" s="424">
        <f t="shared" si="222"/>
        <v>870</v>
      </c>
      <c r="N118" s="134">
        <v>743</v>
      </c>
      <c r="O118" s="424">
        <f t="shared" si="222"/>
        <v>743</v>
      </c>
      <c r="P118" s="362">
        <v>616</v>
      </c>
      <c r="Q118" s="337">
        <f t="shared" si="223"/>
        <v>616</v>
      </c>
      <c r="R118" s="128">
        <v>614</v>
      </c>
      <c r="S118" s="424">
        <f t="shared" si="224"/>
        <v>614</v>
      </c>
      <c r="T118" s="375">
        <v>606</v>
      </c>
      <c r="U118" s="364">
        <f t="shared" si="225"/>
        <v>606</v>
      </c>
      <c r="V118" s="375">
        <v>543</v>
      </c>
      <c r="W118" s="364">
        <f t="shared" si="226"/>
        <v>543</v>
      </c>
      <c r="X118" s="738"/>
      <c r="Y118" s="739"/>
      <c r="Z118" s="739"/>
      <c r="AA118" s="740"/>
      <c r="AB118" s="534">
        <v>302</v>
      </c>
    </row>
    <row r="119" spans="1:28" ht="12.6" customHeight="1" x14ac:dyDescent="0.2">
      <c r="A119" s="20"/>
      <c r="B119" s="701" t="s">
        <v>474</v>
      </c>
      <c r="C119" s="688"/>
      <c r="D119" s="688"/>
      <c r="E119" s="688"/>
      <c r="F119" s="338"/>
      <c r="G119" s="806" t="s">
        <v>467</v>
      </c>
      <c r="H119" s="807"/>
      <c r="I119" s="807"/>
      <c r="J119" s="807"/>
      <c r="K119" s="808"/>
      <c r="L119" s="516">
        <v>1016</v>
      </c>
      <c r="M119" s="338">
        <f t="shared" si="222"/>
        <v>1016</v>
      </c>
      <c r="N119" s="134">
        <v>867</v>
      </c>
      <c r="O119" s="338">
        <f t="shared" si="222"/>
        <v>867</v>
      </c>
      <c r="P119" s="493">
        <v>718</v>
      </c>
      <c r="Q119" s="338">
        <f t="shared" si="223"/>
        <v>718</v>
      </c>
      <c r="R119" s="517">
        <v>716</v>
      </c>
      <c r="S119" s="338">
        <f t="shared" si="224"/>
        <v>716</v>
      </c>
      <c r="T119" s="517">
        <v>708</v>
      </c>
      <c r="U119" s="380">
        <f t="shared" si="225"/>
        <v>708</v>
      </c>
      <c r="V119" s="517">
        <v>655</v>
      </c>
      <c r="W119" s="380">
        <f t="shared" si="226"/>
        <v>655</v>
      </c>
      <c r="X119" s="738"/>
      <c r="Y119" s="739"/>
      <c r="Z119" s="739"/>
      <c r="AA119" s="740"/>
      <c r="AB119" s="534" t="s">
        <v>170</v>
      </c>
    </row>
    <row r="120" spans="1:28" ht="12.6" customHeight="1" x14ac:dyDescent="0.2">
      <c r="A120" s="20"/>
      <c r="B120" s="708" t="s">
        <v>436</v>
      </c>
      <c r="C120" s="709"/>
      <c r="D120" s="709"/>
      <c r="E120" s="709"/>
      <c r="F120" s="415"/>
      <c r="G120" s="806" t="s">
        <v>467</v>
      </c>
      <c r="H120" s="807"/>
      <c r="I120" s="807"/>
      <c r="J120" s="807"/>
      <c r="K120" s="808"/>
      <c r="L120" s="361"/>
      <c r="M120" s="128"/>
      <c r="N120" s="134"/>
      <c r="O120" s="128"/>
      <c r="P120" s="362"/>
      <c r="Q120" s="337"/>
      <c r="R120" s="128"/>
      <c r="S120" s="424"/>
      <c r="T120" s="375"/>
      <c r="U120" s="364"/>
      <c r="V120" s="375"/>
      <c r="W120" s="364"/>
      <c r="X120" s="738"/>
      <c r="Y120" s="739"/>
      <c r="Z120" s="739"/>
      <c r="AA120" s="740"/>
      <c r="AB120" s="534" t="s">
        <v>171</v>
      </c>
    </row>
    <row r="121" spans="1:28" ht="12.6" customHeight="1" x14ac:dyDescent="0.2">
      <c r="A121" s="20"/>
      <c r="B121" s="791" t="s">
        <v>742</v>
      </c>
      <c r="C121" s="792"/>
      <c r="D121" s="792"/>
      <c r="E121" s="792"/>
      <c r="F121" s="380"/>
      <c r="G121" s="806" t="s">
        <v>468</v>
      </c>
      <c r="H121" s="807"/>
      <c r="I121" s="807"/>
      <c r="J121" s="807"/>
      <c r="K121" s="808"/>
      <c r="L121" s="516">
        <v>1524</v>
      </c>
      <c r="M121" s="338">
        <f t="shared" si="222"/>
        <v>1524</v>
      </c>
      <c r="N121" s="520">
        <v>1300</v>
      </c>
      <c r="O121" s="338">
        <f t="shared" si="222"/>
        <v>1300</v>
      </c>
      <c r="P121" s="493">
        <v>1077</v>
      </c>
      <c r="Q121" s="338">
        <f t="shared" si="223"/>
        <v>1077</v>
      </c>
      <c r="R121" s="517">
        <v>1074</v>
      </c>
      <c r="S121" s="338">
        <f t="shared" si="224"/>
        <v>1074</v>
      </c>
      <c r="T121" s="129">
        <v>1066</v>
      </c>
      <c r="U121" s="521">
        <f t="shared" si="225"/>
        <v>1066</v>
      </c>
      <c r="V121" s="129">
        <v>1055</v>
      </c>
      <c r="W121" s="521">
        <f t="shared" si="226"/>
        <v>1055</v>
      </c>
      <c r="X121" s="738"/>
      <c r="Y121" s="739"/>
      <c r="Z121" s="739"/>
      <c r="AA121" s="740"/>
      <c r="AB121" s="534">
        <v>303</v>
      </c>
    </row>
    <row r="122" spans="1:28" ht="12.6" customHeight="1" x14ac:dyDescent="0.2">
      <c r="A122" s="20"/>
      <c r="B122" s="713" t="s">
        <v>912</v>
      </c>
      <c r="C122" s="714"/>
      <c r="D122" s="714"/>
      <c r="E122" s="714"/>
      <c r="F122" s="472">
        <v>2184</v>
      </c>
      <c r="G122" s="337">
        <f t="shared" ref="G122" si="227">+F122*$X$1</f>
        <v>2184</v>
      </c>
      <c r="H122" s="375"/>
      <c r="I122" s="337"/>
      <c r="J122" s="375"/>
      <c r="K122" s="337"/>
      <c r="L122" s="375">
        <f>F122+70</f>
        <v>2254</v>
      </c>
      <c r="M122" s="337">
        <f t="shared" si="222"/>
        <v>2254</v>
      </c>
      <c r="N122" s="375">
        <f>F122+52</f>
        <v>2236</v>
      </c>
      <c r="O122" s="337">
        <f>+N122*$X$1</f>
        <v>2236</v>
      </c>
      <c r="P122" s="375">
        <f>F122+46</f>
        <v>2230</v>
      </c>
      <c r="Q122" s="337">
        <f t="shared" si="223"/>
        <v>2230</v>
      </c>
      <c r="R122" s="375">
        <f>F122+41</f>
        <v>2225</v>
      </c>
      <c r="S122" s="337">
        <f>+R122*$X$1</f>
        <v>2225</v>
      </c>
      <c r="T122" s="375">
        <f>F122+36</f>
        <v>2220</v>
      </c>
      <c r="U122" s="337">
        <f>+T122*$X$1</f>
        <v>2220</v>
      </c>
      <c r="V122" s="375">
        <f>F122+32</f>
        <v>2216</v>
      </c>
      <c r="W122" s="337">
        <f>+V122*$X$1</f>
        <v>2216</v>
      </c>
      <c r="X122" s="693"/>
      <c r="Y122" s="724"/>
      <c r="Z122" s="724"/>
      <c r="AA122" s="695"/>
      <c r="AB122" s="534">
        <v>307</v>
      </c>
    </row>
    <row r="123" spans="1:28" ht="12.6" customHeight="1" x14ac:dyDescent="0.2">
      <c r="A123" s="20"/>
      <c r="B123" s="701" t="s">
        <v>636</v>
      </c>
      <c r="C123" s="688"/>
      <c r="D123" s="688"/>
      <c r="E123" s="688"/>
      <c r="F123" s="380">
        <v>898</v>
      </c>
      <c r="G123" s="338">
        <f>+F123*$X$1</f>
        <v>898</v>
      </c>
      <c r="H123" s="327"/>
      <c r="I123" s="413"/>
      <c r="J123" s="677"/>
      <c r="K123" s="338"/>
      <c r="L123" s="677">
        <v>1700</v>
      </c>
      <c r="M123" s="338">
        <f>+L123*$X$1</f>
        <v>1700</v>
      </c>
      <c r="N123" s="677">
        <v>1527</v>
      </c>
      <c r="O123" s="338">
        <f t="shared" si="222"/>
        <v>1527</v>
      </c>
      <c r="P123" s="329">
        <v>1413</v>
      </c>
      <c r="Q123" s="338">
        <f t="shared" ref="Q123" si="228">+P123*$X$1</f>
        <v>1413</v>
      </c>
      <c r="R123" s="677">
        <v>1307</v>
      </c>
      <c r="S123" s="338">
        <f t="shared" si="224"/>
        <v>1307</v>
      </c>
      <c r="T123" s="677">
        <v>1227</v>
      </c>
      <c r="U123" s="338">
        <f>+T123*$X$1</f>
        <v>1227</v>
      </c>
      <c r="V123" s="677">
        <v>1176</v>
      </c>
      <c r="W123" s="338">
        <f>+V123*$X$1</f>
        <v>1176</v>
      </c>
      <c r="X123" s="693"/>
      <c r="Y123" s="724"/>
      <c r="Z123" s="724"/>
      <c r="AA123" s="695"/>
      <c r="AB123" s="534">
        <v>308</v>
      </c>
    </row>
    <row r="124" spans="1:28" ht="12.6" customHeight="1" x14ac:dyDescent="0.2">
      <c r="A124" s="20"/>
      <c r="B124" s="708" t="s">
        <v>635</v>
      </c>
      <c r="C124" s="709"/>
      <c r="D124" s="709"/>
      <c r="E124" s="709"/>
      <c r="F124" s="364">
        <v>898</v>
      </c>
      <c r="G124" s="337">
        <f>+F124*$X$1</f>
        <v>898</v>
      </c>
      <c r="H124" s="328"/>
      <c r="I124" s="412"/>
      <c r="J124" s="375"/>
      <c r="K124" s="337"/>
      <c r="L124" s="375">
        <v>1700</v>
      </c>
      <c r="M124" s="337">
        <f>+L124*$X$1</f>
        <v>1700</v>
      </c>
      <c r="N124" s="375">
        <v>1527</v>
      </c>
      <c r="O124" s="337">
        <f t="shared" ref="O124" si="229">+N124*$X$1</f>
        <v>1527</v>
      </c>
      <c r="P124" s="382">
        <v>1413</v>
      </c>
      <c r="Q124" s="337">
        <f t="shared" ref="Q124:Q125" si="230">+P124*$X$1</f>
        <v>1413</v>
      </c>
      <c r="R124" s="375">
        <v>1307</v>
      </c>
      <c r="S124" s="337">
        <f t="shared" ref="S124" si="231">+R124*$X$1</f>
        <v>1307</v>
      </c>
      <c r="T124" s="375">
        <v>1227</v>
      </c>
      <c r="U124" s="337">
        <f>+T124*$X$1</f>
        <v>1227</v>
      </c>
      <c r="V124" s="375">
        <v>1176</v>
      </c>
      <c r="W124" s="337">
        <f>+V124*$X$1</f>
        <v>1176</v>
      </c>
      <c r="X124" s="693"/>
      <c r="Y124" s="724"/>
      <c r="Z124" s="724"/>
      <c r="AA124" s="695"/>
      <c r="AB124" s="534">
        <v>309</v>
      </c>
    </row>
    <row r="125" spans="1:28" ht="12.6" customHeight="1" x14ac:dyDescent="0.2">
      <c r="A125" s="20"/>
      <c r="B125" s="701" t="s">
        <v>172</v>
      </c>
      <c r="C125" s="688"/>
      <c r="D125" s="688"/>
      <c r="E125" s="688"/>
      <c r="F125" s="473">
        <f>0.761*X2</f>
        <v>703.16399999999999</v>
      </c>
      <c r="G125" s="338">
        <f t="shared" ref="G125" si="232">+F125*$X$1</f>
        <v>703.16399999999999</v>
      </c>
      <c r="H125" s="677"/>
      <c r="I125" s="338"/>
      <c r="J125" s="677">
        <f>F125+100</f>
        <v>803.16399999999999</v>
      </c>
      <c r="K125" s="338">
        <f t="shared" ref="K125" si="233">+J125*$X$1</f>
        <v>803.16399999999999</v>
      </c>
      <c r="L125" s="677">
        <f>F125+70</f>
        <v>773.16399999999999</v>
      </c>
      <c r="M125" s="338">
        <f t="shared" ref="M125" si="234">+L125*$X$1</f>
        <v>773.16399999999999</v>
      </c>
      <c r="N125" s="677">
        <f>F125+52</f>
        <v>755.16399999999999</v>
      </c>
      <c r="O125" s="338">
        <f>+N125*$X$1</f>
        <v>755.16399999999999</v>
      </c>
      <c r="P125" s="677">
        <f>F125+46</f>
        <v>749.16399999999999</v>
      </c>
      <c r="Q125" s="338">
        <f t="shared" si="230"/>
        <v>749.16399999999999</v>
      </c>
      <c r="R125" s="677">
        <f>F125+41</f>
        <v>744.16399999999999</v>
      </c>
      <c r="S125" s="338">
        <f>+R125*$X$1</f>
        <v>744.16399999999999</v>
      </c>
      <c r="T125" s="677">
        <f>F125+36</f>
        <v>739.16399999999999</v>
      </c>
      <c r="U125" s="338">
        <f>+T125*$X$1</f>
        <v>739.16399999999999</v>
      </c>
      <c r="V125" s="677">
        <f>F125+32</f>
        <v>735.16399999999999</v>
      </c>
      <c r="W125" s="338">
        <f>+V125*$X$1</f>
        <v>735.16399999999999</v>
      </c>
      <c r="X125" s="693"/>
      <c r="Y125" s="724"/>
      <c r="Z125" s="724"/>
      <c r="AA125" s="695"/>
      <c r="AB125" s="534">
        <v>310</v>
      </c>
    </row>
    <row r="126" spans="1:28" ht="12.6" customHeight="1" x14ac:dyDescent="0.2">
      <c r="A126" s="20"/>
      <c r="B126" s="708" t="s">
        <v>563</v>
      </c>
      <c r="C126" s="709"/>
      <c r="D126" s="709"/>
      <c r="E126" s="709"/>
      <c r="F126" s="472">
        <f>1.815*X2</f>
        <v>1677.06</v>
      </c>
      <c r="G126" s="337">
        <f t="shared" ref="G126" si="235">+F126*$X$1</f>
        <v>1677.06</v>
      </c>
      <c r="H126" s="375"/>
      <c r="I126" s="337"/>
      <c r="J126" s="375">
        <f>F126+100</f>
        <v>1777.06</v>
      </c>
      <c r="K126" s="337">
        <f t="shared" ref="K126" si="236">+J126*$X$1</f>
        <v>1777.06</v>
      </c>
      <c r="L126" s="375">
        <f>F126+70</f>
        <v>1747.06</v>
      </c>
      <c r="M126" s="337">
        <f t="shared" ref="M126" si="237">+L126*$X$1</f>
        <v>1747.06</v>
      </c>
      <c r="N126" s="375">
        <f>F126+52</f>
        <v>1729.06</v>
      </c>
      <c r="O126" s="337">
        <f>+N126*$X$1</f>
        <v>1729.06</v>
      </c>
      <c r="P126" s="375">
        <f>F126+46</f>
        <v>1723.06</v>
      </c>
      <c r="Q126" s="337">
        <f t="shared" ref="Q126" si="238">+P126*$X$1</f>
        <v>1723.06</v>
      </c>
      <c r="R126" s="375">
        <f>F126+41</f>
        <v>1718.06</v>
      </c>
      <c r="S126" s="337">
        <f>+R126*$X$1</f>
        <v>1718.06</v>
      </c>
      <c r="T126" s="375">
        <f>F126+36</f>
        <v>1713.06</v>
      </c>
      <c r="U126" s="337">
        <f>+T126*$X$1</f>
        <v>1713.06</v>
      </c>
      <c r="V126" s="375">
        <f>F126+32</f>
        <v>1709.06</v>
      </c>
      <c r="W126" s="337">
        <f>+V126*$X$1</f>
        <v>1709.06</v>
      </c>
      <c r="X126" s="693"/>
      <c r="Y126" s="724"/>
      <c r="Z126" s="724"/>
      <c r="AA126" s="695"/>
      <c r="AB126" s="534">
        <v>312</v>
      </c>
    </row>
    <row r="127" spans="1:28" ht="12.6" customHeight="1" x14ac:dyDescent="0.2">
      <c r="A127" s="20"/>
      <c r="B127" s="795" t="s">
        <v>173</v>
      </c>
      <c r="C127" s="796"/>
      <c r="D127" s="796"/>
      <c r="E127" s="797"/>
      <c r="F127" s="338"/>
      <c r="G127" s="338"/>
      <c r="H127" s="677"/>
      <c r="I127" s="338"/>
      <c r="J127" s="93"/>
      <c r="K127" s="338"/>
      <c r="L127" s="677"/>
      <c r="M127" s="338"/>
      <c r="N127" s="677"/>
      <c r="O127" s="338"/>
      <c r="P127" s="677"/>
      <c r="Q127" s="338"/>
      <c r="R127" s="677"/>
      <c r="S127" s="338"/>
      <c r="T127" s="677"/>
      <c r="U127" s="338"/>
      <c r="V127" s="677"/>
      <c r="W127" s="338"/>
      <c r="X127" s="693"/>
      <c r="Y127" s="724"/>
      <c r="Z127" s="724"/>
      <c r="AA127" s="695"/>
      <c r="AB127" s="534" t="s">
        <v>174</v>
      </c>
    </row>
    <row r="128" spans="1:28" ht="12.6" customHeight="1" x14ac:dyDescent="0.2">
      <c r="A128" s="20"/>
      <c r="B128" s="1108" t="s">
        <v>175</v>
      </c>
      <c r="C128" s="1044"/>
      <c r="D128" s="1044"/>
      <c r="E128" s="1045"/>
      <c r="F128" s="364"/>
      <c r="G128" s="337"/>
      <c r="H128" s="375"/>
      <c r="I128" s="337"/>
      <c r="J128" s="75"/>
      <c r="K128" s="337"/>
      <c r="L128" s="375"/>
      <c r="M128" s="337"/>
      <c r="N128" s="375"/>
      <c r="O128" s="337"/>
      <c r="P128" s="375"/>
      <c r="Q128" s="337"/>
      <c r="R128" s="375"/>
      <c r="S128" s="337"/>
      <c r="T128" s="375"/>
      <c r="U128" s="337"/>
      <c r="V128" s="375"/>
      <c r="W128" s="337"/>
      <c r="X128" s="710"/>
      <c r="Y128" s="1082"/>
      <c r="Z128" s="1082"/>
      <c r="AA128" s="712"/>
      <c r="AB128" s="615" t="s">
        <v>176</v>
      </c>
    </row>
    <row r="129" spans="1:33" ht="12.6" customHeight="1" x14ac:dyDescent="0.2">
      <c r="A129" s="20"/>
      <c r="B129" s="795" t="s">
        <v>177</v>
      </c>
      <c r="C129" s="796"/>
      <c r="D129" s="796"/>
      <c r="E129" s="797"/>
      <c r="F129" s="338"/>
      <c r="G129" s="338"/>
      <c r="H129" s="677"/>
      <c r="I129" s="338"/>
      <c r="J129" s="93"/>
      <c r="K129" s="338"/>
      <c r="L129" s="677"/>
      <c r="M129" s="338"/>
      <c r="N129" s="677"/>
      <c r="O129" s="338"/>
      <c r="P129" s="677"/>
      <c r="Q129" s="338"/>
      <c r="R129" s="677"/>
      <c r="S129" s="338"/>
      <c r="T129" s="677"/>
      <c r="U129" s="338"/>
      <c r="V129" s="677"/>
      <c r="W129" s="338"/>
      <c r="X129" s="1082"/>
      <c r="Y129" s="1082"/>
      <c r="Z129" s="1082"/>
      <c r="AA129" s="1082"/>
      <c r="AB129" s="208" t="s">
        <v>178</v>
      </c>
    </row>
    <row r="130" spans="1:33" ht="12.6" customHeight="1" x14ac:dyDescent="0.2">
      <c r="A130" s="20"/>
      <c r="B130" s="703" t="s">
        <v>179</v>
      </c>
      <c r="C130" s="706"/>
      <c r="D130" s="706"/>
      <c r="E130" s="707"/>
      <c r="F130" s="337"/>
      <c r="G130" s="337"/>
      <c r="H130" s="375"/>
      <c r="I130" s="337"/>
      <c r="J130" s="75"/>
      <c r="K130" s="337"/>
      <c r="L130" s="375"/>
      <c r="M130" s="337"/>
      <c r="N130" s="375"/>
      <c r="O130" s="337"/>
      <c r="P130" s="375"/>
      <c r="Q130" s="337"/>
      <c r="R130" s="375"/>
      <c r="S130" s="337"/>
      <c r="T130" s="375"/>
      <c r="U130" s="337"/>
      <c r="V130" s="375"/>
      <c r="W130" s="337"/>
      <c r="X130" s="1082"/>
      <c r="Y130" s="1082"/>
      <c r="Z130" s="1082"/>
      <c r="AA130" s="1082"/>
      <c r="AB130" s="208" t="s">
        <v>180</v>
      </c>
    </row>
    <row r="131" spans="1:33" ht="12.6" customHeight="1" x14ac:dyDescent="0.2">
      <c r="A131" s="101"/>
      <c r="B131" s="795" t="s">
        <v>424</v>
      </c>
      <c r="C131" s="907"/>
      <c r="D131" s="907"/>
      <c r="E131" s="908"/>
      <c r="F131" s="338"/>
      <c r="G131" s="338"/>
      <c r="H131" s="93"/>
      <c r="I131" s="677"/>
      <c r="J131" s="677"/>
      <c r="K131" s="677"/>
      <c r="L131" s="677"/>
      <c r="M131" s="338"/>
      <c r="N131" s="677"/>
      <c r="O131" s="338"/>
      <c r="P131" s="677"/>
      <c r="Q131" s="338"/>
      <c r="R131" s="677"/>
      <c r="S131" s="338"/>
      <c r="T131" s="677"/>
      <c r="U131" s="338"/>
      <c r="V131" s="677"/>
      <c r="W131" s="338"/>
      <c r="X131" s="813"/>
      <c r="Y131" s="815"/>
      <c r="Z131" s="815"/>
      <c r="AA131" s="816"/>
      <c r="AB131" s="208"/>
    </row>
    <row r="132" spans="1:33" ht="12.6" customHeight="1" x14ac:dyDescent="0.2">
      <c r="A132" s="101"/>
      <c r="B132" s="708" t="s">
        <v>181</v>
      </c>
      <c r="C132" s="709"/>
      <c r="D132" s="709"/>
      <c r="E132" s="709"/>
      <c r="F132" s="337"/>
      <c r="G132" s="337"/>
      <c r="H132" s="75"/>
      <c r="I132" s="375"/>
      <c r="J132" s="375"/>
      <c r="K132" s="375"/>
      <c r="L132" s="375"/>
      <c r="M132" s="337"/>
      <c r="N132" s="375"/>
      <c r="O132" s="337"/>
      <c r="P132" s="375"/>
      <c r="Q132" s="337"/>
      <c r="R132" s="375"/>
      <c r="S132" s="337"/>
      <c r="T132" s="375"/>
      <c r="U132" s="337"/>
      <c r="V132" s="375"/>
      <c r="W132" s="337"/>
      <c r="X132" s="813"/>
      <c r="Y132" s="814"/>
      <c r="Z132" s="814"/>
      <c r="AA132" s="778"/>
      <c r="AB132" s="208">
        <v>316</v>
      </c>
      <c r="AC132" s="64"/>
      <c r="AD132" s="64"/>
      <c r="AE132" s="64"/>
      <c r="AF132" s="64"/>
    </row>
    <row r="133" spans="1:33" ht="12.6" customHeight="1" x14ac:dyDescent="0.2">
      <c r="A133" s="101"/>
      <c r="B133" s="701" t="s">
        <v>182</v>
      </c>
      <c r="C133" s="688"/>
      <c r="D133" s="688"/>
      <c r="E133" s="688"/>
      <c r="F133" s="338"/>
      <c r="G133" s="425"/>
      <c r="H133" s="93"/>
      <c r="I133" s="263"/>
      <c r="J133" s="677"/>
      <c r="K133" s="263"/>
      <c r="L133" s="677"/>
      <c r="M133" s="427"/>
      <c r="N133" s="677"/>
      <c r="O133" s="427"/>
      <c r="P133" s="677"/>
      <c r="Q133" s="427"/>
      <c r="R133" s="677"/>
      <c r="S133" s="427"/>
      <c r="T133" s="677"/>
      <c r="U133" s="338"/>
      <c r="V133" s="677"/>
      <c r="W133" s="338"/>
      <c r="X133" s="813"/>
      <c r="Y133" s="814"/>
      <c r="Z133" s="814"/>
      <c r="AA133" s="778"/>
      <c r="AB133" s="208">
        <v>318</v>
      </c>
      <c r="AC133" s="64"/>
      <c r="AD133" s="64"/>
      <c r="AE133" s="64"/>
      <c r="AF133" s="64"/>
    </row>
    <row r="134" spans="1:33" ht="12.6" customHeight="1" x14ac:dyDescent="0.2">
      <c r="A134" s="20"/>
      <c r="B134" s="793" t="s">
        <v>381</v>
      </c>
      <c r="C134" s="794"/>
      <c r="D134" s="794"/>
      <c r="E134" s="794"/>
      <c r="F134" s="393">
        <v>815</v>
      </c>
      <c r="G134" s="371">
        <f>+F134*$X$1</f>
        <v>815</v>
      </c>
      <c r="H134" s="209" t="s">
        <v>183</v>
      </c>
      <c r="I134" s="212"/>
      <c r="J134" s="89"/>
      <c r="K134" s="89"/>
      <c r="L134" s="181"/>
      <c r="M134" s="89"/>
      <c r="N134" s="89"/>
      <c r="O134" s="89"/>
      <c r="P134" s="86">
        <v>60</v>
      </c>
      <c r="Q134" s="211">
        <f>+P134*$X$1</f>
        <v>60</v>
      </c>
      <c r="R134" s="1296"/>
      <c r="S134" s="431"/>
      <c r="T134" s="75"/>
      <c r="U134" s="337"/>
      <c r="V134" s="375"/>
      <c r="W134" s="337"/>
      <c r="X134" s="813"/>
      <c r="Y134" s="814"/>
      <c r="Z134" s="814"/>
      <c r="AA134" s="778"/>
      <c r="AB134" s="541"/>
      <c r="AC134" s="781"/>
      <c r="AD134" s="782"/>
      <c r="AE134" s="782"/>
      <c r="AF134" s="782"/>
      <c r="AG134" s="4"/>
    </row>
    <row r="135" spans="1:33" ht="12.6" customHeight="1" x14ac:dyDescent="0.2">
      <c r="A135" s="20"/>
      <c r="B135" s="1063" t="s">
        <v>382</v>
      </c>
      <c r="C135" s="1064"/>
      <c r="D135" s="1064"/>
      <c r="E135" s="1064"/>
      <c r="F135" s="392">
        <v>875</v>
      </c>
      <c r="G135" s="426">
        <f>+F135*$X$1</f>
        <v>875</v>
      </c>
      <c r="H135" s="309" t="s">
        <v>183</v>
      </c>
      <c r="I135" s="310"/>
      <c r="J135" s="311"/>
      <c r="K135" s="311"/>
      <c r="L135" s="312"/>
      <c r="M135" s="311"/>
      <c r="N135" s="311"/>
      <c r="O135" s="311"/>
      <c r="P135" s="313">
        <v>60</v>
      </c>
      <c r="Q135" s="314">
        <f>+P135*$X$1</f>
        <v>60</v>
      </c>
      <c r="R135" s="315"/>
      <c r="S135" s="432"/>
      <c r="T135" s="316"/>
      <c r="U135" s="340"/>
      <c r="V135" s="99"/>
      <c r="W135" s="340"/>
      <c r="X135" s="813"/>
      <c r="Y135" s="814"/>
      <c r="Z135" s="814"/>
      <c r="AA135" s="778"/>
      <c r="AB135" s="541"/>
    </row>
    <row r="136" spans="1:33" ht="12.6" customHeight="1" x14ac:dyDescent="0.2">
      <c r="A136" s="20"/>
      <c r="B136" s="793" t="s">
        <v>184</v>
      </c>
      <c r="C136" s="794"/>
      <c r="D136" s="794"/>
      <c r="E136" s="794"/>
      <c r="F136" s="337"/>
      <c r="G136" s="337"/>
      <c r="H136" s="318"/>
      <c r="I136" s="337"/>
      <c r="J136" s="375">
        <f>F135+110</f>
        <v>985</v>
      </c>
      <c r="K136" s="337">
        <f t="shared" ref="K136:K137" si="239">+J136*$X$1</f>
        <v>985</v>
      </c>
      <c r="L136" s="375">
        <f>F135+70</f>
        <v>945</v>
      </c>
      <c r="M136" s="337">
        <f>+L136*$X$1</f>
        <v>945</v>
      </c>
      <c r="N136" s="375">
        <f>F135+45</f>
        <v>920</v>
      </c>
      <c r="O136" s="337">
        <f>+N136*$X$1</f>
        <v>920</v>
      </c>
      <c r="P136" s="375">
        <f>F135+41</f>
        <v>916</v>
      </c>
      <c r="Q136" s="337">
        <f t="shared" ref="Q136:Q137" si="240">+P136*$X$1</f>
        <v>916</v>
      </c>
      <c r="R136" s="375">
        <f>F135+38</f>
        <v>913</v>
      </c>
      <c r="S136" s="337">
        <f>+R136*$X$1</f>
        <v>913</v>
      </c>
      <c r="T136" s="375">
        <f>F135+32</f>
        <v>907</v>
      </c>
      <c r="U136" s="337">
        <f t="shared" ref="U136:U137" si="241">+T136*$X$1</f>
        <v>907</v>
      </c>
      <c r="V136" s="375">
        <f>F135+28</f>
        <v>903</v>
      </c>
      <c r="W136" s="337">
        <f>+V136*$X$1</f>
        <v>903</v>
      </c>
      <c r="X136" s="813"/>
      <c r="Y136" s="814"/>
      <c r="Z136" s="814"/>
      <c r="AA136" s="778"/>
      <c r="AB136" s="534">
        <v>321</v>
      </c>
    </row>
    <row r="137" spans="1:33" ht="12.6" customHeight="1" x14ac:dyDescent="0.2">
      <c r="A137" s="20"/>
      <c r="B137" s="1063" t="s">
        <v>631</v>
      </c>
      <c r="C137" s="1064"/>
      <c r="D137" s="1064"/>
      <c r="E137" s="1064"/>
      <c r="F137" s="338"/>
      <c r="G137" s="338"/>
      <c r="H137" s="356"/>
      <c r="I137" s="338"/>
      <c r="J137" s="677">
        <f>F135+237</f>
        <v>1112</v>
      </c>
      <c r="K137" s="338">
        <f t="shared" si="239"/>
        <v>1112</v>
      </c>
      <c r="L137" s="677">
        <f>F135+147</f>
        <v>1022</v>
      </c>
      <c r="M137" s="338">
        <f>+L137*$X$1</f>
        <v>1022</v>
      </c>
      <c r="N137" s="677">
        <f>F135+108</f>
        <v>983</v>
      </c>
      <c r="O137" s="338">
        <f>+N137*$X$1</f>
        <v>983</v>
      </c>
      <c r="P137" s="677">
        <f>F135+98</f>
        <v>973</v>
      </c>
      <c r="Q137" s="338">
        <f t="shared" si="240"/>
        <v>973</v>
      </c>
      <c r="R137" s="677">
        <f>F135+84</f>
        <v>959</v>
      </c>
      <c r="S137" s="338">
        <f>+R137*$X$1</f>
        <v>959</v>
      </c>
      <c r="T137" s="677">
        <f>F135+73</f>
        <v>948</v>
      </c>
      <c r="U137" s="338">
        <f t="shared" si="241"/>
        <v>948</v>
      </c>
      <c r="V137" s="677">
        <f>F135+68</f>
        <v>943</v>
      </c>
      <c r="W137" s="338">
        <f>+V137*$X$1</f>
        <v>943</v>
      </c>
      <c r="X137" s="813"/>
      <c r="Y137" s="814"/>
      <c r="Z137" s="814"/>
      <c r="AA137" s="778"/>
      <c r="AB137" s="534">
        <v>322</v>
      </c>
    </row>
    <row r="138" spans="1:33" ht="12.6" customHeight="1" x14ac:dyDescent="0.2">
      <c r="A138" s="20"/>
      <c r="B138" s="793" t="s">
        <v>383</v>
      </c>
      <c r="C138" s="794"/>
      <c r="D138" s="794"/>
      <c r="E138" s="794"/>
      <c r="F138" s="393">
        <v>1020</v>
      </c>
      <c r="G138" s="371">
        <f>+F138*$X$1</f>
        <v>1020</v>
      </c>
      <c r="H138" s="1295" t="s">
        <v>183</v>
      </c>
      <c r="I138" s="210"/>
      <c r="J138" s="87"/>
      <c r="K138" s="87"/>
      <c r="L138" s="87"/>
      <c r="M138" s="87"/>
      <c r="N138" s="87"/>
      <c r="O138" s="87"/>
      <c r="P138" s="88">
        <v>90</v>
      </c>
      <c r="Q138" s="317">
        <f>+P138*$X$1</f>
        <v>90</v>
      </c>
      <c r="R138" s="303"/>
      <c r="S138" s="420"/>
      <c r="T138" s="320"/>
      <c r="U138" s="428"/>
      <c r="V138" s="90"/>
      <c r="W138" s="430"/>
      <c r="X138" s="813"/>
      <c r="Y138" s="814"/>
      <c r="Z138" s="814"/>
      <c r="AA138" s="778"/>
      <c r="AB138" s="541"/>
    </row>
    <row r="139" spans="1:33" ht="12.6" customHeight="1" x14ac:dyDescent="0.2">
      <c r="A139" s="20"/>
      <c r="B139" s="701" t="s">
        <v>185</v>
      </c>
      <c r="C139" s="688"/>
      <c r="D139" s="688"/>
      <c r="E139" s="688"/>
      <c r="F139" s="562">
        <v>1090</v>
      </c>
      <c r="G139" s="426">
        <f>+F139*$X$1</f>
        <v>1090</v>
      </c>
      <c r="H139" s="309" t="s">
        <v>183</v>
      </c>
      <c r="I139" s="321"/>
      <c r="J139" s="87"/>
      <c r="K139" s="87"/>
      <c r="L139" s="87"/>
      <c r="M139" s="87"/>
      <c r="N139" s="87"/>
      <c r="O139" s="87"/>
      <c r="P139" s="88">
        <v>90</v>
      </c>
      <c r="Q139" s="211">
        <f>+P139*$X$1</f>
        <v>90</v>
      </c>
      <c r="R139" s="303"/>
      <c r="S139" s="410"/>
      <c r="T139" s="319"/>
      <c r="U139" s="429"/>
      <c r="V139" s="93"/>
      <c r="W139" s="380"/>
      <c r="X139" s="813"/>
      <c r="Y139" s="814"/>
      <c r="Z139" s="814"/>
      <c r="AA139" s="778"/>
      <c r="AB139" s="541"/>
    </row>
    <row r="140" spans="1:33" ht="12.6" customHeight="1" x14ac:dyDescent="0.2">
      <c r="A140" s="20"/>
      <c r="B140" s="708" t="s">
        <v>186</v>
      </c>
      <c r="C140" s="709"/>
      <c r="D140" s="709"/>
      <c r="E140" s="709"/>
      <c r="F140" s="415"/>
      <c r="G140" s="415"/>
      <c r="H140" s="328"/>
      <c r="I140" s="412"/>
      <c r="J140" s="375">
        <f>F139+110</f>
        <v>1200</v>
      </c>
      <c r="K140" s="337">
        <f t="shared" ref="K140" si="242">+J140*$X$1</f>
        <v>1200</v>
      </c>
      <c r="L140" s="375">
        <f>F139+70</f>
        <v>1160</v>
      </c>
      <c r="M140" s="337">
        <f>+L140*$X$1</f>
        <v>1160</v>
      </c>
      <c r="N140" s="375">
        <f>F139+45</f>
        <v>1135</v>
      </c>
      <c r="O140" s="337">
        <f>+N140*$X$1</f>
        <v>1135</v>
      </c>
      <c r="P140" s="375">
        <f>F139+41</f>
        <v>1131</v>
      </c>
      <c r="Q140" s="337">
        <f t="shared" ref="Q140" si="243">+P140*$X$1</f>
        <v>1131</v>
      </c>
      <c r="R140" s="375">
        <f>F139+38</f>
        <v>1128</v>
      </c>
      <c r="S140" s="337">
        <f>+R140*$X$1</f>
        <v>1128</v>
      </c>
      <c r="T140" s="375">
        <f>F139+32</f>
        <v>1122</v>
      </c>
      <c r="U140" s="337">
        <f t="shared" ref="U140" si="244">+T140*$X$1</f>
        <v>1122</v>
      </c>
      <c r="V140" s="375">
        <f>F139+28</f>
        <v>1118</v>
      </c>
      <c r="W140" s="337">
        <f>+V140*$X$1</f>
        <v>1118</v>
      </c>
      <c r="X140" s="813"/>
      <c r="Y140" s="814"/>
      <c r="Z140" s="814"/>
      <c r="AA140" s="778"/>
      <c r="AB140" s="534">
        <v>325</v>
      </c>
    </row>
    <row r="141" spans="1:33" ht="12.6" customHeight="1" x14ac:dyDescent="0.2">
      <c r="A141" s="20"/>
      <c r="B141" s="701" t="s">
        <v>630</v>
      </c>
      <c r="C141" s="688"/>
      <c r="D141" s="688"/>
      <c r="E141" s="688"/>
      <c r="F141" s="414"/>
      <c r="G141" s="414"/>
      <c r="H141" s="327"/>
      <c r="I141" s="413"/>
      <c r="J141" s="677">
        <f>F139+240</f>
        <v>1330</v>
      </c>
      <c r="K141" s="338">
        <f t="shared" ref="K141:K143" si="245">+J141*$X$1</f>
        <v>1330</v>
      </c>
      <c r="L141" s="677">
        <f>F139+150</f>
        <v>1240</v>
      </c>
      <c r="M141" s="338">
        <f>+L141*$X$1</f>
        <v>1240</v>
      </c>
      <c r="N141" s="677">
        <f>F139+110</f>
        <v>1200</v>
      </c>
      <c r="O141" s="338">
        <f>+N141*$X$1</f>
        <v>1200</v>
      </c>
      <c r="P141" s="677">
        <f>F139+100</f>
        <v>1190</v>
      </c>
      <c r="Q141" s="338">
        <f t="shared" ref="Q141:Q143" si="246">+P141*$X$1</f>
        <v>1190</v>
      </c>
      <c r="R141" s="677">
        <f>F139+86</f>
        <v>1176</v>
      </c>
      <c r="S141" s="338">
        <f>+R141*$X$1</f>
        <v>1176</v>
      </c>
      <c r="T141" s="677">
        <f>F139+75</f>
        <v>1165</v>
      </c>
      <c r="U141" s="338">
        <f t="shared" ref="U141" si="247">+T141*$X$1</f>
        <v>1165</v>
      </c>
      <c r="V141" s="677">
        <f>F139+70</f>
        <v>1160</v>
      </c>
      <c r="W141" s="338">
        <f>+V141*$X$1</f>
        <v>1160</v>
      </c>
      <c r="X141" s="813"/>
      <c r="Y141" s="814"/>
      <c r="Z141" s="814"/>
      <c r="AA141" s="778"/>
      <c r="AB141" s="534">
        <v>326</v>
      </c>
    </row>
    <row r="142" spans="1:33" ht="12.6" customHeight="1" x14ac:dyDescent="0.2">
      <c r="A142" s="20"/>
      <c r="B142" s="708" t="s">
        <v>406</v>
      </c>
      <c r="C142" s="709"/>
      <c r="D142" s="709"/>
      <c r="E142" s="709"/>
      <c r="F142" s="472">
        <f>8.3*X2</f>
        <v>7669.2000000000007</v>
      </c>
      <c r="G142" s="337">
        <f>+F142*$X$1</f>
        <v>7669.2000000000007</v>
      </c>
      <c r="H142" s="375">
        <f>F142+250</f>
        <v>7919.2000000000007</v>
      </c>
      <c r="I142" s="337">
        <f t="shared" ref="I142" si="248">+H142*$X$1</f>
        <v>7919.2000000000007</v>
      </c>
      <c r="J142" s="375">
        <f>F142+100</f>
        <v>7769.2000000000007</v>
      </c>
      <c r="K142" s="337">
        <f t="shared" si="245"/>
        <v>7769.2000000000007</v>
      </c>
      <c r="L142" s="375">
        <f>F142+70</f>
        <v>7739.2000000000007</v>
      </c>
      <c r="M142" s="337">
        <f t="shared" ref="M142" si="249">+L142*$X$1</f>
        <v>7739.2000000000007</v>
      </c>
      <c r="N142" s="375">
        <f>F142+52</f>
        <v>7721.2000000000007</v>
      </c>
      <c r="O142" s="337">
        <f>+N142*$X$1</f>
        <v>7721.2000000000007</v>
      </c>
      <c r="P142" s="375">
        <f>F142+46</f>
        <v>7715.2000000000007</v>
      </c>
      <c r="Q142" s="337">
        <f t="shared" si="246"/>
        <v>7715.2000000000007</v>
      </c>
      <c r="R142" s="375">
        <f>F142+41</f>
        <v>7710.2000000000007</v>
      </c>
      <c r="S142" s="337">
        <f>+R142*$X$1</f>
        <v>7710.2000000000007</v>
      </c>
      <c r="T142" s="375">
        <f>F142+36</f>
        <v>7705.2000000000007</v>
      </c>
      <c r="U142" s="337">
        <f>+T142*$X$1</f>
        <v>7705.2000000000007</v>
      </c>
      <c r="V142" s="375">
        <f>F142+32</f>
        <v>7701.2000000000007</v>
      </c>
      <c r="W142" s="337">
        <f>+V142*$X$1</f>
        <v>7701.2000000000007</v>
      </c>
      <c r="X142" s="717"/>
      <c r="Y142" s="723"/>
      <c r="Z142" s="723"/>
      <c r="AA142" s="700"/>
      <c r="AB142" s="208">
        <v>332</v>
      </c>
    </row>
    <row r="143" spans="1:33" ht="12.6" customHeight="1" x14ac:dyDescent="0.2">
      <c r="A143" s="20"/>
      <c r="B143" s="713" t="s">
        <v>777</v>
      </c>
      <c r="C143" s="714"/>
      <c r="D143" s="714"/>
      <c r="E143" s="714"/>
      <c r="F143" s="473">
        <f>5.54*X2</f>
        <v>5118.96</v>
      </c>
      <c r="G143" s="338">
        <f>+F143*$X$1</f>
        <v>5118.96</v>
      </c>
      <c r="H143" s="677">
        <f>F143+250</f>
        <v>5368.96</v>
      </c>
      <c r="I143" s="338">
        <f t="shared" ref="I143" si="250">+H143*$X$1</f>
        <v>5368.96</v>
      </c>
      <c r="J143" s="677">
        <f>F143+100</f>
        <v>5218.96</v>
      </c>
      <c r="K143" s="338">
        <f t="shared" si="245"/>
        <v>5218.96</v>
      </c>
      <c r="L143" s="677">
        <f>F143+70</f>
        <v>5188.96</v>
      </c>
      <c r="M143" s="338">
        <f t="shared" ref="M143" si="251">+L143*$X$1</f>
        <v>5188.96</v>
      </c>
      <c r="N143" s="677">
        <f>F143+52</f>
        <v>5170.96</v>
      </c>
      <c r="O143" s="338">
        <f>+N143*$X$1</f>
        <v>5170.96</v>
      </c>
      <c r="P143" s="677">
        <f>F143+46</f>
        <v>5164.96</v>
      </c>
      <c r="Q143" s="338">
        <f t="shared" si="246"/>
        <v>5164.96</v>
      </c>
      <c r="R143" s="677">
        <f>F143+41</f>
        <v>5159.96</v>
      </c>
      <c r="S143" s="338">
        <f>+R143*$X$1</f>
        <v>5159.96</v>
      </c>
      <c r="T143" s="677">
        <f>F143+36</f>
        <v>5154.96</v>
      </c>
      <c r="U143" s="338">
        <f>+T143*$X$1</f>
        <v>5154.96</v>
      </c>
      <c r="V143" s="677">
        <f>F143+32</f>
        <v>5150.96</v>
      </c>
      <c r="W143" s="338">
        <f>+V143*$X$1</f>
        <v>5150.96</v>
      </c>
      <c r="X143" s="717"/>
      <c r="Y143" s="723"/>
      <c r="Z143" s="723"/>
      <c r="AA143" s="700"/>
      <c r="AB143" s="208">
        <v>337</v>
      </c>
    </row>
    <row r="144" spans="1:33" ht="12.6" customHeight="1" x14ac:dyDescent="0.2">
      <c r="A144" s="22"/>
      <c r="B144" s="718" t="s">
        <v>384</v>
      </c>
      <c r="C144" s="719"/>
      <c r="D144" s="719"/>
      <c r="E144" s="719"/>
      <c r="F144" s="364"/>
      <c r="G144" s="364"/>
      <c r="H144" s="549"/>
      <c r="I144" s="549"/>
      <c r="J144" s="375"/>
      <c r="K144" s="337"/>
      <c r="L144" s="375"/>
      <c r="M144" s="337"/>
      <c r="N144" s="90"/>
      <c r="O144" s="364"/>
      <c r="P144" s="90"/>
      <c r="Q144" s="364"/>
      <c r="R144" s="108"/>
      <c r="S144" s="364"/>
      <c r="T144" s="108"/>
      <c r="U144" s="299"/>
      <c r="V144" s="108"/>
      <c r="W144" s="299"/>
      <c r="X144" s="161"/>
      <c r="Y144" s="161"/>
      <c r="Z144" s="161"/>
      <c r="AA144" s="161"/>
      <c r="AB144" s="208">
        <v>344</v>
      </c>
    </row>
    <row r="145" spans="1:34" ht="12.6" customHeight="1" x14ac:dyDescent="0.2">
      <c r="A145" s="22"/>
      <c r="B145" s="701" t="s">
        <v>187</v>
      </c>
      <c r="C145" s="688"/>
      <c r="D145" s="688"/>
      <c r="E145" s="688"/>
      <c r="F145" s="338"/>
      <c r="G145" s="338"/>
      <c r="H145" s="537"/>
      <c r="I145" s="537"/>
      <c r="J145" s="550"/>
      <c r="K145" s="338"/>
      <c r="L145" s="550"/>
      <c r="M145" s="338"/>
      <c r="N145" s="94"/>
      <c r="O145" s="380"/>
      <c r="P145" s="94"/>
      <c r="Q145" s="380"/>
      <c r="R145" s="107"/>
      <c r="S145" s="380"/>
      <c r="T145" s="107"/>
      <c r="U145" s="363"/>
      <c r="V145" s="107"/>
      <c r="W145" s="363"/>
      <c r="X145" s="161"/>
      <c r="Y145" s="161"/>
      <c r="Z145" s="161"/>
      <c r="AA145" s="161"/>
      <c r="AB145" s="208">
        <v>345</v>
      </c>
    </row>
    <row r="146" spans="1:34" ht="12.6" customHeight="1" x14ac:dyDescent="0.2">
      <c r="A146" s="22"/>
      <c r="B146" s="1065" t="s">
        <v>188</v>
      </c>
      <c r="C146" s="1066"/>
      <c r="D146" s="1066"/>
      <c r="E146" s="1066"/>
      <c r="F146" s="337">
        <v>350</v>
      </c>
      <c r="G146" s="337">
        <f t="shared" ref="G146" si="252">+F146*$X$1</f>
        <v>350</v>
      </c>
      <c r="H146" s="549"/>
      <c r="I146" s="586"/>
      <c r="J146" s="375">
        <f>F146+250</f>
        <v>600</v>
      </c>
      <c r="K146" s="337">
        <f t="shared" ref="K146" si="253">+J146*$X$1</f>
        <v>600</v>
      </c>
      <c r="L146" s="375">
        <f>F146+200</f>
        <v>550</v>
      </c>
      <c r="M146" s="337">
        <f>+L146*$X$1</f>
        <v>550</v>
      </c>
      <c r="N146" s="375">
        <f>F146+170</f>
        <v>520</v>
      </c>
      <c r="O146" s="337">
        <f>+N146*$X$1</f>
        <v>520</v>
      </c>
      <c r="P146" s="375">
        <f>F146+140</f>
        <v>490</v>
      </c>
      <c r="Q146" s="337">
        <f t="shared" ref="Q146" si="254">+P146*$X$1</f>
        <v>490</v>
      </c>
      <c r="R146" s="375">
        <f>F146+120</f>
        <v>470</v>
      </c>
      <c r="S146" s="337">
        <f>+R146*$X$1</f>
        <v>470</v>
      </c>
      <c r="T146" s="375">
        <f>F146+100</f>
        <v>450</v>
      </c>
      <c r="U146" s="337">
        <f t="shared" ref="U146" si="255">+T146*$X$1</f>
        <v>450</v>
      </c>
      <c r="V146" s="375">
        <f>F146+90</f>
        <v>440</v>
      </c>
      <c r="W146" s="337">
        <f>+V146*$X$1</f>
        <v>440</v>
      </c>
      <c r="X146" s="161"/>
      <c r="Y146" s="161"/>
      <c r="Z146" s="161"/>
      <c r="AA146" s="161"/>
      <c r="AB146" s="208">
        <v>347</v>
      </c>
    </row>
    <row r="147" spans="1:34" ht="12.6" customHeight="1" x14ac:dyDescent="0.2">
      <c r="A147" s="22"/>
      <c r="B147" s="701" t="s">
        <v>738</v>
      </c>
      <c r="C147" s="688"/>
      <c r="D147" s="688"/>
      <c r="E147" s="688"/>
      <c r="F147" s="353"/>
      <c r="G147" s="565"/>
      <c r="H147" s="550"/>
      <c r="I147" s="550"/>
      <c r="J147" s="550"/>
      <c r="K147" s="550"/>
      <c r="L147" s="304"/>
      <c r="M147" s="304"/>
      <c r="N147" s="332"/>
      <c r="O147" s="550"/>
      <c r="P147" s="304"/>
      <c r="Q147" s="304"/>
      <c r="R147" s="550"/>
      <c r="S147" s="550"/>
      <c r="T147" s="550"/>
      <c r="U147" s="98"/>
      <c r="V147" s="550"/>
      <c r="W147" s="98"/>
      <c r="X147" s="161"/>
      <c r="Y147" s="161"/>
      <c r="Z147" s="161"/>
      <c r="AA147" s="161"/>
      <c r="AB147" s="208">
        <v>348</v>
      </c>
    </row>
    <row r="148" spans="1:34" ht="12.6" customHeight="1" x14ac:dyDescent="0.2">
      <c r="A148" s="22"/>
      <c r="B148" s="708" t="s">
        <v>189</v>
      </c>
      <c r="C148" s="709"/>
      <c r="D148" s="709"/>
      <c r="E148" s="709"/>
      <c r="F148" s="354"/>
      <c r="G148" s="564"/>
      <c r="H148" s="375"/>
      <c r="I148" s="375"/>
      <c r="J148" s="375"/>
      <c r="K148" s="375"/>
      <c r="L148" s="307"/>
      <c r="M148" s="307"/>
      <c r="N148" s="325"/>
      <c r="O148" s="375"/>
      <c r="P148" s="307"/>
      <c r="Q148" s="307"/>
      <c r="R148" s="375"/>
      <c r="S148" s="375"/>
      <c r="T148" s="375"/>
      <c r="U148" s="100"/>
      <c r="V148" s="375"/>
      <c r="W148" s="100"/>
      <c r="X148" s="161"/>
      <c r="Y148" s="161"/>
      <c r="Z148" s="161"/>
      <c r="AA148" s="161"/>
      <c r="AB148" s="208">
        <v>349</v>
      </c>
    </row>
    <row r="149" spans="1:34" ht="12.6" customHeight="1" x14ac:dyDescent="0.2">
      <c r="A149" s="22"/>
      <c r="B149" s="701" t="s">
        <v>190</v>
      </c>
      <c r="C149" s="688"/>
      <c r="D149" s="688"/>
      <c r="E149" s="688"/>
      <c r="F149" s="353"/>
      <c r="G149" s="565"/>
      <c r="H149" s="550"/>
      <c r="I149" s="550"/>
      <c r="J149" s="550"/>
      <c r="K149" s="550"/>
      <c r="L149" s="304"/>
      <c r="M149" s="304"/>
      <c r="N149" s="332"/>
      <c r="O149" s="550"/>
      <c r="P149" s="304"/>
      <c r="Q149" s="304"/>
      <c r="R149" s="550"/>
      <c r="S149" s="550"/>
      <c r="T149" s="550"/>
      <c r="U149" s="98"/>
      <c r="V149" s="550"/>
      <c r="W149" s="98"/>
      <c r="X149" s="161"/>
      <c r="Y149" s="161"/>
      <c r="Z149" s="161"/>
      <c r="AA149" s="161"/>
      <c r="AB149" s="208">
        <v>350</v>
      </c>
    </row>
    <row r="150" spans="1:34" ht="12.6" customHeight="1" x14ac:dyDescent="0.2">
      <c r="A150" s="22"/>
      <c r="B150" s="708" t="s">
        <v>191</v>
      </c>
      <c r="C150" s="709"/>
      <c r="D150" s="709"/>
      <c r="E150" s="709"/>
      <c r="F150" s="354"/>
      <c r="G150" s="564"/>
      <c r="H150" s="375"/>
      <c r="I150" s="375"/>
      <c r="J150" s="375"/>
      <c r="K150" s="375"/>
      <c r="L150" s="307"/>
      <c r="M150" s="307"/>
      <c r="N150" s="325"/>
      <c r="O150" s="375"/>
      <c r="P150" s="307"/>
      <c r="Q150" s="307"/>
      <c r="R150" s="375"/>
      <c r="S150" s="375"/>
      <c r="T150" s="375"/>
      <c r="U150" s="100"/>
      <c r="V150" s="375"/>
      <c r="W150" s="100"/>
      <c r="X150" s="161"/>
      <c r="Y150" s="161"/>
      <c r="Z150" s="161"/>
      <c r="AA150" s="161"/>
      <c r="AB150" s="208">
        <v>351</v>
      </c>
    </row>
    <row r="151" spans="1:34" ht="12.6" customHeight="1" x14ac:dyDescent="0.2">
      <c r="A151" s="22"/>
      <c r="B151" s="701" t="s">
        <v>192</v>
      </c>
      <c r="C151" s="688"/>
      <c r="D151" s="688"/>
      <c r="E151" s="688"/>
      <c r="F151" s="353"/>
      <c r="G151" s="565"/>
      <c r="H151" s="550"/>
      <c r="I151" s="550"/>
      <c r="J151" s="550"/>
      <c r="K151" s="550"/>
      <c r="L151" s="304"/>
      <c r="M151" s="304"/>
      <c r="N151" s="107"/>
      <c r="O151" s="550"/>
      <c r="P151" s="304"/>
      <c r="Q151" s="304"/>
      <c r="R151" s="550"/>
      <c r="S151" s="550"/>
      <c r="T151" s="107"/>
      <c r="U151" s="556"/>
      <c r="V151" s="107"/>
      <c r="W151" s="556"/>
      <c r="X151" s="161"/>
      <c r="Y151" s="161"/>
      <c r="Z151" s="161"/>
      <c r="AA151" s="161"/>
      <c r="AB151" s="208">
        <v>352</v>
      </c>
    </row>
    <row r="152" spans="1:34" ht="12.6" customHeight="1" x14ac:dyDescent="0.2">
      <c r="A152" s="22"/>
      <c r="B152" s="703" t="s">
        <v>432</v>
      </c>
      <c r="C152" s="706"/>
      <c r="D152" s="706"/>
      <c r="E152" s="707"/>
      <c r="F152" s="478">
        <f>0.88*X2</f>
        <v>813.12</v>
      </c>
      <c r="G152" s="299">
        <f t="shared" ref="G152" si="256">+F152*$X$1</f>
        <v>813.12</v>
      </c>
      <c r="H152" s="555"/>
      <c r="I152" s="337"/>
      <c r="J152" s="375"/>
      <c r="K152" s="337"/>
      <c r="L152" s="375">
        <f t="shared" ref="L152" si="257">F152+70</f>
        <v>883.12</v>
      </c>
      <c r="M152" s="337">
        <f t="shared" ref="M152" si="258">+L152*$X$1</f>
        <v>883.12</v>
      </c>
      <c r="N152" s="375">
        <f>F152+50</f>
        <v>863.12</v>
      </c>
      <c r="O152" s="337">
        <f t="shared" ref="O152" si="259">+N152*$X$1</f>
        <v>863.12</v>
      </c>
      <c r="P152" s="375">
        <f>F152+40</f>
        <v>853.12</v>
      </c>
      <c r="Q152" s="337">
        <f t="shared" ref="Q152" si="260">+P152*$X$1</f>
        <v>853.12</v>
      </c>
      <c r="R152" s="375">
        <f>F152+33</f>
        <v>846.12</v>
      </c>
      <c r="S152" s="337">
        <f t="shared" ref="S152" si="261">+R152*$X$1</f>
        <v>846.12</v>
      </c>
      <c r="T152" s="108">
        <f>F152+28</f>
        <v>841.12</v>
      </c>
      <c r="U152" s="299">
        <f t="shared" ref="U152" si="262">+T152*$X$1</f>
        <v>841.12</v>
      </c>
      <c r="V152" s="108">
        <f>F152+24</f>
        <v>837.12</v>
      </c>
      <c r="W152" s="299">
        <f t="shared" ref="W152" si="263">+V152*$X$1</f>
        <v>837.12</v>
      </c>
      <c r="X152" s="710"/>
      <c r="Y152" s="798"/>
      <c r="Z152" s="798"/>
      <c r="AA152" s="799"/>
      <c r="AB152" s="208">
        <v>370</v>
      </c>
    </row>
    <row r="153" spans="1:34" ht="12.6" customHeight="1" x14ac:dyDescent="0.2">
      <c r="A153" s="22"/>
      <c r="B153" s="795" t="s">
        <v>634</v>
      </c>
      <c r="C153" s="796"/>
      <c r="D153" s="796"/>
      <c r="E153" s="797"/>
      <c r="F153" s="338">
        <v>1154</v>
      </c>
      <c r="G153" s="363">
        <f>+F153*$X$1</f>
        <v>1154</v>
      </c>
      <c r="H153" s="584"/>
      <c r="I153" s="338"/>
      <c r="J153" s="584">
        <f>F153+120</f>
        <v>1274</v>
      </c>
      <c r="K153" s="338">
        <f t="shared" ref="K153" si="264">+J153*$X$1</f>
        <v>1274</v>
      </c>
      <c r="L153" s="584">
        <f t="shared" ref="L153:L154" si="265">F153+70</f>
        <v>1224</v>
      </c>
      <c r="M153" s="338">
        <f t="shared" ref="M153:M154" si="266">+L153*$X$1</f>
        <v>1224</v>
      </c>
      <c r="N153" s="584">
        <f>F153+50</f>
        <v>1204</v>
      </c>
      <c r="O153" s="338">
        <f>+N153*$X$1</f>
        <v>1204</v>
      </c>
      <c r="P153" s="584">
        <f>F153+40</f>
        <v>1194</v>
      </c>
      <c r="Q153" s="338">
        <f t="shared" ref="Q153:Q154" si="267">+P153*$X$1</f>
        <v>1194</v>
      </c>
      <c r="R153" s="584"/>
      <c r="S153" s="338"/>
      <c r="T153" s="107"/>
      <c r="U153" s="363"/>
      <c r="V153" s="107"/>
      <c r="W153" s="363"/>
      <c r="X153" s="710"/>
      <c r="Y153" s="798"/>
      <c r="Z153" s="798"/>
      <c r="AA153" s="799"/>
      <c r="AB153" s="208">
        <v>373</v>
      </c>
    </row>
    <row r="154" spans="1:34" ht="12.6" customHeight="1" x14ac:dyDescent="0.2">
      <c r="A154" s="22"/>
      <c r="B154" s="703" t="s">
        <v>193</v>
      </c>
      <c r="C154" s="706"/>
      <c r="D154" s="706"/>
      <c r="E154" s="707"/>
      <c r="F154" s="472">
        <f>1.352*X2</f>
        <v>1249.248</v>
      </c>
      <c r="G154" s="299">
        <f>+F154*$X$1</f>
        <v>1249.248</v>
      </c>
      <c r="H154" s="379"/>
      <c r="I154" s="412"/>
      <c r="J154" s="375">
        <f>F154+120</f>
        <v>1369.248</v>
      </c>
      <c r="K154" s="337">
        <f>+J154*$X$1</f>
        <v>1369.248</v>
      </c>
      <c r="L154" s="375">
        <f t="shared" si="265"/>
        <v>1319.248</v>
      </c>
      <c r="M154" s="337">
        <f t="shared" si="266"/>
        <v>1319.248</v>
      </c>
      <c r="N154" s="375">
        <f>F154+50</f>
        <v>1299.248</v>
      </c>
      <c r="O154" s="337">
        <f>+N154*$X$1</f>
        <v>1299.248</v>
      </c>
      <c r="P154" s="375">
        <f>F154+40</f>
        <v>1289.248</v>
      </c>
      <c r="Q154" s="337">
        <f t="shared" si="267"/>
        <v>1289.248</v>
      </c>
      <c r="R154" s="375">
        <f>F154+33</f>
        <v>1282.248</v>
      </c>
      <c r="S154" s="337">
        <f t="shared" ref="S154" si="268">+R154*$X$1</f>
        <v>1282.248</v>
      </c>
      <c r="T154" s="108">
        <f>F154+28</f>
        <v>1277.248</v>
      </c>
      <c r="U154" s="299">
        <f t="shared" ref="U154" si="269">+T154*$X$1</f>
        <v>1277.248</v>
      </c>
      <c r="V154" s="108">
        <f>F154+24</f>
        <v>1273.248</v>
      </c>
      <c r="W154" s="299">
        <f t="shared" ref="W154" si="270">+V154*$X$1</f>
        <v>1273.248</v>
      </c>
      <c r="X154" s="710"/>
      <c r="Y154" s="798"/>
      <c r="Z154" s="798"/>
      <c r="AA154" s="799"/>
      <c r="AB154" s="208">
        <v>375</v>
      </c>
    </row>
    <row r="155" spans="1:34" ht="12.6" customHeight="1" x14ac:dyDescent="0.2">
      <c r="A155" s="22"/>
      <c r="B155" s="795" t="s">
        <v>194</v>
      </c>
      <c r="C155" s="796"/>
      <c r="D155" s="796"/>
      <c r="E155" s="797"/>
      <c r="F155" s="473">
        <f>4.65*X2</f>
        <v>4296.6000000000004</v>
      </c>
      <c r="G155" s="363">
        <f>+F155*$X$1</f>
        <v>4296.6000000000004</v>
      </c>
      <c r="H155" s="584">
        <f>F155+250</f>
        <v>4546.6000000000004</v>
      </c>
      <c r="I155" s="338">
        <f t="shared" ref="I155" si="271">+H155*$X$1</f>
        <v>4546.6000000000004</v>
      </c>
      <c r="J155" s="584">
        <f>F155+100</f>
        <v>4396.6000000000004</v>
      </c>
      <c r="K155" s="338">
        <f t="shared" ref="K155" si="272">+J155*$X$1</f>
        <v>4396.6000000000004</v>
      </c>
      <c r="L155" s="584">
        <f>F155+70</f>
        <v>4366.6000000000004</v>
      </c>
      <c r="M155" s="338">
        <f t="shared" ref="M155" si="273">+L155*$X$1</f>
        <v>4366.6000000000004</v>
      </c>
      <c r="N155" s="584">
        <f>F155+52</f>
        <v>4348.6000000000004</v>
      </c>
      <c r="O155" s="338">
        <f>+N155*$X$1</f>
        <v>4348.6000000000004</v>
      </c>
      <c r="P155" s="584">
        <f>F155+46</f>
        <v>4342.6000000000004</v>
      </c>
      <c r="Q155" s="338">
        <f t="shared" ref="Q155" si="274">+P155*$X$1</f>
        <v>4342.6000000000004</v>
      </c>
      <c r="R155" s="584">
        <f>F155+41</f>
        <v>4337.6000000000004</v>
      </c>
      <c r="S155" s="338">
        <f>+R155*$X$1</f>
        <v>4337.6000000000004</v>
      </c>
      <c r="T155" s="584">
        <f>F155+36</f>
        <v>4332.6000000000004</v>
      </c>
      <c r="U155" s="338">
        <f>+T155*$X$1</f>
        <v>4332.6000000000004</v>
      </c>
      <c r="V155" s="584">
        <f>F155+32</f>
        <v>4328.6000000000004</v>
      </c>
      <c r="W155" s="338">
        <f>+V155*$X$1</f>
        <v>4328.6000000000004</v>
      </c>
      <c r="X155" s="717"/>
      <c r="Y155" s="723"/>
      <c r="Z155" s="723"/>
      <c r="AA155" s="700"/>
      <c r="AB155" s="208">
        <v>376</v>
      </c>
    </row>
    <row r="156" spans="1:34" ht="12.75" customHeight="1" x14ac:dyDescent="0.2">
      <c r="A156" s="20"/>
      <c r="B156" s="3"/>
      <c r="C156" s="3"/>
      <c r="D156" s="3"/>
      <c r="E156" s="3"/>
      <c r="F156" s="13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69"/>
      <c r="F157" s="13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899" t="s">
        <v>11</v>
      </c>
      <c r="C159" s="734" t="s">
        <v>12</v>
      </c>
      <c r="D159" s="735"/>
      <c r="E159" s="735"/>
      <c r="F159" s="804" t="s">
        <v>13</v>
      </c>
      <c r="G159" s="804" t="s">
        <v>13</v>
      </c>
      <c r="H159" s="754" t="s">
        <v>14</v>
      </c>
      <c r="I159" s="754"/>
      <c r="J159" s="755"/>
      <c r="K159" s="755"/>
      <c r="L159" s="755"/>
      <c r="M159" s="755"/>
      <c r="N159" s="755"/>
      <c r="O159" s="755"/>
      <c r="P159" s="755"/>
      <c r="Q159" s="755"/>
      <c r="R159" s="755"/>
      <c r="S159" s="755"/>
      <c r="T159" s="755"/>
      <c r="U159" s="755"/>
      <c r="V159" s="755"/>
      <c r="W159" s="756"/>
      <c r="X159" s="745" t="s">
        <v>15</v>
      </c>
      <c r="Y159" s="746"/>
      <c r="Z159" s="746"/>
      <c r="AA159" s="1103"/>
      <c r="AB159" s="743" t="s">
        <v>16</v>
      </c>
      <c r="AF159" s="741" t="s">
        <v>3</v>
      </c>
      <c r="AG159" s="742"/>
      <c r="AH159" s="742"/>
    </row>
    <row r="160" spans="1:34" ht="12.6" customHeight="1" thickBot="1" x14ac:dyDescent="0.25">
      <c r="A160" s="20"/>
      <c r="B160" s="900"/>
      <c r="C160" s="736"/>
      <c r="D160" s="736"/>
      <c r="E160" s="736"/>
      <c r="F160" s="805"/>
      <c r="G160" s="805"/>
      <c r="H160" s="292"/>
      <c r="I160" s="288" t="s">
        <v>310</v>
      </c>
      <c r="J160" s="292"/>
      <c r="K160" s="288" t="s">
        <v>18</v>
      </c>
      <c r="L160" s="293"/>
      <c r="M160" s="293" t="s">
        <v>19</v>
      </c>
      <c r="N160" s="293"/>
      <c r="O160" s="288" t="s">
        <v>20</v>
      </c>
      <c r="P160" s="293"/>
      <c r="Q160" s="293" t="s">
        <v>312</v>
      </c>
      <c r="R160" s="293"/>
      <c r="S160" s="293" t="s">
        <v>21</v>
      </c>
      <c r="T160" s="293"/>
      <c r="U160" s="293" t="s">
        <v>22</v>
      </c>
      <c r="V160" s="293"/>
      <c r="W160" s="295" t="s">
        <v>23</v>
      </c>
      <c r="X160" s="747"/>
      <c r="Y160" s="748"/>
      <c r="Z160" s="748"/>
      <c r="AA160" s="1104"/>
      <c r="AB160" s="744"/>
      <c r="AG160" s="35"/>
    </row>
    <row r="161" spans="1:28" ht="12.6" customHeight="1" x14ac:dyDescent="0.2">
      <c r="A161" s="22"/>
      <c r="B161" s="703" t="s">
        <v>195</v>
      </c>
      <c r="C161" s="706"/>
      <c r="D161" s="706"/>
      <c r="E161" s="707"/>
      <c r="F161" s="472">
        <f>3.54*X2</f>
        <v>3270.96</v>
      </c>
      <c r="G161" s="299">
        <f t="shared" ref="G161:G162" si="275">+F161*$X$1</f>
        <v>3270.96</v>
      </c>
      <c r="H161" s="379"/>
      <c r="I161" s="412"/>
      <c r="J161" s="375">
        <f>F161+120</f>
        <v>3390.96</v>
      </c>
      <c r="K161" s="337">
        <f t="shared" ref="K161:K164" si="276">+J161*$X$1</f>
        <v>3390.96</v>
      </c>
      <c r="L161" s="375">
        <f>F161+75</f>
        <v>3345.96</v>
      </c>
      <c r="M161" s="337">
        <f t="shared" ref="M161:M164" si="277">+L161*$X$1</f>
        <v>3345.96</v>
      </c>
      <c r="N161" s="375">
        <f>F161+44</f>
        <v>3314.96</v>
      </c>
      <c r="O161" s="337">
        <f t="shared" ref="O161:O164" si="278">+N161*$X$1</f>
        <v>3314.96</v>
      </c>
      <c r="P161" s="375">
        <f>F161+40</f>
        <v>3310.96</v>
      </c>
      <c r="Q161" s="337">
        <f t="shared" ref="Q161" si="279">+P161*$X$1</f>
        <v>3310.96</v>
      </c>
      <c r="R161" s="375">
        <f>F161+30</f>
        <v>3300.96</v>
      </c>
      <c r="S161" s="337">
        <f t="shared" ref="S161:S164" si="280">+R161*$X$1</f>
        <v>3300.96</v>
      </c>
      <c r="T161" s="108"/>
      <c r="U161" s="299"/>
      <c r="V161" s="108"/>
      <c r="W161" s="299"/>
      <c r="X161" s="710"/>
      <c r="Y161" s="798"/>
      <c r="Z161" s="798"/>
      <c r="AA161" s="799"/>
      <c r="AB161" s="208">
        <v>379</v>
      </c>
    </row>
    <row r="162" spans="1:28" ht="12.6" customHeight="1" x14ac:dyDescent="0.2">
      <c r="A162" s="111"/>
      <c r="B162" s="795" t="s">
        <v>456</v>
      </c>
      <c r="C162" s="796"/>
      <c r="D162" s="796"/>
      <c r="E162" s="797"/>
      <c r="F162" s="473">
        <f>1.843*X2</f>
        <v>1702.932</v>
      </c>
      <c r="G162" s="363">
        <f t="shared" si="275"/>
        <v>1702.932</v>
      </c>
      <c r="H162" s="336"/>
      <c r="I162" s="413"/>
      <c r="J162" s="584">
        <f>F162+120</f>
        <v>1822.932</v>
      </c>
      <c r="K162" s="338">
        <f t="shared" si="276"/>
        <v>1822.932</v>
      </c>
      <c r="L162" s="584">
        <f>F162+75</f>
        <v>1777.932</v>
      </c>
      <c r="M162" s="338">
        <f t="shared" si="277"/>
        <v>1777.932</v>
      </c>
      <c r="N162" s="584"/>
      <c r="O162" s="338"/>
      <c r="P162" s="584"/>
      <c r="Q162" s="338"/>
      <c r="R162" s="584"/>
      <c r="S162" s="338"/>
      <c r="T162" s="107"/>
      <c r="U162" s="363"/>
      <c r="V162" s="107"/>
      <c r="W162" s="363"/>
      <c r="X162" s="710"/>
      <c r="Y162" s="798"/>
      <c r="Z162" s="798"/>
      <c r="AA162" s="799"/>
      <c r="AB162" s="208">
        <v>382</v>
      </c>
    </row>
    <row r="163" spans="1:28" ht="12.6" customHeight="1" x14ac:dyDescent="0.2">
      <c r="A163" s="22"/>
      <c r="B163" s="703" t="s">
        <v>659</v>
      </c>
      <c r="C163" s="706"/>
      <c r="D163" s="706"/>
      <c r="E163" s="707"/>
      <c r="F163" s="472">
        <f>17.8*X2</f>
        <v>16447.2</v>
      </c>
      <c r="G163" s="299">
        <f t="shared" ref="G163:G164" si="281">+F163*$X$1</f>
        <v>16447.2</v>
      </c>
      <c r="H163" s="375">
        <f>F163+290</f>
        <v>16737.2</v>
      </c>
      <c r="I163" s="337">
        <f>+H163*$X$1</f>
        <v>16737.2</v>
      </c>
      <c r="J163" s="375">
        <f>F163+120</f>
        <v>16567.2</v>
      </c>
      <c r="K163" s="337">
        <f t="shared" si="276"/>
        <v>16567.2</v>
      </c>
      <c r="L163" s="375">
        <f>F163+74</f>
        <v>16521.2</v>
      </c>
      <c r="M163" s="337">
        <f t="shared" si="277"/>
        <v>16521.2</v>
      </c>
      <c r="N163" s="375">
        <f>F163+46</f>
        <v>16493.2</v>
      </c>
      <c r="O163" s="337">
        <f t="shared" si="278"/>
        <v>16493.2</v>
      </c>
      <c r="P163" s="375">
        <f>F163+42</f>
        <v>16489.2</v>
      </c>
      <c r="Q163" s="337">
        <f t="shared" ref="Q163:Q164" si="282">+P163*$X$1</f>
        <v>16489.2</v>
      </c>
      <c r="R163" s="375">
        <f>F163+35</f>
        <v>16482.2</v>
      </c>
      <c r="S163" s="337">
        <f t="shared" si="280"/>
        <v>16482.2</v>
      </c>
      <c r="T163" s="108">
        <f>F163+29</f>
        <v>16476.2</v>
      </c>
      <c r="U163" s="299">
        <f t="shared" ref="U163:U164" si="283">+T163*$X$1</f>
        <v>16476.2</v>
      </c>
      <c r="V163" s="108">
        <f>F163+24</f>
        <v>16471.2</v>
      </c>
      <c r="W163" s="299">
        <f t="shared" ref="W163" si="284">+V163*$X$1</f>
        <v>16471.2</v>
      </c>
      <c r="X163" s="710"/>
      <c r="Y163" s="798"/>
      <c r="Z163" s="798"/>
      <c r="AA163" s="799"/>
      <c r="AB163" s="208">
        <v>395</v>
      </c>
    </row>
    <row r="164" spans="1:28" ht="12.6" customHeight="1" x14ac:dyDescent="0.2">
      <c r="A164" s="22"/>
      <c r="B164" s="795" t="s">
        <v>660</v>
      </c>
      <c r="C164" s="796"/>
      <c r="D164" s="796"/>
      <c r="E164" s="797"/>
      <c r="F164" s="473">
        <f>32.42*X2</f>
        <v>29956.080000000002</v>
      </c>
      <c r="G164" s="363">
        <f t="shared" si="281"/>
        <v>29956.080000000002</v>
      </c>
      <c r="H164" s="584">
        <f>F164+260</f>
        <v>30216.080000000002</v>
      </c>
      <c r="I164" s="338">
        <f t="shared" ref="I164" si="285">+H164*$X$1</f>
        <v>30216.080000000002</v>
      </c>
      <c r="J164" s="93">
        <f>F164+95</f>
        <v>30051.08</v>
      </c>
      <c r="K164" s="338">
        <f t="shared" si="276"/>
        <v>30051.08</v>
      </c>
      <c r="L164" s="584">
        <f>F164+70</f>
        <v>30026.080000000002</v>
      </c>
      <c r="M164" s="338">
        <f t="shared" si="277"/>
        <v>30026.080000000002</v>
      </c>
      <c r="N164" s="584">
        <f>F164+59</f>
        <v>30015.08</v>
      </c>
      <c r="O164" s="338">
        <f t="shared" si="278"/>
        <v>30015.08</v>
      </c>
      <c r="P164" s="584">
        <f>F164+55</f>
        <v>30011.08</v>
      </c>
      <c r="Q164" s="338">
        <f t="shared" si="282"/>
        <v>30011.08</v>
      </c>
      <c r="R164" s="584">
        <f>F164+51</f>
        <v>30007.08</v>
      </c>
      <c r="S164" s="338">
        <f t="shared" si="280"/>
        <v>30007.08</v>
      </c>
      <c r="T164" s="584">
        <f>F164+46</f>
        <v>30002.080000000002</v>
      </c>
      <c r="U164" s="338">
        <f t="shared" si="283"/>
        <v>30002.080000000002</v>
      </c>
      <c r="V164" s="584"/>
      <c r="W164" s="338"/>
      <c r="X164" s="710"/>
      <c r="Y164" s="798"/>
      <c r="Z164" s="798"/>
      <c r="AA164" s="799"/>
      <c r="AB164" s="208">
        <v>397</v>
      </c>
    </row>
    <row r="165" spans="1:28" ht="12.6" customHeight="1" x14ac:dyDescent="0.2">
      <c r="A165" s="22"/>
      <c r="B165" s="703" t="s">
        <v>661</v>
      </c>
      <c r="C165" s="706"/>
      <c r="D165" s="706"/>
      <c r="E165" s="707"/>
      <c r="F165" s="472">
        <f>22.04*X2</f>
        <v>20364.96</v>
      </c>
      <c r="G165" s="299">
        <f t="shared" ref="G165" si="286">+F165*$X$1</f>
        <v>20364.96</v>
      </c>
      <c r="H165" s="75">
        <f>F165+280</f>
        <v>20644.96</v>
      </c>
      <c r="I165" s="337">
        <f t="shared" ref="I165" si="287">+H165*$X$1</f>
        <v>20644.96</v>
      </c>
      <c r="J165" s="375">
        <f>F165+110</f>
        <v>20474.96</v>
      </c>
      <c r="K165" s="337">
        <f t="shared" ref="K165" si="288">+J165*$X$1</f>
        <v>20474.96</v>
      </c>
      <c r="L165" s="375">
        <f>F165+80</f>
        <v>20444.96</v>
      </c>
      <c r="M165" s="337">
        <f t="shared" ref="M165" si="289">+L165*$X$1</f>
        <v>20444.96</v>
      </c>
      <c r="N165" s="375">
        <f>F165+67</f>
        <v>20431.96</v>
      </c>
      <c r="O165" s="337">
        <f t="shared" ref="O165" si="290">+N165*$X$1</f>
        <v>20431.96</v>
      </c>
      <c r="P165" s="375">
        <f>F165+62</f>
        <v>20426.96</v>
      </c>
      <c r="Q165" s="337">
        <f t="shared" ref="Q165" si="291">+P165*$X$1</f>
        <v>20426.96</v>
      </c>
      <c r="R165" s="375">
        <f>F165+58</f>
        <v>20422.96</v>
      </c>
      <c r="S165" s="337">
        <f t="shared" ref="S165" si="292">+R165*$X$1</f>
        <v>20422.96</v>
      </c>
      <c r="T165" s="375">
        <f>F165+53</f>
        <v>20417.96</v>
      </c>
      <c r="U165" s="337">
        <f t="shared" ref="U165" si="293">+T165*$X$1</f>
        <v>20417.96</v>
      </c>
      <c r="V165" s="375"/>
      <c r="W165" s="337"/>
      <c r="X165" s="710"/>
      <c r="Y165" s="798"/>
      <c r="Z165" s="798"/>
      <c r="AA165" s="799"/>
      <c r="AB165" s="208">
        <v>398</v>
      </c>
    </row>
    <row r="166" spans="1:28" ht="12.6" customHeight="1" x14ac:dyDescent="0.2">
      <c r="A166" s="22"/>
      <c r="B166" s="1067" t="s">
        <v>385</v>
      </c>
      <c r="C166" s="1068"/>
      <c r="D166" s="1068"/>
      <c r="E166" s="1068"/>
      <c r="F166" s="473"/>
      <c r="G166" s="363"/>
      <c r="H166" s="584"/>
      <c r="I166" s="338"/>
      <c r="J166" s="584"/>
      <c r="K166" s="338"/>
      <c r="L166" s="584"/>
      <c r="M166" s="338"/>
      <c r="N166" s="584"/>
      <c r="O166" s="338"/>
      <c r="P166" s="584"/>
      <c r="Q166" s="338"/>
      <c r="R166" s="584"/>
      <c r="S166" s="338"/>
      <c r="T166" s="584"/>
      <c r="U166" s="338"/>
      <c r="V166" s="93"/>
      <c r="W166" s="93"/>
      <c r="X166" s="699"/>
      <c r="Y166" s="723"/>
      <c r="Z166" s="723"/>
      <c r="AA166" s="700"/>
      <c r="AB166" s="208" t="s">
        <v>196</v>
      </c>
    </row>
    <row r="167" spans="1:28" ht="12.6" customHeight="1" x14ac:dyDescent="0.2">
      <c r="A167" s="22"/>
      <c r="B167" s="1101" t="s">
        <v>706</v>
      </c>
      <c r="C167" s="1102"/>
      <c r="D167" s="1102"/>
      <c r="E167" s="1102"/>
      <c r="F167" s="472">
        <f>13.317*X2</f>
        <v>12304.907999999999</v>
      </c>
      <c r="G167" s="299">
        <f t="shared" ref="G167" si="294">+F167*$X$1</f>
        <v>12304.907999999999</v>
      </c>
      <c r="H167" s="375">
        <f>F167+250</f>
        <v>12554.907999999999</v>
      </c>
      <c r="I167" s="337">
        <f t="shared" ref="I167:I168" si="295">+H167*$X$1</f>
        <v>12554.907999999999</v>
      </c>
      <c r="J167" s="375">
        <f>F167+100</f>
        <v>12404.907999999999</v>
      </c>
      <c r="K167" s="337">
        <f t="shared" ref="K167:K168" si="296">+J167*$X$1</f>
        <v>12404.907999999999</v>
      </c>
      <c r="L167" s="375">
        <f>F167+70</f>
        <v>12374.907999999999</v>
      </c>
      <c r="M167" s="337">
        <f t="shared" ref="M167:M168" si="297">+L167*$X$1</f>
        <v>12374.907999999999</v>
      </c>
      <c r="N167" s="375">
        <f>F167+52</f>
        <v>12356.907999999999</v>
      </c>
      <c r="O167" s="337">
        <f>+N167*$X$1</f>
        <v>12356.907999999999</v>
      </c>
      <c r="P167" s="375">
        <f>F167+46</f>
        <v>12350.907999999999</v>
      </c>
      <c r="Q167" s="337">
        <f t="shared" ref="Q167:Q168" si="298">+P167*$X$1</f>
        <v>12350.907999999999</v>
      </c>
      <c r="R167" s="375">
        <f>F167+41</f>
        <v>12345.907999999999</v>
      </c>
      <c r="S167" s="337">
        <f>+R167*$X$1</f>
        <v>12345.907999999999</v>
      </c>
      <c r="T167" s="375">
        <f>F167+36</f>
        <v>12340.907999999999</v>
      </c>
      <c r="U167" s="337">
        <f>+T167*$X$1</f>
        <v>12340.907999999999</v>
      </c>
      <c r="V167" s="375"/>
      <c r="W167" s="337"/>
      <c r="X167" s="699"/>
      <c r="Y167" s="723"/>
      <c r="Z167" s="723"/>
      <c r="AA167" s="700"/>
      <c r="AB167" s="208" t="s">
        <v>707</v>
      </c>
    </row>
    <row r="168" spans="1:28" ht="12.6" customHeight="1" x14ac:dyDescent="0.2">
      <c r="A168" s="22"/>
      <c r="B168" s="901" t="s">
        <v>715</v>
      </c>
      <c r="C168" s="906"/>
      <c r="D168" s="906"/>
      <c r="E168" s="906"/>
      <c r="F168" s="473">
        <f>17.78*X2</f>
        <v>16428.72</v>
      </c>
      <c r="G168" s="363">
        <f t="shared" ref="G168" si="299">+F168*$X$1</f>
        <v>16428.72</v>
      </c>
      <c r="H168" s="677">
        <f>F168+250</f>
        <v>16678.72</v>
      </c>
      <c r="I168" s="338">
        <f t="shared" si="295"/>
        <v>16678.72</v>
      </c>
      <c r="J168" s="677">
        <f>F168+100</f>
        <v>16528.72</v>
      </c>
      <c r="K168" s="338">
        <f t="shared" si="296"/>
        <v>16528.72</v>
      </c>
      <c r="L168" s="677">
        <f>F168+70</f>
        <v>16498.72</v>
      </c>
      <c r="M168" s="338">
        <f t="shared" si="297"/>
        <v>16498.72</v>
      </c>
      <c r="N168" s="677">
        <f>F168+52</f>
        <v>16480.72</v>
      </c>
      <c r="O168" s="338">
        <f>+N168*$X$1</f>
        <v>16480.72</v>
      </c>
      <c r="P168" s="677">
        <f>F168+46</f>
        <v>16474.72</v>
      </c>
      <c r="Q168" s="338">
        <f t="shared" si="298"/>
        <v>16474.72</v>
      </c>
      <c r="R168" s="677">
        <f>F168+41</f>
        <v>16469.72</v>
      </c>
      <c r="S168" s="338">
        <f>+R168*$X$1</f>
        <v>16469.72</v>
      </c>
      <c r="T168" s="677">
        <f>F168+36</f>
        <v>16464.72</v>
      </c>
      <c r="U168" s="338">
        <f>+T168*$X$1</f>
        <v>16464.72</v>
      </c>
      <c r="V168" s="93"/>
      <c r="W168" s="93"/>
      <c r="X168" s="194"/>
      <c r="Y168" s="196"/>
      <c r="Z168" s="196"/>
      <c r="AA168" s="194"/>
      <c r="AB168" s="208" t="s">
        <v>714</v>
      </c>
    </row>
    <row r="169" spans="1:28" ht="12.6" customHeight="1" x14ac:dyDescent="0.2">
      <c r="A169" s="22"/>
      <c r="B169" s="1101" t="s">
        <v>709</v>
      </c>
      <c r="C169" s="1102"/>
      <c r="D169" s="1102"/>
      <c r="E169" s="1102"/>
      <c r="F169" s="472">
        <f>12.84*X2</f>
        <v>11864.16</v>
      </c>
      <c r="G169" s="299">
        <f t="shared" ref="G169" si="300">+F169*$X$1</f>
        <v>11864.16</v>
      </c>
      <c r="H169" s="375">
        <f>F169+290</f>
        <v>12154.16</v>
      </c>
      <c r="I169" s="337">
        <f>+H169*$X$1</f>
        <v>12154.16</v>
      </c>
      <c r="J169" s="375">
        <f>F169+120</f>
        <v>11984.16</v>
      </c>
      <c r="K169" s="337">
        <f t="shared" ref="K169:K172" si="301">+J169*$X$1</f>
        <v>11984.16</v>
      </c>
      <c r="L169" s="375">
        <f>F169+80</f>
        <v>11944.16</v>
      </c>
      <c r="M169" s="337">
        <f t="shared" ref="M169:M172" si="302">+L169*$X$1</f>
        <v>11944.16</v>
      </c>
      <c r="N169" s="375">
        <f>F169+60</f>
        <v>11924.16</v>
      </c>
      <c r="O169" s="337">
        <f t="shared" ref="O169:O172" si="303">+N169*$X$1</f>
        <v>11924.16</v>
      </c>
      <c r="P169" s="375">
        <f>F169+43</f>
        <v>11907.16</v>
      </c>
      <c r="Q169" s="337">
        <f t="shared" ref="Q169:Q172" si="304">+P169*$X$1</f>
        <v>11907.16</v>
      </c>
      <c r="R169" s="375">
        <f>F169+37</f>
        <v>11901.16</v>
      </c>
      <c r="S169" s="337">
        <f t="shared" ref="S169:S172" si="305">+R169*$X$1</f>
        <v>11901.16</v>
      </c>
      <c r="T169" s="108">
        <f>F169+30</f>
        <v>11894.16</v>
      </c>
      <c r="U169" s="299">
        <f t="shared" ref="U169:U172" si="306">+T169*$X$1</f>
        <v>11894.16</v>
      </c>
      <c r="V169" s="75"/>
      <c r="W169" s="75"/>
      <c r="X169" s="710"/>
      <c r="Y169" s="798"/>
      <c r="Z169" s="798"/>
      <c r="AA169" s="799"/>
      <c r="AB169" s="208" t="s">
        <v>708</v>
      </c>
    </row>
    <row r="170" spans="1:28" ht="12.6" customHeight="1" x14ac:dyDescent="0.2">
      <c r="A170" s="22"/>
      <c r="B170" s="1067" t="s">
        <v>398</v>
      </c>
      <c r="C170" s="1068"/>
      <c r="D170" s="1068"/>
      <c r="E170" s="1068"/>
      <c r="F170" s="473">
        <f>15.93*X2</f>
        <v>14719.32</v>
      </c>
      <c r="G170" s="363">
        <f t="shared" ref="G170:G171" si="307">+F170*$X$1</f>
        <v>14719.32</v>
      </c>
      <c r="H170" s="584"/>
      <c r="I170" s="338"/>
      <c r="J170" s="584">
        <f>F170+120</f>
        <v>14839.32</v>
      </c>
      <c r="K170" s="338">
        <f t="shared" si="301"/>
        <v>14839.32</v>
      </c>
      <c r="L170" s="584">
        <f>F170+75</f>
        <v>14794.32</v>
      </c>
      <c r="M170" s="338">
        <f t="shared" si="302"/>
        <v>14794.32</v>
      </c>
      <c r="N170" s="584">
        <f>F170+47</f>
        <v>14766.32</v>
      </c>
      <c r="O170" s="338">
        <f t="shared" si="303"/>
        <v>14766.32</v>
      </c>
      <c r="P170" s="584">
        <f>F170+44</f>
        <v>14763.32</v>
      </c>
      <c r="Q170" s="338">
        <f t="shared" si="304"/>
        <v>14763.32</v>
      </c>
      <c r="R170" s="584">
        <f>F170+35</f>
        <v>14754.32</v>
      </c>
      <c r="S170" s="338">
        <f t="shared" si="305"/>
        <v>14754.32</v>
      </c>
      <c r="T170" s="107">
        <f>F170+30</f>
        <v>14749.32</v>
      </c>
      <c r="U170" s="363">
        <f t="shared" si="306"/>
        <v>14749.32</v>
      </c>
      <c r="V170" s="93"/>
      <c r="W170" s="93"/>
      <c r="X170" s="710"/>
      <c r="Y170" s="798"/>
      <c r="Z170" s="798"/>
      <c r="AA170" s="799"/>
      <c r="AB170" s="208">
        <v>405</v>
      </c>
    </row>
    <row r="171" spans="1:28" ht="12.6" customHeight="1" x14ac:dyDescent="0.2">
      <c r="A171" s="22"/>
      <c r="B171" s="1101" t="s">
        <v>713</v>
      </c>
      <c r="C171" s="1102"/>
      <c r="D171" s="1102"/>
      <c r="E171" s="1102"/>
      <c r="F171" s="472">
        <f>15.6*X2</f>
        <v>14414.4</v>
      </c>
      <c r="G171" s="299">
        <f t="shared" si="307"/>
        <v>14414.4</v>
      </c>
      <c r="H171" s="375">
        <f>F171+250</f>
        <v>14664.4</v>
      </c>
      <c r="I171" s="337">
        <f t="shared" ref="I171" si="308">+H171*$X$1</f>
        <v>14664.4</v>
      </c>
      <c r="J171" s="375">
        <f>F171+100</f>
        <v>14514.4</v>
      </c>
      <c r="K171" s="337">
        <f t="shared" si="301"/>
        <v>14514.4</v>
      </c>
      <c r="L171" s="375">
        <f>F171+70</f>
        <v>14484.4</v>
      </c>
      <c r="M171" s="337">
        <f t="shared" si="302"/>
        <v>14484.4</v>
      </c>
      <c r="N171" s="375">
        <f>F171+52</f>
        <v>14466.4</v>
      </c>
      <c r="O171" s="337">
        <f>+N171*$X$1</f>
        <v>14466.4</v>
      </c>
      <c r="P171" s="375">
        <f>F171+46</f>
        <v>14460.4</v>
      </c>
      <c r="Q171" s="337">
        <f t="shared" si="304"/>
        <v>14460.4</v>
      </c>
      <c r="R171" s="375">
        <f>F171+41</f>
        <v>14455.4</v>
      </c>
      <c r="S171" s="337">
        <f>+R171*$X$1</f>
        <v>14455.4</v>
      </c>
      <c r="T171" s="375">
        <f>F171+36</f>
        <v>14450.4</v>
      </c>
      <c r="U171" s="337">
        <f>+T171*$X$1</f>
        <v>14450.4</v>
      </c>
      <c r="V171" s="75"/>
      <c r="W171" s="75"/>
      <c r="X171" s="699"/>
      <c r="Y171" s="723"/>
      <c r="Z171" s="723"/>
      <c r="AA171" s="700"/>
      <c r="AB171" s="208" t="s">
        <v>712</v>
      </c>
    </row>
    <row r="172" spans="1:28" ht="12.6" customHeight="1" x14ac:dyDescent="0.2">
      <c r="A172" s="22"/>
      <c r="B172" s="713" t="s">
        <v>711</v>
      </c>
      <c r="C172" s="714"/>
      <c r="D172" s="714"/>
      <c r="E172" s="714"/>
      <c r="F172" s="473">
        <f>16.54*X2</f>
        <v>15282.96</v>
      </c>
      <c r="G172" s="363">
        <f t="shared" ref="G172" si="309">+F172*$X$1</f>
        <v>15282.96</v>
      </c>
      <c r="H172" s="584">
        <f>F172+260</f>
        <v>15542.96</v>
      </c>
      <c r="I172" s="338">
        <f t="shared" ref="I172" si="310">+H172*$X$1</f>
        <v>15542.96</v>
      </c>
      <c r="J172" s="93">
        <f>F172+95</f>
        <v>15377.96</v>
      </c>
      <c r="K172" s="338">
        <f t="shared" si="301"/>
        <v>15377.96</v>
      </c>
      <c r="L172" s="584">
        <f>F172+70</f>
        <v>15352.96</v>
      </c>
      <c r="M172" s="338">
        <f t="shared" si="302"/>
        <v>15352.96</v>
      </c>
      <c r="N172" s="584">
        <f>F172+59</f>
        <v>15341.96</v>
      </c>
      <c r="O172" s="338">
        <f t="shared" si="303"/>
        <v>15341.96</v>
      </c>
      <c r="P172" s="584">
        <f>F172+55</f>
        <v>15337.96</v>
      </c>
      <c r="Q172" s="338">
        <f t="shared" si="304"/>
        <v>15337.96</v>
      </c>
      <c r="R172" s="584">
        <f>F172+51</f>
        <v>15333.96</v>
      </c>
      <c r="S172" s="338">
        <f t="shared" si="305"/>
        <v>15333.96</v>
      </c>
      <c r="T172" s="584">
        <f>F172+46</f>
        <v>15328.96</v>
      </c>
      <c r="U172" s="338">
        <f t="shared" si="306"/>
        <v>15328.96</v>
      </c>
      <c r="V172" s="93"/>
      <c r="W172" s="93"/>
      <c r="X172" s="710"/>
      <c r="Y172" s="798"/>
      <c r="Z172" s="798"/>
      <c r="AA172" s="799"/>
      <c r="AB172" s="208" t="s">
        <v>710</v>
      </c>
    </row>
    <row r="173" spans="1:28" ht="12.6" customHeight="1" x14ac:dyDescent="0.2">
      <c r="A173" s="27"/>
      <c r="B173" s="718" t="s">
        <v>740</v>
      </c>
      <c r="C173" s="692"/>
      <c r="D173" s="692"/>
      <c r="E173" s="692"/>
      <c r="F173" s="364">
        <v>110</v>
      </c>
      <c r="G173" s="666">
        <f t="shared" ref="G173:G176" si="311">+F173*$X$1</f>
        <v>110</v>
      </c>
      <c r="H173" s="453"/>
      <c r="I173" s="1115" t="s">
        <v>672</v>
      </c>
      <c r="J173" s="785"/>
      <c r="K173" s="785"/>
      <c r="L173" s="785"/>
      <c r="M173" s="786"/>
      <c r="N173" s="375">
        <f>F173+140</f>
        <v>250</v>
      </c>
      <c r="O173" s="337">
        <f t="shared" ref="O173" si="312">+N173*$X$1</f>
        <v>250</v>
      </c>
      <c r="P173" s="375">
        <f>F173+125</f>
        <v>235</v>
      </c>
      <c r="Q173" s="337">
        <f t="shared" ref="Q173" si="313">+P173*$X$1</f>
        <v>235</v>
      </c>
      <c r="R173" s="375">
        <f>F173+115</f>
        <v>225</v>
      </c>
      <c r="S173" s="337">
        <f t="shared" ref="S173" si="314">+R173*$X$1</f>
        <v>225</v>
      </c>
      <c r="T173" s="375">
        <f>F173+95</f>
        <v>205</v>
      </c>
      <c r="U173" s="337">
        <f t="shared" ref="U173" si="315">+T173*$X$1</f>
        <v>205</v>
      </c>
      <c r="V173" s="375">
        <f>F173+85</f>
        <v>195</v>
      </c>
      <c r="W173" s="337">
        <f t="shared" ref="W173" si="316">+V173*$X$1</f>
        <v>195</v>
      </c>
      <c r="X173" s="171"/>
      <c r="Y173" s="161"/>
      <c r="Z173" s="161"/>
      <c r="AA173" s="161"/>
      <c r="AB173" s="208">
        <v>415</v>
      </c>
    </row>
    <row r="174" spans="1:28" ht="12.6" customHeight="1" x14ac:dyDescent="0.2">
      <c r="A174" s="27"/>
      <c r="B174" s="701" t="s">
        <v>612</v>
      </c>
      <c r="C174" s="688"/>
      <c r="D174" s="688"/>
      <c r="E174" s="688"/>
      <c r="F174" s="380">
        <v>120</v>
      </c>
      <c r="G174" s="667">
        <f t="shared" si="311"/>
        <v>120</v>
      </c>
      <c r="H174" s="454"/>
      <c r="I174" s="1116"/>
      <c r="J174" s="1116"/>
      <c r="K174" s="1116"/>
      <c r="L174" s="1116"/>
      <c r="M174" s="1117"/>
      <c r="N174" s="658">
        <f t="shared" ref="N174:N176" si="317">F174+140</f>
        <v>260</v>
      </c>
      <c r="O174" s="338">
        <f t="shared" ref="O174:O176" si="318">+N174*$X$1</f>
        <v>260</v>
      </c>
      <c r="P174" s="658">
        <f t="shared" ref="P174:P176" si="319">F174+125</f>
        <v>245</v>
      </c>
      <c r="Q174" s="338">
        <f t="shared" ref="Q174:Q176" si="320">+P174*$X$1</f>
        <v>245</v>
      </c>
      <c r="R174" s="658">
        <f t="shared" ref="R174:R176" si="321">F174+115</f>
        <v>235</v>
      </c>
      <c r="S174" s="338">
        <f t="shared" ref="S174:S176" si="322">+R174*$X$1</f>
        <v>235</v>
      </c>
      <c r="T174" s="658">
        <f t="shared" ref="T174:T176" si="323">F174+95</f>
        <v>215</v>
      </c>
      <c r="U174" s="338">
        <f t="shared" ref="U174:U176" si="324">+T174*$X$1</f>
        <v>215</v>
      </c>
      <c r="V174" s="658">
        <f t="shared" ref="V174:V176" si="325">F174+85</f>
        <v>205</v>
      </c>
      <c r="W174" s="338">
        <f t="shared" ref="W174:W176" si="326">+V174*$X$1</f>
        <v>205</v>
      </c>
      <c r="X174" s="171"/>
      <c r="Y174" s="161"/>
      <c r="Z174" s="161"/>
      <c r="AA174" s="161"/>
      <c r="AB174" s="208">
        <v>416</v>
      </c>
    </row>
    <row r="175" spans="1:28" ht="12.6" customHeight="1" x14ac:dyDescent="0.2">
      <c r="A175" s="27"/>
      <c r="B175" s="708" t="s">
        <v>613</v>
      </c>
      <c r="C175" s="709"/>
      <c r="D175" s="709"/>
      <c r="E175" s="709"/>
      <c r="F175" s="364">
        <v>115</v>
      </c>
      <c r="G175" s="666">
        <f t="shared" si="311"/>
        <v>115</v>
      </c>
      <c r="H175" s="454"/>
      <c r="I175" s="1116"/>
      <c r="J175" s="1116"/>
      <c r="K175" s="1116"/>
      <c r="L175" s="1116"/>
      <c r="M175" s="1117"/>
      <c r="N175" s="375">
        <f t="shared" si="317"/>
        <v>255</v>
      </c>
      <c r="O175" s="337">
        <f t="shared" si="318"/>
        <v>255</v>
      </c>
      <c r="P175" s="375">
        <f t="shared" si="319"/>
        <v>240</v>
      </c>
      <c r="Q175" s="337">
        <f t="shared" si="320"/>
        <v>240</v>
      </c>
      <c r="R175" s="375">
        <f t="shared" si="321"/>
        <v>230</v>
      </c>
      <c r="S175" s="337">
        <f t="shared" si="322"/>
        <v>230</v>
      </c>
      <c r="T175" s="375">
        <f t="shared" si="323"/>
        <v>210</v>
      </c>
      <c r="U175" s="337">
        <f t="shared" si="324"/>
        <v>210</v>
      </c>
      <c r="V175" s="375">
        <f t="shared" si="325"/>
        <v>200</v>
      </c>
      <c r="W175" s="337">
        <f t="shared" si="326"/>
        <v>200</v>
      </c>
      <c r="X175" s="171"/>
      <c r="Y175" s="161"/>
      <c r="Z175" s="161"/>
      <c r="AA175" s="161"/>
      <c r="AB175" s="208">
        <v>417</v>
      </c>
    </row>
    <row r="176" spans="1:28" ht="12.6" customHeight="1" x14ac:dyDescent="0.2">
      <c r="A176" s="27"/>
      <c r="B176" s="701" t="s">
        <v>614</v>
      </c>
      <c r="C176" s="688"/>
      <c r="D176" s="688"/>
      <c r="E176" s="688"/>
      <c r="F176" s="380">
        <v>115</v>
      </c>
      <c r="G176" s="667">
        <f t="shared" si="311"/>
        <v>115</v>
      </c>
      <c r="H176" s="455"/>
      <c r="I176" s="789"/>
      <c r="J176" s="789"/>
      <c r="K176" s="789"/>
      <c r="L176" s="789"/>
      <c r="M176" s="790"/>
      <c r="N176" s="658">
        <f t="shared" si="317"/>
        <v>255</v>
      </c>
      <c r="O176" s="338">
        <f t="shared" si="318"/>
        <v>255</v>
      </c>
      <c r="P176" s="658">
        <f t="shared" si="319"/>
        <v>240</v>
      </c>
      <c r="Q176" s="338">
        <f t="shared" si="320"/>
        <v>240</v>
      </c>
      <c r="R176" s="658">
        <f t="shared" si="321"/>
        <v>230</v>
      </c>
      <c r="S176" s="338">
        <f t="shared" si="322"/>
        <v>230</v>
      </c>
      <c r="T176" s="658">
        <f t="shared" si="323"/>
        <v>210</v>
      </c>
      <c r="U176" s="338">
        <f t="shared" si="324"/>
        <v>210</v>
      </c>
      <c r="V176" s="658">
        <f t="shared" si="325"/>
        <v>200</v>
      </c>
      <c r="W176" s="338">
        <f t="shared" si="326"/>
        <v>200</v>
      </c>
      <c r="X176" s="171"/>
      <c r="Y176" s="161"/>
      <c r="Z176" s="161"/>
      <c r="AA176" s="161"/>
      <c r="AB176" s="208">
        <v>418</v>
      </c>
    </row>
    <row r="177" spans="1:28" ht="12.6" customHeight="1" x14ac:dyDescent="0.2">
      <c r="A177" s="27"/>
      <c r="B177" s="708" t="s">
        <v>197</v>
      </c>
      <c r="C177" s="709"/>
      <c r="D177" s="709"/>
      <c r="E177" s="709"/>
      <c r="F177" s="478">
        <v>833</v>
      </c>
      <c r="G177" s="364">
        <f t="shared" ref="G177:G187" si="327">+F177*$X$1</f>
        <v>833</v>
      </c>
      <c r="H177" s="379"/>
      <c r="I177" s="421"/>
      <c r="J177" s="128"/>
      <c r="K177" s="460"/>
      <c r="L177" s="108">
        <f>F177+63</f>
        <v>896</v>
      </c>
      <c r="M177" s="299">
        <f t="shared" ref="M177:M178" si="328">+L177*$X$1</f>
        <v>896</v>
      </c>
      <c r="N177" s="108">
        <f>F177+43</f>
        <v>876</v>
      </c>
      <c r="O177" s="364">
        <f>+N177*$X$1</f>
        <v>876</v>
      </c>
      <c r="P177" s="108">
        <f>F177+38</f>
        <v>871</v>
      </c>
      <c r="Q177" s="364">
        <f>+P177*$X$1</f>
        <v>871</v>
      </c>
      <c r="R177" s="375">
        <f>F177+34</f>
        <v>867</v>
      </c>
      <c r="S177" s="337">
        <f>+R177*$X$1</f>
        <v>867</v>
      </c>
      <c r="T177" s="375">
        <f>F177+29</f>
        <v>862</v>
      </c>
      <c r="U177" s="337">
        <f>+T177*$X$1</f>
        <v>862</v>
      </c>
      <c r="V177" s="375">
        <f>F177+25</f>
        <v>858</v>
      </c>
      <c r="W177" s="337">
        <f>+V177*$X$1</f>
        <v>858</v>
      </c>
      <c r="X177" s="696"/>
      <c r="Y177" s="697"/>
      <c r="Z177" s="697"/>
      <c r="AA177" s="698"/>
      <c r="AB177" s="534">
        <v>421</v>
      </c>
    </row>
    <row r="178" spans="1:28" ht="12.6" customHeight="1" x14ac:dyDescent="0.2">
      <c r="A178" s="27"/>
      <c r="B178" s="713" t="s">
        <v>677</v>
      </c>
      <c r="C178" s="714"/>
      <c r="D178" s="714"/>
      <c r="E178" s="714"/>
      <c r="F178" s="477">
        <v>750</v>
      </c>
      <c r="G178" s="380">
        <f t="shared" si="327"/>
        <v>750</v>
      </c>
      <c r="H178" s="1165" t="s">
        <v>722</v>
      </c>
      <c r="I178" s="1166"/>
      <c r="J178" s="1166"/>
      <c r="K178" s="1167"/>
      <c r="L178" s="105">
        <f t="shared" ref="L178:L183" si="329">F178+80</f>
        <v>830</v>
      </c>
      <c r="M178" s="338">
        <f t="shared" si="328"/>
        <v>830</v>
      </c>
      <c r="N178" s="584">
        <f t="shared" ref="N178:N183" si="330">F178+60</f>
        <v>810</v>
      </c>
      <c r="O178" s="338">
        <f t="shared" ref="O178" si="331">+N178*$X$1</f>
        <v>810</v>
      </c>
      <c r="P178" s="584">
        <f t="shared" ref="P178:P183" si="332">F178+43</f>
        <v>793</v>
      </c>
      <c r="Q178" s="338">
        <f t="shared" ref="Q178" si="333">+P178*$X$1</f>
        <v>793</v>
      </c>
      <c r="R178" s="584">
        <f t="shared" ref="R178:R183" si="334">F178+37</f>
        <v>787</v>
      </c>
      <c r="S178" s="338">
        <f t="shared" ref="S178" si="335">+R178*$X$1</f>
        <v>787</v>
      </c>
      <c r="T178" s="107">
        <f t="shared" ref="T178:T183" si="336">F178+30</f>
        <v>780</v>
      </c>
      <c r="U178" s="363">
        <f t="shared" ref="U178" si="337">+T178*$X$1</f>
        <v>780</v>
      </c>
      <c r="V178" s="584">
        <f t="shared" ref="V178:V183" si="338">F178+26</f>
        <v>776</v>
      </c>
      <c r="W178" s="338">
        <f t="shared" ref="W178" si="339">+V178*$X$1</f>
        <v>776</v>
      </c>
      <c r="X178" s="696"/>
      <c r="Y178" s="697"/>
      <c r="Z178" s="697"/>
      <c r="AA178" s="698"/>
      <c r="AB178" s="534" t="s">
        <v>846</v>
      </c>
    </row>
    <row r="179" spans="1:28" ht="12.6" customHeight="1" x14ac:dyDescent="0.2">
      <c r="A179" s="27"/>
      <c r="B179" s="713" t="s">
        <v>674</v>
      </c>
      <c r="C179" s="714"/>
      <c r="D179" s="714"/>
      <c r="E179" s="714"/>
      <c r="F179" s="478">
        <v>750</v>
      </c>
      <c r="G179" s="364">
        <f t="shared" si="327"/>
        <v>750</v>
      </c>
      <c r="H179" s="1168"/>
      <c r="I179" s="1169"/>
      <c r="J179" s="1169"/>
      <c r="K179" s="1170"/>
      <c r="L179" s="495">
        <f t="shared" si="329"/>
        <v>830</v>
      </c>
      <c r="M179" s="337">
        <f t="shared" ref="M179:M181" si="340">+L179*$X$1</f>
        <v>830</v>
      </c>
      <c r="N179" s="375">
        <f t="shared" si="330"/>
        <v>810</v>
      </c>
      <c r="O179" s="337">
        <f t="shared" ref="O179:O181" si="341">+N179*$X$1</f>
        <v>810</v>
      </c>
      <c r="P179" s="375">
        <f t="shared" si="332"/>
        <v>793</v>
      </c>
      <c r="Q179" s="337">
        <f t="shared" ref="Q179:Q181" si="342">+P179*$X$1</f>
        <v>793</v>
      </c>
      <c r="R179" s="375">
        <f t="shared" si="334"/>
        <v>787</v>
      </c>
      <c r="S179" s="337">
        <f t="shared" ref="S179:S181" si="343">+R179*$X$1</f>
        <v>787</v>
      </c>
      <c r="T179" s="108">
        <f t="shared" si="336"/>
        <v>780</v>
      </c>
      <c r="U179" s="299">
        <f t="shared" ref="U179:U181" si="344">+T179*$X$1</f>
        <v>780</v>
      </c>
      <c r="V179" s="375">
        <f t="shared" si="338"/>
        <v>776</v>
      </c>
      <c r="W179" s="337">
        <f t="shared" ref="W179:W181" si="345">+V179*$X$1</f>
        <v>776</v>
      </c>
      <c r="X179" s="696"/>
      <c r="Y179" s="697"/>
      <c r="Z179" s="697"/>
      <c r="AA179" s="698"/>
      <c r="AB179" s="534" t="s">
        <v>841</v>
      </c>
    </row>
    <row r="180" spans="1:28" ht="12.6" customHeight="1" x14ac:dyDescent="0.2">
      <c r="A180" s="27"/>
      <c r="B180" s="713" t="s">
        <v>673</v>
      </c>
      <c r="C180" s="714"/>
      <c r="D180" s="714"/>
      <c r="E180" s="714"/>
      <c r="F180" s="477">
        <v>750</v>
      </c>
      <c r="G180" s="380">
        <f t="shared" si="327"/>
        <v>750</v>
      </c>
      <c r="H180" s="1168"/>
      <c r="I180" s="1169"/>
      <c r="J180" s="1169"/>
      <c r="K180" s="1170"/>
      <c r="L180" s="105">
        <f t="shared" si="329"/>
        <v>830</v>
      </c>
      <c r="M180" s="338">
        <f t="shared" si="340"/>
        <v>830</v>
      </c>
      <c r="N180" s="584">
        <f t="shared" si="330"/>
        <v>810</v>
      </c>
      <c r="O180" s="338">
        <f t="shared" si="341"/>
        <v>810</v>
      </c>
      <c r="P180" s="584">
        <f t="shared" si="332"/>
        <v>793</v>
      </c>
      <c r="Q180" s="338">
        <f t="shared" si="342"/>
        <v>793</v>
      </c>
      <c r="R180" s="584">
        <f t="shared" si="334"/>
        <v>787</v>
      </c>
      <c r="S180" s="338">
        <f t="shared" si="343"/>
        <v>787</v>
      </c>
      <c r="T180" s="107">
        <f t="shared" si="336"/>
        <v>780</v>
      </c>
      <c r="U180" s="363">
        <f t="shared" si="344"/>
        <v>780</v>
      </c>
      <c r="V180" s="584">
        <f t="shared" si="338"/>
        <v>776</v>
      </c>
      <c r="W180" s="338">
        <f t="shared" si="345"/>
        <v>776</v>
      </c>
      <c r="X180" s="696"/>
      <c r="Y180" s="697"/>
      <c r="Z180" s="697"/>
      <c r="AA180" s="698"/>
      <c r="AB180" s="534" t="s">
        <v>843</v>
      </c>
    </row>
    <row r="181" spans="1:28" ht="12.6" customHeight="1" x14ac:dyDescent="0.2">
      <c r="A181" s="27"/>
      <c r="B181" s="713" t="s">
        <v>676</v>
      </c>
      <c r="C181" s="714"/>
      <c r="D181" s="714"/>
      <c r="E181" s="714"/>
      <c r="F181" s="478">
        <v>750</v>
      </c>
      <c r="G181" s="364">
        <f t="shared" si="327"/>
        <v>750</v>
      </c>
      <c r="H181" s="1168"/>
      <c r="I181" s="1169"/>
      <c r="J181" s="1169"/>
      <c r="K181" s="1170"/>
      <c r="L181" s="495">
        <f t="shared" si="329"/>
        <v>830</v>
      </c>
      <c r="M181" s="337">
        <f t="shared" si="340"/>
        <v>830</v>
      </c>
      <c r="N181" s="375">
        <f t="shared" si="330"/>
        <v>810</v>
      </c>
      <c r="O181" s="337">
        <f t="shared" si="341"/>
        <v>810</v>
      </c>
      <c r="P181" s="375">
        <f t="shared" si="332"/>
        <v>793</v>
      </c>
      <c r="Q181" s="337">
        <f t="shared" si="342"/>
        <v>793</v>
      </c>
      <c r="R181" s="375">
        <f t="shared" si="334"/>
        <v>787</v>
      </c>
      <c r="S181" s="337">
        <f t="shared" si="343"/>
        <v>787</v>
      </c>
      <c r="T181" s="108">
        <f t="shared" si="336"/>
        <v>780</v>
      </c>
      <c r="U181" s="299">
        <f t="shared" si="344"/>
        <v>780</v>
      </c>
      <c r="V181" s="375">
        <f t="shared" si="338"/>
        <v>776</v>
      </c>
      <c r="W181" s="337">
        <f t="shared" si="345"/>
        <v>776</v>
      </c>
      <c r="X181" s="1145"/>
      <c r="Y181" s="1146"/>
      <c r="Z181" s="1146"/>
      <c r="AA181" s="1147"/>
      <c r="AB181" s="534" t="s">
        <v>842</v>
      </c>
    </row>
    <row r="182" spans="1:28" ht="12.6" customHeight="1" x14ac:dyDescent="0.2">
      <c r="A182" s="27"/>
      <c r="B182" s="713" t="s">
        <v>845</v>
      </c>
      <c r="C182" s="714"/>
      <c r="D182" s="714"/>
      <c r="E182" s="714"/>
      <c r="F182" s="477">
        <v>750</v>
      </c>
      <c r="G182" s="380">
        <f t="shared" ref="G182" si="346">+F182*$X$1</f>
        <v>750</v>
      </c>
      <c r="H182" s="1168"/>
      <c r="I182" s="1169"/>
      <c r="J182" s="1169"/>
      <c r="K182" s="1170"/>
      <c r="L182" s="105">
        <f t="shared" si="329"/>
        <v>830</v>
      </c>
      <c r="M182" s="338">
        <f t="shared" ref="M182:M186" si="347">+L182*$X$1</f>
        <v>830</v>
      </c>
      <c r="N182" s="584">
        <f t="shared" si="330"/>
        <v>810</v>
      </c>
      <c r="O182" s="338">
        <f t="shared" ref="O182:O186" si="348">+N182*$X$1</f>
        <v>810</v>
      </c>
      <c r="P182" s="584">
        <f t="shared" si="332"/>
        <v>793</v>
      </c>
      <c r="Q182" s="338">
        <f t="shared" ref="Q182:Q186" si="349">+P182*$X$1</f>
        <v>793</v>
      </c>
      <c r="R182" s="584">
        <f t="shared" si="334"/>
        <v>787</v>
      </c>
      <c r="S182" s="338">
        <f t="shared" ref="S182:S186" si="350">+R182*$X$1</f>
        <v>787</v>
      </c>
      <c r="T182" s="107">
        <f t="shared" si="336"/>
        <v>780</v>
      </c>
      <c r="U182" s="363">
        <f t="shared" ref="U182:U186" si="351">+T182*$X$1</f>
        <v>780</v>
      </c>
      <c r="V182" s="584">
        <f t="shared" si="338"/>
        <v>776</v>
      </c>
      <c r="W182" s="338">
        <f t="shared" ref="W182:W186" si="352">+V182*$X$1</f>
        <v>776</v>
      </c>
      <c r="X182" s="696"/>
      <c r="Y182" s="697"/>
      <c r="Z182" s="697"/>
      <c r="AA182" s="698"/>
      <c r="AB182" s="534" t="s">
        <v>844</v>
      </c>
    </row>
    <row r="183" spans="1:28" ht="12.6" customHeight="1" x14ac:dyDescent="0.2">
      <c r="A183" s="27"/>
      <c r="B183" s="713" t="s">
        <v>675</v>
      </c>
      <c r="C183" s="714"/>
      <c r="D183" s="714"/>
      <c r="E183" s="714"/>
      <c r="F183" s="478">
        <v>833</v>
      </c>
      <c r="G183" s="364">
        <f t="shared" si="327"/>
        <v>833</v>
      </c>
      <c r="H183" s="1171"/>
      <c r="I183" s="1172"/>
      <c r="J183" s="1172"/>
      <c r="K183" s="1173"/>
      <c r="L183" s="495">
        <f t="shared" si="329"/>
        <v>913</v>
      </c>
      <c r="M183" s="337">
        <f t="shared" si="347"/>
        <v>913</v>
      </c>
      <c r="N183" s="375">
        <f t="shared" si="330"/>
        <v>893</v>
      </c>
      <c r="O183" s="337">
        <f t="shared" si="348"/>
        <v>893</v>
      </c>
      <c r="P183" s="375">
        <f t="shared" si="332"/>
        <v>876</v>
      </c>
      <c r="Q183" s="337">
        <f t="shared" si="349"/>
        <v>876</v>
      </c>
      <c r="R183" s="375">
        <f t="shared" si="334"/>
        <v>870</v>
      </c>
      <c r="S183" s="337">
        <f t="shared" si="350"/>
        <v>870</v>
      </c>
      <c r="T183" s="108">
        <f t="shared" si="336"/>
        <v>863</v>
      </c>
      <c r="U183" s="299">
        <f t="shared" si="351"/>
        <v>863</v>
      </c>
      <c r="V183" s="375">
        <f t="shared" si="338"/>
        <v>859</v>
      </c>
      <c r="W183" s="337">
        <f t="shared" si="352"/>
        <v>859</v>
      </c>
      <c r="X183" s="696"/>
      <c r="Y183" s="697"/>
      <c r="Z183" s="697"/>
      <c r="AA183" s="698"/>
      <c r="AB183" s="534" t="s">
        <v>840</v>
      </c>
    </row>
    <row r="184" spans="1:28" ht="12.6" customHeight="1" x14ac:dyDescent="0.2">
      <c r="A184" s="111"/>
      <c r="B184" s="1080" t="s">
        <v>450</v>
      </c>
      <c r="C184" s="1081"/>
      <c r="D184" s="1081"/>
      <c r="E184" s="1081"/>
      <c r="F184" s="481">
        <f>1.17*X2</f>
        <v>1081.08</v>
      </c>
      <c r="G184" s="419">
        <f t="shared" si="327"/>
        <v>1081.08</v>
      </c>
      <c r="H184" s="336"/>
      <c r="I184" s="459"/>
      <c r="J184" s="107"/>
      <c r="K184" s="380"/>
      <c r="L184" s="584">
        <f>F184+74</f>
        <v>1155.08</v>
      </c>
      <c r="M184" s="338">
        <f t="shared" si="347"/>
        <v>1155.08</v>
      </c>
      <c r="N184" s="584">
        <f>F184+46</f>
        <v>1127.08</v>
      </c>
      <c r="O184" s="338">
        <f t="shared" si="348"/>
        <v>1127.08</v>
      </c>
      <c r="P184" s="584">
        <f>F184+42</f>
        <v>1123.08</v>
      </c>
      <c r="Q184" s="338">
        <f t="shared" si="349"/>
        <v>1123.08</v>
      </c>
      <c r="R184" s="584">
        <f>F184+35</f>
        <v>1116.08</v>
      </c>
      <c r="S184" s="338">
        <f t="shared" si="350"/>
        <v>1116.08</v>
      </c>
      <c r="T184" s="107">
        <f>F184+29</f>
        <v>1110.08</v>
      </c>
      <c r="U184" s="363">
        <f t="shared" si="351"/>
        <v>1110.08</v>
      </c>
      <c r="V184" s="107">
        <f>F184+24</f>
        <v>1105.08</v>
      </c>
      <c r="W184" s="363">
        <f t="shared" si="352"/>
        <v>1105.08</v>
      </c>
      <c r="X184" s="161"/>
      <c r="Y184" s="170"/>
      <c r="Z184" s="161"/>
      <c r="AA184" s="161"/>
      <c r="AB184" s="208">
        <v>425</v>
      </c>
    </row>
    <row r="185" spans="1:28" ht="12.6" customHeight="1" x14ac:dyDescent="0.2">
      <c r="A185" s="111"/>
      <c r="B185" s="708" t="s">
        <v>574</v>
      </c>
      <c r="C185" s="709"/>
      <c r="D185" s="709"/>
      <c r="E185" s="709"/>
      <c r="F185" s="472">
        <f>1.01*X2</f>
        <v>933.24</v>
      </c>
      <c r="G185" s="337">
        <f t="shared" si="327"/>
        <v>933.24</v>
      </c>
      <c r="H185" s="379"/>
      <c r="I185" s="412"/>
      <c r="J185" s="375"/>
      <c r="K185" s="337"/>
      <c r="L185" s="375">
        <f>F185+74</f>
        <v>1007.24</v>
      </c>
      <c r="M185" s="337">
        <f t="shared" si="347"/>
        <v>1007.24</v>
      </c>
      <c r="N185" s="375">
        <f>F185+46</f>
        <v>979.24</v>
      </c>
      <c r="O185" s="337">
        <f t="shared" si="348"/>
        <v>979.24</v>
      </c>
      <c r="P185" s="375">
        <f>F185+42</f>
        <v>975.24</v>
      </c>
      <c r="Q185" s="337">
        <f t="shared" si="349"/>
        <v>975.24</v>
      </c>
      <c r="R185" s="375">
        <f>F185+35</f>
        <v>968.24</v>
      </c>
      <c r="S185" s="337">
        <f t="shared" si="350"/>
        <v>968.24</v>
      </c>
      <c r="T185" s="108">
        <f>F185+29</f>
        <v>962.24</v>
      </c>
      <c r="U185" s="299">
        <f t="shared" si="351"/>
        <v>962.24</v>
      </c>
      <c r="V185" s="108">
        <f>F185+24</f>
        <v>957.24</v>
      </c>
      <c r="W185" s="299">
        <f t="shared" si="352"/>
        <v>957.24</v>
      </c>
      <c r="X185" s="161"/>
      <c r="Y185" s="170"/>
      <c r="Z185" s="161"/>
      <c r="AA185" s="161"/>
      <c r="AB185" s="208" t="s">
        <v>633</v>
      </c>
    </row>
    <row r="186" spans="1:28" ht="12.6" customHeight="1" x14ac:dyDescent="0.2">
      <c r="A186" s="111"/>
      <c r="B186" s="701" t="s">
        <v>562</v>
      </c>
      <c r="C186" s="688"/>
      <c r="D186" s="688"/>
      <c r="E186" s="688"/>
      <c r="F186" s="473">
        <f>0.98*X2</f>
        <v>905.52</v>
      </c>
      <c r="G186" s="338">
        <f t="shared" ref="G186" si="353">+F186*$X$1</f>
        <v>905.52</v>
      </c>
      <c r="H186" s="336"/>
      <c r="I186" s="413"/>
      <c r="J186" s="584"/>
      <c r="K186" s="338"/>
      <c r="L186" s="584">
        <f>F186+74</f>
        <v>979.52</v>
      </c>
      <c r="M186" s="338">
        <f t="shared" si="347"/>
        <v>979.52</v>
      </c>
      <c r="N186" s="584">
        <f>F186+46</f>
        <v>951.52</v>
      </c>
      <c r="O186" s="338">
        <f t="shared" si="348"/>
        <v>951.52</v>
      </c>
      <c r="P186" s="584">
        <f>F186+42</f>
        <v>947.52</v>
      </c>
      <c r="Q186" s="338">
        <f t="shared" si="349"/>
        <v>947.52</v>
      </c>
      <c r="R186" s="584">
        <f>F186+35</f>
        <v>940.52</v>
      </c>
      <c r="S186" s="338">
        <f t="shared" si="350"/>
        <v>940.52</v>
      </c>
      <c r="T186" s="107">
        <f>F186+29</f>
        <v>934.52</v>
      </c>
      <c r="U186" s="363">
        <f t="shared" si="351"/>
        <v>934.52</v>
      </c>
      <c r="V186" s="107">
        <f>F186+24</f>
        <v>929.52</v>
      </c>
      <c r="W186" s="363">
        <f t="shared" si="352"/>
        <v>929.52</v>
      </c>
      <c r="X186" s="161"/>
      <c r="Y186" s="170"/>
      <c r="Z186" s="161"/>
      <c r="AA186" s="161"/>
      <c r="AB186" s="208">
        <v>428</v>
      </c>
    </row>
    <row r="187" spans="1:28" ht="12.6" customHeight="1" x14ac:dyDescent="0.2">
      <c r="A187" s="20"/>
      <c r="B187" s="708" t="s">
        <v>198</v>
      </c>
      <c r="C187" s="709"/>
      <c r="D187" s="709"/>
      <c r="E187" s="709"/>
      <c r="F187" s="472">
        <f>1.527*X2</f>
        <v>1410.9479999999999</v>
      </c>
      <c r="G187" s="337">
        <f t="shared" si="327"/>
        <v>1410.9479999999999</v>
      </c>
      <c r="H187" s="375">
        <f>F187+290</f>
        <v>1700.9479999999999</v>
      </c>
      <c r="I187" s="337">
        <f>+H187*$X$1</f>
        <v>1700.9479999999999</v>
      </c>
      <c r="J187" s="375">
        <f>F187+120</f>
        <v>1530.9479999999999</v>
      </c>
      <c r="K187" s="337">
        <f t="shared" ref="K187" si="354">+J187*$X$1</f>
        <v>1530.9479999999999</v>
      </c>
      <c r="L187" s="375">
        <f>F187+74</f>
        <v>1484.9479999999999</v>
      </c>
      <c r="M187" s="337">
        <f t="shared" ref="M187" si="355">+L187*$X$1</f>
        <v>1484.9479999999999</v>
      </c>
      <c r="N187" s="375">
        <f>F187+46</f>
        <v>1456.9479999999999</v>
      </c>
      <c r="O187" s="337">
        <f t="shared" ref="O187" si="356">+N187*$X$1</f>
        <v>1456.9479999999999</v>
      </c>
      <c r="P187" s="375">
        <f>F187+42</f>
        <v>1452.9479999999999</v>
      </c>
      <c r="Q187" s="337">
        <f t="shared" ref="Q187" si="357">+P187*$X$1</f>
        <v>1452.9479999999999</v>
      </c>
      <c r="R187" s="375">
        <f>F187+35</f>
        <v>1445.9479999999999</v>
      </c>
      <c r="S187" s="337">
        <f t="shared" ref="S187" si="358">+R187*$X$1</f>
        <v>1445.9479999999999</v>
      </c>
      <c r="T187" s="108">
        <f>F187+29</f>
        <v>1439.9479999999999</v>
      </c>
      <c r="U187" s="299">
        <f t="shared" ref="U187" si="359">+T187*$X$1</f>
        <v>1439.9479999999999</v>
      </c>
      <c r="V187" s="108">
        <f>F187+24</f>
        <v>1434.9479999999999</v>
      </c>
      <c r="W187" s="299">
        <f t="shared" ref="W187" si="360">+V187*$X$1</f>
        <v>1434.9479999999999</v>
      </c>
      <c r="X187" s="161"/>
      <c r="Y187" s="170"/>
      <c r="Z187" s="161"/>
      <c r="AA187" s="161"/>
      <c r="AB187" s="208">
        <v>442</v>
      </c>
    </row>
    <row r="188" spans="1:28" ht="12.6" customHeight="1" x14ac:dyDescent="0.2">
      <c r="A188" s="20"/>
      <c r="B188" s="791" t="s">
        <v>199</v>
      </c>
      <c r="C188" s="792"/>
      <c r="D188" s="792"/>
      <c r="E188" s="792"/>
      <c r="F188" s="458"/>
      <c r="G188" s="817" t="s">
        <v>435</v>
      </c>
      <c r="H188" s="818"/>
      <c r="I188" s="818"/>
      <c r="J188" s="818"/>
      <c r="K188" s="818"/>
      <c r="L188" s="818"/>
      <c r="M188" s="818"/>
      <c r="N188" s="818"/>
      <c r="O188" s="818"/>
      <c r="P188" s="1121"/>
      <c r="Q188" s="1121"/>
      <c r="R188" s="1121"/>
      <c r="S188" s="1122"/>
      <c r="T188" s="75"/>
      <c r="U188" s="338"/>
      <c r="V188" s="107"/>
      <c r="W188" s="363"/>
      <c r="X188" s="171"/>
      <c r="Y188" s="170"/>
      <c r="Z188" s="161"/>
      <c r="AA188" s="161"/>
      <c r="AB188" s="208">
        <v>450</v>
      </c>
    </row>
    <row r="189" spans="1:28" ht="12.6" customHeight="1" x14ac:dyDescent="0.2">
      <c r="A189" s="20"/>
      <c r="B189" s="708" t="s">
        <v>200</v>
      </c>
      <c r="C189" s="709"/>
      <c r="D189" s="709"/>
      <c r="E189" s="709"/>
      <c r="F189" s="137"/>
      <c r="G189" s="820"/>
      <c r="H189" s="821"/>
      <c r="I189" s="821"/>
      <c r="J189" s="821"/>
      <c r="K189" s="821"/>
      <c r="L189" s="821"/>
      <c r="M189" s="821"/>
      <c r="N189" s="821"/>
      <c r="O189" s="821"/>
      <c r="P189" s="1123"/>
      <c r="Q189" s="1124"/>
      <c r="R189" s="1123"/>
      <c r="S189" s="1125"/>
      <c r="T189" s="75"/>
      <c r="U189" s="337"/>
      <c r="V189" s="108"/>
      <c r="W189" s="299"/>
      <c r="X189" s="171"/>
      <c r="Y189" s="170"/>
      <c r="Z189" s="161"/>
      <c r="AA189" s="161"/>
      <c r="AB189" s="208">
        <v>451</v>
      </c>
    </row>
    <row r="190" spans="1:28" ht="12.6" customHeight="1" x14ac:dyDescent="0.2">
      <c r="A190" s="20"/>
      <c r="B190" s="701" t="s">
        <v>201</v>
      </c>
      <c r="C190" s="688"/>
      <c r="D190" s="688"/>
      <c r="E190" s="688"/>
      <c r="F190" s="95"/>
      <c r="G190" s="820"/>
      <c r="H190" s="821"/>
      <c r="I190" s="821"/>
      <c r="J190" s="821"/>
      <c r="K190" s="821"/>
      <c r="L190" s="821"/>
      <c r="M190" s="821"/>
      <c r="N190" s="821"/>
      <c r="O190" s="821"/>
      <c r="P190" s="1123"/>
      <c r="Q190" s="1124"/>
      <c r="R190" s="1123"/>
      <c r="S190" s="1125"/>
      <c r="T190" s="75"/>
      <c r="U190" s="338"/>
      <c r="V190" s="107"/>
      <c r="W190" s="363"/>
      <c r="X190" s="171"/>
      <c r="Y190" s="170"/>
      <c r="Z190" s="161"/>
      <c r="AA190" s="161"/>
      <c r="AB190" s="208">
        <v>452</v>
      </c>
    </row>
    <row r="191" spans="1:28" ht="12.6" customHeight="1" x14ac:dyDescent="0.2">
      <c r="A191" s="20"/>
      <c r="B191" s="708" t="s">
        <v>202</v>
      </c>
      <c r="C191" s="709"/>
      <c r="D191" s="709"/>
      <c r="E191" s="709"/>
      <c r="F191" s="137"/>
      <c r="G191" s="820"/>
      <c r="H191" s="821"/>
      <c r="I191" s="821"/>
      <c r="J191" s="821"/>
      <c r="K191" s="821"/>
      <c r="L191" s="821"/>
      <c r="M191" s="821"/>
      <c r="N191" s="821"/>
      <c r="O191" s="821"/>
      <c r="P191" s="1123"/>
      <c r="Q191" s="1124"/>
      <c r="R191" s="1123"/>
      <c r="S191" s="1125"/>
      <c r="T191" s="75"/>
      <c r="U191" s="337"/>
      <c r="V191" s="108"/>
      <c r="W191" s="299"/>
      <c r="X191" s="171"/>
      <c r="Y191" s="170"/>
      <c r="Z191" s="161"/>
      <c r="AA191" s="161"/>
      <c r="AB191" s="208">
        <v>453</v>
      </c>
    </row>
    <row r="192" spans="1:28" ht="12.6" customHeight="1" x14ac:dyDescent="0.2">
      <c r="A192" s="20"/>
      <c r="B192" s="701" t="s">
        <v>203</v>
      </c>
      <c r="C192" s="688"/>
      <c r="D192" s="688"/>
      <c r="E192" s="688"/>
      <c r="F192" s="95"/>
      <c r="G192" s="820"/>
      <c r="H192" s="821"/>
      <c r="I192" s="821"/>
      <c r="J192" s="821"/>
      <c r="K192" s="821"/>
      <c r="L192" s="821"/>
      <c r="M192" s="821"/>
      <c r="N192" s="821"/>
      <c r="O192" s="821"/>
      <c r="P192" s="1123"/>
      <c r="Q192" s="1124"/>
      <c r="R192" s="1123"/>
      <c r="S192" s="1125"/>
      <c r="T192" s="75"/>
      <c r="U192" s="338"/>
      <c r="V192" s="107"/>
      <c r="W192" s="363"/>
      <c r="X192" s="171"/>
      <c r="Y192" s="170"/>
      <c r="Z192" s="161"/>
      <c r="AA192" s="161"/>
      <c r="AB192" s="208">
        <v>454</v>
      </c>
    </row>
    <row r="193" spans="1:28" ht="12.6" customHeight="1" x14ac:dyDescent="0.2">
      <c r="A193" s="20"/>
      <c r="B193" s="708" t="s">
        <v>204</v>
      </c>
      <c r="C193" s="709"/>
      <c r="D193" s="709"/>
      <c r="E193" s="709"/>
      <c r="F193" s="457"/>
      <c r="G193" s="1126"/>
      <c r="H193" s="822"/>
      <c r="I193" s="822"/>
      <c r="J193" s="822"/>
      <c r="K193" s="822"/>
      <c r="L193" s="822"/>
      <c r="M193" s="822"/>
      <c r="N193" s="822"/>
      <c r="O193" s="822"/>
      <c r="P193" s="1127"/>
      <c r="Q193" s="1127"/>
      <c r="R193" s="1127"/>
      <c r="S193" s="1128"/>
      <c r="T193" s="75"/>
      <c r="U193" s="337"/>
      <c r="V193" s="108"/>
      <c r="W193" s="299"/>
      <c r="X193" s="171"/>
      <c r="Y193" s="170"/>
      <c r="Z193" s="161"/>
      <c r="AA193" s="161"/>
      <c r="AB193" s="208">
        <v>460</v>
      </c>
    </row>
    <row r="194" spans="1:28" ht="12.6" customHeight="1" x14ac:dyDescent="0.2">
      <c r="A194" s="20"/>
      <c r="B194" s="701" t="s">
        <v>425</v>
      </c>
      <c r="C194" s="702"/>
      <c r="D194" s="702"/>
      <c r="E194" s="702"/>
      <c r="F194" s="473">
        <f>1.974*X2</f>
        <v>1823.9759999999999</v>
      </c>
      <c r="G194" s="406">
        <f t="shared" ref="G194:G195" si="361">+F194*$X$1</f>
        <v>1823.9759999999999</v>
      </c>
      <c r="H194" s="327"/>
      <c r="I194" s="327"/>
      <c r="J194" s="584">
        <f>F194+120</f>
        <v>1943.9759999999999</v>
      </c>
      <c r="K194" s="338">
        <f t="shared" ref="K194" si="362">+J194*$X$1</f>
        <v>1943.9759999999999</v>
      </c>
      <c r="L194" s="584">
        <f>F194+74</f>
        <v>1897.9759999999999</v>
      </c>
      <c r="M194" s="338">
        <f t="shared" ref="M194" si="363">+L194*$X$1</f>
        <v>1897.9759999999999</v>
      </c>
      <c r="N194" s="584">
        <f t="shared" ref="N194:N201" si="364">F194+46</f>
        <v>1869.9759999999999</v>
      </c>
      <c r="O194" s="338">
        <f t="shared" ref="O194" si="365">+N194*$X$1</f>
        <v>1869.9759999999999</v>
      </c>
      <c r="P194" s="584">
        <f t="shared" ref="P194:P201" si="366">F194+42</f>
        <v>1865.9759999999999</v>
      </c>
      <c r="Q194" s="338">
        <f t="shared" ref="Q194" si="367">+P194*$X$1</f>
        <v>1865.9759999999999</v>
      </c>
      <c r="R194" s="584">
        <f t="shared" ref="R194:R201" si="368">F194+35</f>
        <v>1858.9759999999999</v>
      </c>
      <c r="S194" s="338">
        <f t="shared" ref="S194" si="369">+R194*$X$1</f>
        <v>1858.9759999999999</v>
      </c>
      <c r="T194" s="107">
        <f t="shared" ref="T194:T201" si="370">F194+29</f>
        <v>1852.9759999999999</v>
      </c>
      <c r="U194" s="363">
        <f t="shared" ref="U194" si="371">+T194*$X$1</f>
        <v>1852.9759999999999</v>
      </c>
      <c r="V194" s="107">
        <f t="shared" ref="V194:V201" si="372">F194+24</f>
        <v>1847.9759999999999</v>
      </c>
      <c r="W194" s="363">
        <f t="shared" ref="W194" si="373">+V194*$X$1</f>
        <v>1847.9759999999999</v>
      </c>
      <c r="X194" s="161"/>
      <c r="Y194" s="170"/>
      <c r="Z194" s="161"/>
      <c r="AA194" s="161"/>
      <c r="AB194" s="208">
        <v>465</v>
      </c>
    </row>
    <row r="195" spans="1:28" ht="12.6" customHeight="1" x14ac:dyDescent="0.2">
      <c r="A195" s="20"/>
      <c r="B195" s="718" t="s">
        <v>730</v>
      </c>
      <c r="C195" s="719"/>
      <c r="D195" s="719"/>
      <c r="E195" s="719"/>
      <c r="F195" s="478">
        <f>1.137*X2</f>
        <v>1050.588</v>
      </c>
      <c r="G195" s="365">
        <f t="shared" si="361"/>
        <v>1050.588</v>
      </c>
      <c r="H195" s="328"/>
      <c r="I195" s="328"/>
      <c r="J195" s="375">
        <f>F195+120</f>
        <v>1170.588</v>
      </c>
      <c r="K195" s="337">
        <f t="shared" ref="K195:K196" si="374">+J195*$X$1</f>
        <v>1170.588</v>
      </c>
      <c r="L195" s="375">
        <f>F195+74</f>
        <v>1124.588</v>
      </c>
      <c r="M195" s="337">
        <f t="shared" ref="M195:M196" si="375">+L195*$X$1</f>
        <v>1124.588</v>
      </c>
      <c r="N195" s="375">
        <f t="shared" si="364"/>
        <v>1096.588</v>
      </c>
      <c r="O195" s="337">
        <f t="shared" ref="O195:O196" si="376">+N195*$X$1</f>
        <v>1096.588</v>
      </c>
      <c r="P195" s="375">
        <f t="shared" si="366"/>
        <v>1092.588</v>
      </c>
      <c r="Q195" s="337">
        <f t="shared" ref="Q195:Q196" si="377">+P195*$X$1</f>
        <v>1092.588</v>
      </c>
      <c r="R195" s="375">
        <f t="shared" si="368"/>
        <v>1085.588</v>
      </c>
      <c r="S195" s="337">
        <f t="shared" ref="S195:S196" si="378">+R195*$X$1</f>
        <v>1085.588</v>
      </c>
      <c r="T195" s="108">
        <f t="shared" si="370"/>
        <v>1079.588</v>
      </c>
      <c r="U195" s="299">
        <f t="shared" ref="U195:U196" si="379">+T195*$X$1</f>
        <v>1079.588</v>
      </c>
      <c r="V195" s="108">
        <f t="shared" si="372"/>
        <v>1074.588</v>
      </c>
      <c r="W195" s="299">
        <f t="shared" ref="W195:W196" si="380">+V195*$X$1</f>
        <v>1074.588</v>
      </c>
      <c r="X195" s="161"/>
      <c r="Y195" s="161"/>
      <c r="Z195" s="161"/>
      <c r="AA195" s="161"/>
      <c r="AB195" s="208">
        <v>528</v>
      </c>
    </row>
    <row r="196" spans="1:28" ht="12.6" customHeight="1" x14ac:dyDescent="0.2">
      <c r="A196" s="20"/>
      <c r="B196" s="795" t="s">
        <v>426</v>
      </c>
      <c r="C196" s="907"/>
      <c r="D196" s="907"/>
      <c r="E196" s="908"/>
      <c r="F196" s="380">
        <v>3200</v>
      </c>
      <c r="G196" s="370">
        <f t="shared" ref="G196:G199" si="381">+F196*$X$1</f>
        <v>3200</v>
      </c>
      <c r="H196" s="327"/>
      <c r="I196" s="327"/>
      <c r="J196" s="584">
        <f>F196+120</f>
        <v>3320</v>
      </c>
      <c r="K196" s="338">
        <f t="shared" si="374"/>
        <v>3320</v>
      </c>
      <c r="L196" s="584">
        <f>F196+74</f>
        <v>3274</v>
      </c>
      <c r="M196" s="338">
        <f t="shared" si="375"/>
        <v>3274</v>
      </c>
      <c r="N196" s="584">
        <f t="shared" si="364"/>
        <v>3246</v>
      </c>
      <c r="O196" s="338">
        <f t="shared" si="376"/>
        <v>3246</v>
      </c>
      <c r="P196" s="584">
        <f t="shared" si="366"/>
        <v>3242</v>
      </c>
      <c r="Q196" s="338">
        <f t="shared" si="377"/>
        <v>3242</v>
      </c>
      <c r="R196" s="584">
        <f t="shared" si="368"/>
        <v>3235</v>
      </c>
      <c r="S196" s="338">
        <f t="shared" si="378"/>
        <v>3235</v>
      </c>
      <c r="T196" s="107">
        <f t="shared" si="370"/>
        <v>3229</v>
      </c>
      <c r="U196" s="363">
        <f t="shared" si="379"/>
        <v>3229</v>
      </c>
      <c r="V196" s="107">
        <f t="shared" si="372"/>
        <v>3224</v>
      </c>
      <c r="W196" s="363">
        <f t="shared" si="380"/>
        <v>3224</v>
      </c>
      <c r="X196" s="161"/>
      <c r="Y196" s="161"/>
      <c r="Z196" s="161"/>
      <c r="AA196" s="161"/>
      <c r="AB196" s="208"/>
    </row>
    <row r="197" spans="1:28" ht="12.6" customHeight="1" x14ac:dyDescent="0.2">
      <c r="A197" s="20"/>
      <c r="B197" s="703" t="s">
        <v>427</v>
      </c>
      <c r="C197" s="706"/>
      <c r="D197" s="706"/>
      <c r="E197" s="707"/>
      <c r="F197" s="364">
        <v>970</v>
      </c>
      <c r="G197" s="371">
        <f t="shared" si="381"/>
        <v>970</v>
      </c>
      <c r="H197" s="328"/>
      <c r="I197" s="328"/>
      <c r="J197" s="375">
        <f>F197+120</f>
        <v>1090</v>
      </c>
      <c r="K197" s="337">
        <f t="shared" ref="K197" si="382">+J197*$X$1</f>
        <v>1090</v>
      </c>
      <c r="L197" s="375">
        <f>F197+74</f>
        <v>1044</v>
      </c>
      <c r="M197" s="337">
        <f t="shared" ref="M197" si="383">+L197*$X$1</f>
        <v>1044</v>
      </c>
      <c r="N197" s="375">
        <f t="shared" si="364"/>
        <v>1016</v>
      </c>
      <c r="O197" s="337">
        <f t="shared" ref="O197" si="384">+N197*$X$1</f>
        <v>1016</v>
      </c>
      <c r="P197" s="375">
        <f t="shared" si="366"/>
        <v>1012</v>
      </c>
      <c r="Q197" s="337">
        <f t="shared" ref="Q197" si="385">+P197*$X$1</f>
        <v>1012</v>
      </c>
      <c r="R197" s="375">
        <f t="shared" si="368"/>
        <v>1005</v>
      </c>
      <c r="S197" s="337">
        <f t="shared" ref="S197" si="386">+R197*$X$1</f>
        <v>1005</v>
      </c>
      <c r="T197" s="108">
        <f t="shared" si="370"/>
        <v>999</v>
      </c>
      <c r="U197" s="299">
        <f t="shared" ref="U197" si="387">+T197*$X$1</f>
        <v>999</v>
      </c>
      <c r="V197" s="108">
        <f t="shared" si="372"/>
        <v>994</v>
      </c>
      <c r="W197" s="299">
        <f t="shared" ref="W197" si="388">+V197*$X$1</f>
        <v>994</v>
      </c>
      <c r="X197" s="161"/>
      <c r="Y197" s="161"/>
      <c r="Z197" s="161"/>
      <c r="AA197" s="161"/>
      <c r="AB197" s="208"/>
    </row>
    <row r="198" spans="1:28" ht="12.6" customHeight="1" x14ac:dyDescent="0.2">
      <c r="A198" s="20"/>
      <c r="B198" s="791" t="s">
        <v>205</v>
      </c>
      <c r="C198" s="792"/>
      <c r="D198" s="792"/>
      <c r="E198" s="792"/>
      <c r="F198" s="380">
        <v>175</v>
      </c>
      <c r="G198" s="426">
        <f>+F198*$X$1</f>
        <v>175</v>
      </c>
      <c r="H198" s="1105" t="s">
        <v>415</v>
      </c>
      <c r="I198" s="1105"/>
      <c r="J198" s="1106"/>
      <c r="K198" s="1106"/>
      <c r="L198" s="1106"/>
      <c r="M198" s="1107"/>
      <c r="N198" s="602">
        <f t="shared" si="364"/>
        <v>221</v>
      </c>
      <c r="O198" s="338">
        <f t="shared" ref="O198:O201" si="389">+N198*$X$1</f>
        <v>221</v>
      </c>
      <c r="P198" s="602">
        <f t="shared" si="366"/>
        <v>217</v>
      </c>
      <c r="Q198" s="338">
        <f t="shared" ref="Q198:Q201" si="390">+P198*$X$1</f>
        <v>217</v>
      </c>
      <c r="R198" s="602">
        <f t="shared" si="368"/>
        <v>210</v>
      </c>
      <c r="S198" s="338">
        <f t="shared" ref="S198:S201" si="391">+R198*$X$1</f>
        <v>210</v>
      </c>
      <c r="T198" s="107">
        <f t="shared" si="370"/>
        <v>204</v>
      </c>
      <c r="U198" s="363">
        <f t="shared" ref="U198:U201" si="392">+T198*$X$1</f>
        <v>204</v>
      </c>
      <c r="V198" s="107">
        <f t="shared" si="372"/>
        <v>199</v>
      </c>
      <c r="W198" s="363">
        <f t="shared" ref="W198:W201" si="393">+V198*$X$1</f>
        <v>199</v>
      </c>
      <c r="X198" s="161"/>
      <c r="Y198" s="161"/>
      <c r="Z198" s="161"/>
      <c r="AA198" s="161"/>
      <c r="AB198" s="208">
        <v>539</v>
      </c>
    </row>
    <row r="199" spans="1:28" ht="12.6" customHeight="1" x14ac:dyDescent="0.2">
      <c r="A199" s="20"/>
      <c r="B199" s="718" t="s">
        <v>554</v>
      </c>
      <c r="C199" s="719"/>
      <c r="D199" s="719"/>
      <c r="E199" s="719"/>
      <c r="F199" s="364">
        <v>372</v>
      </c>
      <c r="G199" s="365">
        <f t="shared" si="381"/>
        <v>372</v>
      </c>
      <c r="H199" s="328"/>
      <c r="I199" s="328"/>
      <c r="J199" s="75"/>
      <c r="K199" s="337"/>
      <c r="L199" s="375"/>
      <c r="M199" s="337"/>
      <c r="N199" s="375"/>
      <c r="O199" s="337"/>
      <c r="P199" s="375"/>
      <c r="Q199" s="337"/>
      <c r="R199" s="375"/>
      <c r="S199" s="337"/>
      <c r="T199" s="108">
        <f t="shared" si="370"/>
        <v>401</v>
      </c>
      <c r="U199" s="299">
        <f t="shared" si="392"/>
        <v>401</v>
      </c>
      <c r="V199" s="108">
        <f t="shared" si="372"/>
        <v>396</v>
      </c>
      <c r="W199" s="299">
        <f t="shared" si="393"/>
        <v>396</v>
      </c>
      <c r="X199" s="161"/>
      <c r="Y199" s="161"/>
      <c r="Z199" s="161"/>
      <c r="AA199" s="161"/>
      <c r="AB199" s="208">
        <v>540</v>
      </c>
    </row>
    <row r="200" spans="1:28" ht="12.6" customHeight="1" x14ac:dyDescent="0.2">
      <c r="A200" s="20"/>
      <c r="B200" s="791" t="s">
        <v>556</v>
      </c>
      <c r="C200" s="923"/>
      <c r="D200" s="923"/>
      <c r="E200" s="923"/>
      <c r="F200" s="380">
        <v>670</v>
      </c>
      <c r="G200" s="405">
        <f t="shared" ref="G200" si="394">+F200*$X$1</f>
        <v>670</v>
      </c>
      <c r="H200" s="327"/>
      <c r="I200" s="327"/>
      <c r="J200" s="93"/>
      <c r="K200" s="338"/>
      <c r="L200" s="602"/>
      <c r="M200" s="338"/>
      <c r="N200" s="602"/>
      <c r="O200" s="338"/>
      <c r="P200" s="602"/>
      <c r="Q200" s="338"/>
      <c r="R200" s="602"/>
      <c r="S200" s="338"/>
      <c r="T200" s="107">
        <f t="shared" si="370"/>
        <v>699</v>
      </c>
      <c r="U200" s="363">
        <f t="shared" si="392"/>
        <v>699</v>
      </c>
      <c r="V200" s="107">
        <f t="shared" si="372"/>
        <v>694</v>
      </c>
      <c r="W200" s="363">
        <f t="shared" si="393"/>
        <v>694</v>
      </c>
      <c r="X200" s="161"/>
      <c r="Y200" s="161"/>
      <c r="Z200" s="161"/>
      <c r="AA200" s="161"/>
      <c r="AB200" s="208" t="s">
        <v>652</v>
      </c>
    </row>
    <row r="201" spans="1:28" ht="12.6" customHeight="1" x14ac:dyDescent="0.2">
      <c r="A201" s="20"/>
      <c r="B201" s="703" t="s">
        <v>505</v>
      </c>
      <c r="C201" s="706"/>
      <c r="D201" s="706"/>
      <c r="E201" s="707"/>
      <c r="F201" s="478">
        <f>18.74*X2</f>
        <v>17315.759999999998</v>
      </c>
      <c r="G201" s="365">
        <f t="shared" ref="G201" si="395">+F201*$X$1</f>
        <v>17315.759999999998</v>
      </c>
      <c r="H201" s="375">
        <f>F201+290</f>
        <v>17605.759999999998</v>
      </c>
      <c r="I201" s="337">
        <f>+H201*$X$1</f>
        <v>17605.759999999998</v>
      </c>
      <c r="J201" s="375">
        <f>F201+120</f>
        <v>17435.759999999998</v>
      </c>
      <c r="K201" s="337">
        <f t="shared" ref="K201" si="396">+J201*$X$1</f>
        <v>17435.759999999998</v>
      </c>
      <c r="L201" s="375">
        <f>F201+74</f>
        <v>17389.759999999998</v>
      </c>
      <c r="M201" s="337">
        <f t="shared" ref="M201" si="397">+L201*$X$1</f>
        <v>17389.759999999998</v>
      </c>
      <c r="N201" s="375">
        <f t="shared" si="364"/>
        <v>17361.759999999998</v>
      </c>
      <c r="O201" s="337">
        <f t="shared" si="389"/>
        <v>17361.759999999998</v>
      </c>
      <c r="P201" s="375">
        <f t="shared" si="366"/>
        <v>17357.759999999998</v>
      </c>
      <c r="Q201" s="337">
        <f t="shared" si="390"/>
        <v>17357.759999999998</v>
      </c>
      <c r="R201" s="375">
        <f t="shared" si="368"/>
        <v>17350.759999999998</v>
      </c>
      <c r="S201" s="337">
        <f t="shared" si="391"/>
        <v>17350.759999999998</v>
      </c>
      <c r="T201" s="108">
        <f t="shared" si="370"/>
        <v>17344.759999999998</v>
      </c>
      <c r="U201" s="299">
        <f t="shared" si="392"/>
        <v>17344.759999999998</v>
      </c>
      <c r="V201" s="108">
        <f t="shared" si="372"/>
        <v>17339.759999999998</v>
      </c>
      <c r="W201" s="299">
        <f t="shared" si="393"/>
        <v>17339.759999999998</v>
      </c>
      <c r="X201" s="161"/>
      <c r="Y201" s="161"/>
      <c r="Z201" s="161"/>
      <c r="AA201" s="161"/>
      <c r="AB201" s="208">
        <v>542</v>
      </c>
    </row>
    <row r="202" spans="1:28" ht="12.6" customHeight="1" x14ac:dyDescent="0.2">
      <c r="A202" s="20"/>
      <c r="B202" s="701" t="s">
        <v>555</v>
      </c>
      <c r="C202" s="688"/>
      <c r="D202" s="688"/>
      <c r="E202" s="688"/>
      <c r="F202" s="338"/>
      <c r="G202" s="338"/>
      <c r="H202" s="602"/>
      <c r="I202" s="602"/>
      <c r="J202" s="602"/>
      <c r="K202" s="338"/>
      <c r="L202" s="602"/>
      <c r="M202" s="338"/>
      <c r="N202" s="602"/>
      <c r="O202" s="338"/>
      <c r="P202" s="602"/>
      <c r="Q202" s="338"/>
      <c r="R202" s="602"/>
      <c r="S202" s="338"/>
      <c r="T202" s="602"/>
      <c r="U202" s="338"/>
      <c r="V202" s="93"/>
      <c r="W202" s="414"/>
      <c r="X202" s="161"/>
      <c r="Y202" s="161"/>
      <c r="Z202" s="161"/>
      <c r="AA202" s="161"/>
      <c r="AB202" s="208">
        <v>544</v>
      </c>
    </row>
    <row r="203" spans="1:28" ht="12.6" customHeight="1" x14ac:dyDescent="0.2">
      <c r="A203" s="20"/>
      <c r="B203" s="715" t="s">
        <v>206</v>
      </c>
      <c r="C203" s="716"/>
      <c r="D203" s="716"/>
      <c r="E203" s="716"/>
      <c r="F203" s="403">
        <v>350</v>
      </c>
      <c r="G203" s="402">
        <f t="shared" ref="G203:G208" si="398">+F203*$X$1</f>
        <v>350</v>
      </c>
      <c r="H203" s="334"/>
      <c r="I203" s="334"/>
      <c r="J203" s="585">
        <f t="shared" ref="J203:J209" si="399">F203+120</f>
        <v>470</v>
      </c>
      <c r="K203" s="402">
        <f t="shared" ref="K203" si="400">+J203*$X$1</f>
        <v>470</v>
      </c>
      <c r="L203" s="585">
        <f t="shared" ref="L203:L209" si="401">F203+74</f>
        <v>424</v>
      </c>
      <c r="M203" s="402">
        <f t="shared" ref="M203" si="402">+L203*$X$1</f>
        <v>424</v>
      </c>
      <c r="N203" s="585">
        <f t="shared" ref="N203:N209" si="403">F203+46</f>
        <v>396</v>
      </c>
      <c r="O203" s="402">
        <f t="shared" ref="O203" si="404">+N203*$X$1</f>
        <v>396</v>
      </c>
      <c r="P203" s="109"/>
      <c r="Q203" s="1159" t="s">
        <v>155</v>
      </c>
      <c r="R203" s="1160"/>
      <c r="S203" s="1160"/>
      <c r="T203" s="1160"/>
      <c r="U203" s="1160"/>
      <c r="V203" s="1160"/>
      <c r="W203" s="1161"/>
      <c r="X203" s="141"/>
      <c r="Y203" s="141"/>
      <c r="Z203" s="141"/>
      <c r="AA203" s="141"/>
      <c r="AB203" s="208">
        <v>547</v>
      </c>
    </row>
    <row r="204" spans="1:28" ht="12.6" customHeight="1" x14ac:dyDescent="0.2">
      <c r="A204" s="20"/>
      <c r="B204" s="703" t="s">
        <v>428</v>
      </c>
      <c r="C204" s="704"/>
      <c r="D204" s="704"/>
      <c r="E204" s="705"/>
      <c r="F204" s="337">
        <v>3100</v>
      </c>
      <c r="G204" s="337">
        <f t="shared" si="398"/>
        <v>3100</v>
      </c>
      <c r="H204" s="328"/>
      <c r="I204" s="328"/>
      <c r="J204" s="375">
        <f t="shared" si="399"/>
        <v>3220</v>
      </c>
      <c r="K204" s="337">
        <f t="shared" ref="K204:K209" si="405">+J204*$X$1</f>
        <v>3220</v>
      </c>
      <c r="L204" s="375">
        <f t="shared" si="401"/>
        <v>3174</v>
      </c>
      <c r="M204" s="337">
        <f t="shared" ref="M204:M209" si="406">+L204*$X$1</f>
        <v>3174</v>
      </c>
      <c r="N204" s="375">
        <f t="shared" si="403"/>
        <v>3146</v>
      </c>
      <c r="O204" s="337">
        <f t="shared" ref="O204:O209" si="407">+N204*$X$1</f>
        <v>3146</v>
      </c>
      <c r="P204" s="375">
        <f t="shared" ref="P204:P209" si="408">F204+42</f>
        <v>3142</v>
      </c>
      <c r="Q204" s="337">
        <f t="shared" ref="Q204:Q209" si="409">+P204*$X$1</f>
        <v>3142</v>
      </c>
      <c r="R204" s="375">
        <f t="shared" ref="R204:R209" si="410">F204+35</f>
        <v>3135</v>
      </c>
      <c r="S204" s="337">
        <f t="shared" ref="S204:S209" si="411">+R204*$X$1</f>
        <v>3135</v>
      </c>
      <c r="T204" s="108">
        <f t="shared" ref="T204:T209" si="412">F204+29</f>
        <v>3129</v>
      </c>
      <c r="U204" s="299">
        <f t="shared" ref="U204:U209" si="413">+T204*$X$1</f>
        <v>3129</v>
      </c>
      <c r="V204" s="108">
        <f t="shared" ref="V204:V209" si="414">F204+24</f>
        <v>3124</v>
      </c>
      <c r="W204" s="299">
        <f t="shared" ref="W204:W209" si="415">+V204*$X$1</f>
        <v>3124</v>
      </c>
      <c r="X204" s="141"/>
      <c r="Y204" s="141"/>
      <c r="Z204" s="141"/>
      <c r="AA204" s="141"/>
      <c r="AB204" s="542"/>
    </row>
    <row r="205" spans="1:28" ht="12.6" customHeight="1" x14ac:dyDescent="0.2">
      <c r="A205" s="20"/>
      <c r="B205" s="795" t="s">
        <v>572</v>
      </c>
      <c r="C205" s="796"/>
      <c r="D205" s="796"/>
      <c r="E205" s="797"/>
      <c r="F205" s="380">
        <v>890</v>
      </c>
      <c r="G205" s="338">
        <f t="shared" si="398"/>
        <v>890</v>
      </c>
      <c r="H205" s="327"/>
      <c r="I205" s="327"/>
      <c r="J205" s="584">
        <f t="shared" si="399"/>
        <v>1010</v>
      </c>
      <c r="K205" s="338">
        <f t="shared" si="405"/>
        <v>1010</v>
      </c>
      <c r="L205" s="584">
        <f t="shared" si="401"/>
        <v>964</v>
      </c>
      <c r="M205" s="338">
        <f t="shared" si="406"/>
        <v>964</v>
      </c>
      <c r="N205" s="584">
        <f t="shared" si="403"/>
        <v>936</v>
      </c>
      <c r="O205" s="338">
        <f t="shared" si="407"/>
        <v>936</v>
      </c>
      <c r="P205" s="584">
        <f t="shared" si="408"/>
        <v>932</v>
      </c>
      <c r="Q205" s="338">
        <f t="shared" si="409"/>
        <v>932</v>
      </c>
      <c r="R205" s="584">
        <f t="shared" si="410"/>
        <v>925</v>
      </c>
      <c r="S205" s="338">
        <f t="shared" si="411"/>
        <v>925</v>
      </c>
      <c r="T205" s="107">
        <f t="shared" si="412"/>
        <v>919</v>
      </c>
      <c r="U205" s="363">
        <f t="shared" si="413"/>
        <v>919</v>
      </c>
      <c r="V205" s="107">
        <f t="shared" si="414"/>
        <v>914</v>
      </c>
      <c r="W205" s="363">
        <f t="shared" si="415"/>
        <v>914</v>
      </c>
      <c r="X205" s="161"/>
      <c r="Y205" s="161"/>
      <c r="Z205" s="161"/>
      <c r="AA205" s="161"/>
      <c r="AB205" s="208"/>
    </row>
    <row r="206" spans="1:28" ht="12.6" customHeight="1" x14ac:dyDescent="0.2">
      <c r="A206" s="20"/>
      <c r="B206" s="703" t="s">
        <v>528</v>
      </c>
      <c r="C206" s="704"/>
      <c r="D206" s="704"/>
      <c r="E206" s="705"/>
      <c r="F206" s="337">
        <v>2990</v>
      </c>
      <c r="G206" s="337">
        <f t="shared" si="398"/>
        <v>2990</v>
      </c>
      <c r="H206" s="328"/>
      <c r="I206" s="328"/>
      <c r="J206" s="375">
        <f t="shared" si="399"/>
        <v>3110</v>
      </c>
      <c r="K206" s="337">
        <f t="shared" si="405"/>
        <v>3110</v>
      </c>
      <c r="L206" s="375">
        <f t="shared" si="401"/>
        <v>3064</v>
      </c>
      <c r="M206" s="337">
        <f t="shared" si="406"/>
        <v>3064</v>
      </c>
      <c r="N206" s="375">
        <f t="shared" si="403"/>
        <v>3036</v>
      </c>
      <c r="O206" s="337">
        <f t="shared" si="407"/>
        <v>3036</v>
      </c>
      <c r="P206" s="375">
        <f t="shared" si="408"/>
        <v>3032</v>
      </c>
      <c r="Q206" s="337">
        <f t="shared" si="409"/>
        <v>3032</v>
      </c>
      <c r="R206" s="375">
        <f t="shared" si="410"/>
        <v>3025</v>
      </c>
      <c r="S206" s="337">
        <f t="shared" si="411"/>
        <v>3025</v>
      </c>
      <c r="T206" s="108">
        <f t="shared" si="412"/>
        <v>3019</v>
      </c>
      <c r="U206" s="299">
        <f t="shared" si="413"/>
        <v>3019</v>
      </c>
      <c r="V206" s="108">
        <f t="shared" si="414"/>
        <v>3014</v>
      </c>
      <c r="W206" s="299">
        <f t="shared" si="415"/>
        <v>3014</v>
      </c>
      <c r="X206" s="141"/>
      <c r="Y206" s="141"/>
      <c r="Z206" s="141"/>
      <c r="AA206" s="141"/>
      <c r="AB206" s="208">
        <v>551</v>
      </c>
    </row>
    <row r="207" spans="1:28" ht="12.6" customHeight="1" x14ac:dyDescent="0.2">
      <c r="A207" s="20"/>
      <c r="B207" s="720" t="s">
        <v>526</v>
      </c>
      <c r="C207" s="721"/>
      <c r="D207" s="721"/>
      <c r="E207" s="722"/>
      <c r="F207" s="380">
        <v>3350</v>
      </c>
      <c r="G207" s="338">
        <f t="shared" si="398"/>
        <v>3350</v>
      </c>
      <c r="H207" s="327"/>
      <c r="I207" s="327"/>
      <c r="J207" s="584">
        <f t="shared" si="399"/>
        <v>3470</v>
      </c>
      <c r="K207" s="338">
        <f t="shared" si="405"/>
        <v>3470</v>
      </c>
      <c r="L207" s="584">
        <f t="shared" si="401"/>
        <v>3424</v>
      </c>
      <c r="M207" s="338">
        <f t="shared" si="406"/>
        <v>3424</v>
      </c>
      <c r="N207" s="584">
        <f t="shared" si="403"/>
        <v>3396</v>
      </c>
      <c r="O207" s="338">
        <f t="shared" si="407"/>
        <v>3396</v>
      </c>
      <c r="P207" s="584">
        <f t="shared" si="408"/>
        <v>3392</v>
      </c>
      <c r="Q207" s="338">
        <f t="shared" si="409"/>
        <v>3392</v>
      </c>
      <c r="R207" s="584">
        <f t="shared" si="410"/>
        <v>3385</v>
      </c>
      <c r="S207" s="338">
        <f t="shared" si="411"/>
        <v>3385</v>
      </c>
      <c r="T207" s="107">
        <f t="shared" si="412"/>
        <v>3379</v>
      </c>
      <c r="U207" s="363">
        <f t="shared" si="413"/>
        <v>3379</v>
      </c>
      <c r="V207" s="107">
        <f t="shared" si="414"/>
        <v>3374</v>
      </c>
      <c r="W207" s="363">
        <f t="shared" si="415"/>
        <v>3374</v>
      </c>
      <c r="X207" s="141"/>
      <c r="Y207" s="141"/>
      <c r="Z207" s="141"/>
      <c r="AA207" s="141"/>
      <c r="AB207" s="208" t="s">
        <v>525</v>
      </c>
    </row>
    <row r="208" spans="1:28" ht="12.6" customHeight="1" x14ac:dyDescent="0.2">
      <c r="A208" s="20"/>
      <c r="B208" s="1108" t="s">
        <v>527</v>
      </c>
      <c r="C208" s="1044"/>
      <c r="D208" s="1044"/>
      <c r="E208" s="1045"/>
      <c r="F208" s="364">
        <v>3600</v>
      </c>
      <c r="G208" s="337">
        <f t="shared" si="398"/>
        <v>3600</v>
      </c>
      <c r="H208" s="328"/>
      <c r="I208" s="328"/>
      <c r="J208" s="375">
        <f t="shared" si="399"/>
        <v>3720</v>
      </c>
      <c r="K208" s="337">
        <f t="shared" si="405"/>
        <v>3720</v>
      </c>
      <c r="L208" s="375">
        <f t="shared" si="401"/>
        <v>3674</v>
      </c>
      <c r="M208" s="337">
        <f t="shared" si="406"/>
        <v>3674</v>
      </c>
      <c r="N208" s="375">
        <f t="shared" si="403"/>
        <v>3646</v>
      </c>
      <c r="O208" s="337">
        <f t="shared" si="407"/>
        <v>3646</v>
      </c>
      <c r="P208" s="375">
        <f t="shared" si="408"/>
        <v>3642</v>
      </c>
      <c r="Q208" s="337">
        <f t="shared" si="409"/>
        <v>3642</v>
      </c>
      <c r="R208" s="375">
        <f t="shared" si="410"/>
        <v>3635</v>
      </c>
      <c r="S208" s="337">
        <f t="shared" si="411"/>
        <v>3635</v>
      </c>
      <c r="T208" s="108">
        <f t="shared" si="412"/>
        <v>3629</v>
      </c>
      <c r="U208" s="299">
        <f t="shared" si="413"/>
        <v>3629</v>
      </c>
      <c r="V208" s="108">
        <f t="shared" si="414"/>
        <v>3624</v>
      </c>
      <c r="W208" s="299">
        <f t="shared" si="415"/>
        <v>3624</v>
      </c>
      <c r="X208" s="141"/>
      <c r="Y208" s="141"/>
      <c r="Z208" s="141"/>
      <c r="AA208" s="141"/>
      <c r="AB208" s="208" t="s">
        <v>529</v>
      </c>
    </row>
    <row r="209" spans="1:28" ht="12.6" customHeight="1" x14ac:dyDescent="0.2">
      <c r="A209" s="20"/>
      <c r="B209" s="701" t="s">
        <v>475</v>
      </c>
      <c r="C209" s="702"/>
      <c r="D209" s="702"/>
      <c r="E209" s="702"/>
      <c r="F209" s="338">
        <v>3220</v>
      </c>
      <c r="G209" s="338">
        <f t="shared" ref="G209" si="416">+F209*$X$1</f>
        <v>3220</v>
      </c>
      <c r="H209" s="327"/>
      <c r="I209" s="327"/>
      <c r="J209" s="584">
        <f t="shared" si="399"/>
        <v>3340</v>
      </c>
      <c r="K209" s="338">
        <f t="shared" si="405"/>
        <v>3340</v>
      </c>
      <c r="L209" s="584">
        <f t="shared" si="401"/>
        <v>3294</v>
      </c>
      <c r="M209" s="338">
        <f t="shared" si="406"/>
        <v>3294</v>
      </c>
      <c r="N209" s="584">
        <f t="shared" si="403"/>
        <v>3266</v>
      </c>
      <c r="O209" s="338">
        <f t="shared" si="407"/>
        <v>3266</v>
      </c>
      <c r="P209" s="584">
        <f t="shared" si="408"/>
        <v>3262</v>
      </c>
      <c r="Q209" s="338">
        <f t="shared" si="409"/>
        <v>3262</v>
      </c>
      <c r="R209" s="584">
        <f t="shared" si="410"/>
        <v>3255</v>
      </c>
      <c r="S209" s="338">
        <f t="shared" si="411"/>
        <v>3255</v>
      </c>
      <c r="T209" s="107">
        <f t="shared" si="412"/>
        <v>3249</v>
      </c>
      <c r="U209" s="363">
        <f t="shared" si="413"/>
        <v>3249</v>
      </c>
      <c r="V209" s="107">
        <f t="shared" si="414"/>
        <v>3244</v>
      </c>
      <c r="W209" s="363">
        <f t="shared" si="415"/>
        <v>3244</v>
      </c>
      <c r="X209" s="141"/>
      <c r="Y209" s="141"/>
      <c r="Z209" s="141"/>
      <c r="AA209" s="141"/>
      <c r="AB209" s="208">
        <v>553</v>
      </c>
    </row>
    <row r="210" spans="1:28" ht="12.6" customHeight="1" x14ac:dyDescent="0.2">
      <c r="A210" s="20"/>
      <c r="B210" s="703" t="s">
        <v>510</v>
      </c>
      <c r="C210" s="706"/>
      <c r="D210" s="706"/>
      <c r="E210" s="707"/>
      <c r="F210" s="375"/>
      <c r="G210" s="375"/>
      <c r="H210" s="375"/>
      <c r="I210" s="375"/>
      <c r="J210" s="375"/>
      <c r="K210" s="375"/>
      <c r="L210" s="375"/>
      <c r="M210" s="375"/>
      <c r="N210" s="375"/>
      <c r="O210" s="375"/>
      <c r="P210" s="375"/>
      <c r="Q210" s="375"/>
      <c r="R210" s="75"/>
      <c r="S210" s="75"/>
      <c r="T210" s="75"/>
      <c r="U210" s="75"/>
      <c r="V210" s="75"/>
      <c r="W210" s="75"/>
      <c r="X210" s="164"/>
      <c r="Y210" s="146"/>
      <c r="Z210" s="141"/>
      <c r="AA210" s="141"/>
      <c r="AB210" s="208">
        <v>563</v>
      </c>
    </row>
    <row r="211" spans="1:28" ht="12.6" customHeight="1" x14ac:dyDescent="0.2">
      <c r="A211" s="20"/>
      <c r="B211" s="791" t="s">
        <v>729</v>
      </c>
      <c r="C211" s="923"/>
      <c r="D211" s="923"/>
      <c r="E211" s="923"/>
      <c r="F211" s="477">
        <f>7.391*X2</f>
        <v>6829.2839999999997</v>
      </c>
      <c r="G211" s="405">
        <f t="shared" ref="G211" si="417">+F211*$X$1</f>
        <v>6829.2839999999997</v>
      </c>
      <c r="H211" s="327"/>
      <c r="I211" s="327"/>
      <c r="J211" s="660">
        <f>F211+120</f>
        <v>6949.2839999999997</v>
      </c>
      <c r="K211" s="338">
        <f t="shared" ref="K211" si="418">+J211*$X$1</f>
        <v>6949.2839999999997</v>
      </c>
      <c r="L211" s="660">
        <f t="shared" ref="L211:L219" si="419">F211+74</f>
        <v>6903.2839999999997</v>
      </c>
      <c r="M211" s="338">
        <f t="shared" ref="M211" si="420">+L211*$X$1</f>
        <v>6903.2839999999997</v>
      </c>
      <c r="N211" s="660">
        <f t="shared" ref="N211:N219" si="421">F211+46</f>
        <v>6875.2839999999997</v>
      </c>
      <c r="O211" s="338">
        <f t="shared" ref="O211" si="422">+N211*$X$1</f>
        <v>6875.2839999999997</v>
      </c>
      <c r="P211" s="660">
        <f>F211+42</f>
        <v>6871.2839999999997</v>
      </c>
      <c r="Q211" s="338">
        <f t="shared" ref="Q211" si="423">+P211*$X$1</f>
        <v>6871.2839999999997</v>
      </c>
      <c r="R211" s="660">
        <f>F211+35</f>
        <v>6864.2839999999997</v>
      </c>
      <c r="S211" s="338">
        <f t="shared" ref="S211" si="424">+R211*$X$1</f>
        <v>6864.2839999999997</v>
      </c>
      <c r="T211" s="107">
        <f>F211+29</f>
        <v>6858.2839999999997</v>
      </c>
      <c r="U211" s="363">
        <f t="shared" ref="U211" si="425">+T211*$X$1</f>
        <v>6858.2839999999997</v>
      </c>
      <c r="V211" s="107">
        <f>F211+24</f>
        <v>6853.2839999999997</v>
      </c>
      <c r="W211" s="363">
        <f t="shared" ref="W211" si="426">+V211*$X$1</f>
        <v>6853.2839999999997</v>
      </c>
      <c r="X211" s="161"/>
      <c r="Y211" s="161"/>
      <c r="Z211" s="161"/>
      <c r="AA211" s="161"/>
      <c r="AB211" s="208">
        <v>616</v>
      </c>
    </row>
    <row r="212" spans="1:28" ht="12.6" customHeight="1" x14ac:dyDescent="0.2">
      <c r="A212" s="20"/>
      <c r="B212" s="1113" t="s">
        <v>420</v>
      </c>
      <c r="C212" s="1114"/>
      <c r="D212" s="1114"/>
      <c r="E212" s="1114"/>
      <c r="F212" s="402">
        <v>180</v>
      </c>
      <c r="G212" s="402">
        <f t="shared" ref="G212:G215" si="427">+F212*$X$1</f>
        <v>180</v>
      </c>
      <c r="H212" s="334"/>
      <c r="I212" s="411"/>
      <c r="J212" s="109">
        <f>F212+120</f>
        <v>300</v>
      </c>
      <c r="K212" s="402">
        <f>+J212*$X$1</f>
        <v>300</v>
      </c>
      <c r="L212" s="585">
        <f t="shared" si="419"/>
        <v>254</v>
      </c>
      <c r="M212" s="402">
        <f t="shared" ref="M212:M219" si="428">+L212*$X$1</f>
        <v>254</v>
      </c>
      <c r="N212" s="585">
        <f t="shared" si="421"/>
        <v>226</v>
      </c>
      <c r="O212" s="402">
        <f t="shared" ref="O212" si="429">+N212*$X$1</f>
        <v>226</v>
      </c>
      <c r="P212" s="585"/>
      <c r="Q212" s="585"/>
      <c r="R212" s="585"/>
      <c r="S212" s="585"/>
      <c r="T212" s="585"/>
      <c r="U212" s="585"/>
      <c r="V212" s="109"/>
      <c r="W212" s="109"/>
      <c r="X212" s="161"/>
      <c r="Y212" s="161"/>
      <c r="Z212" s="161"/>
      <c r="AA212" s="161"/>
      <c r="AB212" s="208">
        <v>618</v>
      </c>
    </row>
    <row r="213" spans="1:28" ht="12.6" customHeight="1" x14ac:dyDescent="0.2">
      <c r="A213" s="111"/>
      <c r="B213" s="930" t="s">
        <v>565</v>
      </c>
      <c r="C213" s="897"/>
      <c r="D213" s="897"/>
      <c r="E213" s="897"/>
      <c r="F213" s="402">
        <v>400</v>
      </c>
      <c r="G213" s="402">
        <f t="shared" si="427"/>
        <v>400</v>
      </c>
      <c r="H213" s="601"/>
      <c r="I213" s="402"/>
      <c r="J213" s="334"/>
      <c r="K213" s="411"/>
      <c r="L213" s="601">
        <f t="shared" si="419"/>
        <v>474</v>
      </c>
      <c r="M213" s="402">
        <f t="shared" si="428"/>
        <v>474</v>
      </c>
      <c r="N213" s="601"/>
      <c r="O213" s="402"/>
      <c r="P213" s="601">
        <f>F213+5.1</f>
        <v>405.1</v>
      </c>
      <c r="Q213" s="1118" t="s">
        <v>155</v>
      </c>
      <c r="R213" s="1119"/>
      <c r="S213" s="1119"/>
      <c r="T213" s="1119"/>
      <c r="U213" s="1119"/>
      <c r="V213" s="1119"/>
      <c r="W213" s="1119"/>
      <c r="X213" s="142"/>
      <c r="Y213" s="161"/>
      <c r="Z213" s="161"/>
      <c r="AA213" s="161"/>
      <c r="AB213" s="208">
        <v>621</v>
      </c>
    </row>
    <row r="214" spans="1:28" ht="12.6" customHeight="1" x14ac:dyDescent="0.2">
      <c r="A214" s="23"/>
      <c r="B214" s="708" t="s">
        <v>207</v>
      </c>
      <c r="C214" s="751"/>
      <c r="D214" s="751"/>
      <c r="E214" s="751"/>
      <c r="F214" s="472">
        <f>2.93*X2</f>
        <v>2707.32</v>
      </c>
      <c r="G214" s="337">
        <f>+F214*$X$1</f>
        <v>2707.32</v>
      </c>
      <c r="H214" s="379"/>
      <c r="I214" s="412"/>
      <c r="J214" s="375">
        <f t="shared" ref="J214:J219" si="430">F214+120</f>
        <v>2827.32</v>
      </c>
      <c r="K214" s="337">
        <f t="shared" ref="K214:K220" si="431">+J214*$X$1</f>
        <v>2827.32</v>
      </c>
      <c r="L214" s="375">
        <f t="shared" si="419"/>
        <v>2781.32</v>
      </c>
      <c r="M214" s="337">
        <f t="shared" si="428"/>
        <v>2781.32</v>
      </c>
      <c r="N214" s="375">
        <f t="shared" si="421"/>
        <v>2753.32</v>
      </c>
      <c r="O214" s="337">
        <f t="shared" ref="O214:O219" si="432">+N214*$X$1</f>
        <v>2753.32</v>
      </c>
      <c r="P214" s="375">
        <f t="shared" ref="P214:P219" si="433">F214+42</f>
        <v>2749.32</v>
      </c>
      <c r="Q214" s="337">
        <f t="shared" ref="Q214:Q219" si="434">+P214*$X$1</f>
        <v>2749.32</v>
      </c>
      <c r="R214" s="375">
        <f t="shared" ref="R214:R219" si="435">F214+35</f>
        <v>2742.32</v>
      </c>
      <c r="S214" s="337">
        <f t="shared" ref="S214:S219" si="436">+R214*$X$1</f>
        <v>2742.32</v>
      </c>
      <c r="T214" s="108">
        <f t="shared" ref="T214:T219" si="437">F214+29</f>
        <v>2736.32</v>
      </c>
      <c r="U214" s="299">
        <f t="shared" ref="U214:U219" si="438">+T214*$X$1</f>
        <v>2736.32</v>
      </c>
      <c r="V214" s="108">
        <f t="shared" ref="V214:V219" si="439">F214+24</f>
        <v>2731.32</v>
      </c>
      <c r="W214" s="299">
        <f t="shared" ref="W214:W219" si="440">+V214*$X$1</f>
        <v>2731.32</v>
      </c>
      <c r="X214" s="161"/>
      <c r="Y214" s="170"/>
      <c r="Z214" s="161"/>
      <c r="AA214" s="161"/>
      <c r="AB214" s="208">
        <v>624</v>
      </c>
    </row>
    <row r="215" spans="1:28" ht="12.6" customHeight="1" x14ac:dyDescent="0.2">
      <c r="A215" s="23"/>
      <c r="B215" s="1080" t="s">
        <v>208</v>
      </c>
      <c r="C215" s="926"/>
      <c r="D215" s="926"/>
      <c r="E215" s="926"/>
      <c r="F215" s="473">
        <f>5.057*X2</f>
        <v>4672.6680000000006</v>
      </c>
      <c r="G215" s="338">
        <f t="shared" si="427"/>
        <v>4672.6680000000006</v>
      </c>
      <c r="H215" s="336"/>
      <c r="I215" s="413"/>
      <c r="J215" s="584">
        <f t="shared" si="430"/>
        <v>4792.6680000000006</v>
      </c>
      <c r="K215" s="338">
        <f t="shared" si="431"/>
        <v>4792.6680000000006</v>
      </c>
      <c r="L215" s="584">
        <f t="shared" si="419"/>
        <v>4746.6680000000006</v>
      </c>
      <c r="M215" s="338">
        <f t="shared" si="428"/>
        <v>4746.6680000000006</v>
      </c>
      <c r="N215" s="584">
        <f t="shared" si="421"/>
        <v>4718.6680000000006</v>
      </c>
      <c r="O215" s="338">
        <f t="shared" si="432"/>
        <v>4718.6680000000006</v>
      </c>
      <c r="P215" s="584">
        <f t="shared" si="433"/>
        <v>4714.6680000000006</v>
      </c>
      <c r="Q215" s="338">
        <f t="shared" si="434"/>
        <v>4714.6680000000006</v>
      </c>
      <c r="R215" s="584">
        <f t="shared" si="435"/>
        <v>4707.6680000000006</v>
      </c>
      <c r="S215" s="338">
        <f t="shared" si="436"/>
        <v>4707.6680000000006</v>
      </c>
      <c r="T215" s="107">
        <f t="shared" si="437"/>
        <v>4701.6680000000006</v>
      </c>
      <c r="U215" s="363">
        <f t="shared" si="438"/>
        <v>4701.6680000000006</v>
      </c>
      <c r="V215" s="107">
        <f t="shared" si="439"/>
        <v>4696.6680000000006</v>
      </c>
      <c r="W215" s="363">
        <f t="shared" si="440"/>
        <v>4696.6680000000006</v>
      </c>
      <c r="X215" s="161"/>
      <c r="Y215" s="170"/>
      <c r="Z215" s="161"/>
      <c r="AA215" s="161"/>
      <c r="AB215" s="208" t="s">
        <v>209</v>
      </c>
    </row>
    <row r="216" spans="1:28" ht="12.6" customHeight="1" x14ac:dyDescent="0.2">
      <c r="A216" s="23"/>
      <c r="B216" s="703" t="s">
        <v>210</v>
      </c>
      <c r="C216" s="706"/>
      <c r="D216" s="706"/>
      <c r="E216" s="707"/>
      <c r="F216" s="472">
        <f>5.595*X2</f>
        <v>5169.78</v>
      </c>
      <c r="G216" s="337">
        <f t="shared" ref="G216:G221" si="441">+F216*$X$1</f>
        <v>5169.78</v>
      </c>
      <c r="H216" s="379"/>
      <c r="I216" s="412"/>
      <c r="J216" s="375">
        <f t="shared" si="430"/>
        <v>5289.78</v>
      </c>
      <c r="K216" s="337">
        <f t="shared" si="431"/>
        <v>5289.78</v>
      </c>
      <c r="L216" s="375">
        <f t="shared" si="419"/>
        <v>5243.78</v>
      </c>
      <c r="M216" s="337">
        <f t="shared" si="428"/>
        <v>5243.78</v>
      </c>
      <c r="N216" s="375">
        <f t="shared" si="421"/>
        <v>5215.78</v>
      </c>
      <c r="O216" s="337">
        <f t="shared" si="432"/>
        <v>5215.78</v>
      </c>
      <c r="P216" s="375">
        <f t="shared" si="433"/>
        <v>5211.78</v>
      </c>
      <c r="Q216" s="337">
        <f t="shared" si="434"/>
        <v>5211.78</v>
      </c>
      <c r="R216" s="375">
        <f t="shared" si="435"/>
        <v>5204.78</v>
      </c>
      <c r="S216" s="337">
        <f t="shared" si="436"/>
        <v>5204.78</v>
      </c>
      <c r="T216" s="108">
        <f t="shared" si="437"/>
        <v>5198.78</v>
      </c>
      <c r="U216" s="299">
        <f t="shared" si="438"/>
        <v>5198.78</v>
      </c>
      <c r="V216" s="108">
        <f t="shared" si="439"/>
        <v>5193.78</v>
      </c>
      <c r="W216" s="299">
        <f t="shared" si="440"/>
        <v>5193.78</v>
      </c>
      <c r="X216" s="161"/>
      <c r="Y216" s="170"/>
      <c r="Z216" s="161"/>
      <c r="AA216" s="161"/>
      <c r="AB216" s="208">
        <v>629</v>
      </c>
    </row>
    <row r="217" spans="1:28" ht="12.6" customHeight="1" x14ac:dyDescent="0.2">
      <c r="A217" s="23"/>
      <c r="B217" s="795" t="s">
        <v>483</v>
      </c>
      <c r="C217" s="796"/>
      <c r="D217" s="796"/>
      <c r="E217" s="797"/>
      <c r="F217" s="473">
        <f>10.631*X2</f>
        <v>9823.0439999999999</v>
      </c>
      <c r="G217" s="338">
        <f t="shared" si="441"/>
        <v>9823.0439999999999</v>
      </c>
      <c r="H217" s="336"/>
      <c r="I217" s="413"/>
      <c r="J217" s="584">
        <f t="shared" si="430"/>
        <v>9943.0439999999999</v>
      </c>
      <c r="K217" s="338">
        <f t="shared" si="431"/>
        <v>9943.0439999999999</v>
      </c>
      <c r="L217" s="584">
        <f t="shared" si="419"/>
        <v>9897.0439999999999</v>
      </c>
      <c r="M217" s="338">
        <f t="shared" si="428"/>
        <v>9897.0439999999999</v>
      </c>
      <c r="N217" s="584">
        <f t="shared" si="421"/>
        <v>9869.0439999999999</v>
      </c>
      <c r="O217" s="338">
        <f t="shared" si="432"/>
        <v>9869.0439999999999</v>
      </c>
      <c r="P217" s="584">
        <f t="shared" si="433"/>
        <v>9865.0439999999999</v>
      </c>
      <c r="Q217" s="338">
        <f t="shared" si="434"/>
        <v>9865.0439999999999</v>
      </c>
      <c r="R217" s="584">
        <f t="shared" si="435"/>
        <v>9858.0439999999999</v>
      </c>
      <c r="S217" s="338">
        <f t="shared" si="436"/>
        <v>9858.0439999999999</v>
      </c>
      <c r="T217" s="107">
        <f t="shared" si="437"/>
        <v>9852.0439999999999</v>
      </c>
      <c r="U217" s="363">
        <f t="shared" si="438"/>
        <v>9852.0439999999999</v>
      </c>
      <c r="V217" s="107">
        <f t="shared" si="439"/>
        <v>9847.0439999999999</v>
      </c>
      <c r="W217" s="363">
        <f t="shared" si="440"/>
        <v>9847.0439999999999</v>
      </c>
      <c r="X217" s="161"/>
      <c r="Y217" s="170"/>
      <c r="Z217" s="161"/>
      <c r="AA217" s="161"/>
      <c r="AB217" s="208">
        <v>630</v>
      </c>
    </row>
    <row r="218" spans="1:28" ht="12.6" customHeight="1" x14ac:dyDescent="0.2">
      <c r="A218" s="23"/>
      <c r="B218" s="703" t="s">
        <v>629</v>
      </c>
      <c r="C218" s="706"/>
      <c r="D218" s="706"/>
      <c r="E218" s="707"/>
      <c r="F218" s="472">
        <f>1.326*X2</f>
        <v>1225.2240000000002</v>
      </c>
      <c r="G218" s="339">
        <f t="shared" ref="G218" si="442">+F218*$X$1</f>
        <v>1225.2240000000002</v>
      </c>
      <c r="H218" s="379"/>
      <c r="I218" s="421"/>
      <c r="J218" s="375">
        <f t="shared" si="430"/>
        <v>1345.2240000000002</v>
      </c>
      <c r="K218" s="337">
        <f t="shared" si="431"/>
        <v>1345.2240000000002</v>
      </c>
      <c r="L218" s="375">
        <f t="shared" si="419"/>
        <v>1299.2240000000002</v>
      </c>
      <c r="M218" s="337">
        <f t="shared" si="428"/>
        <v>1299.2240000000002</v>
      </c>
      <c r="N218" s="375">
        <f t="shared" si="421"/>
        <v>1271.2240000000002</v>
      </c>
      <c r="O218" s="337">
        <f t="shared" si="432"/>
        <v>1271.2240000000002</v>
      </c>
      <c r="P218" s="375">
        <f t="shared" si="433"/>
        <v>1267.2240000000002</v>
      </c>
      <c r="Q218" s="337">
        <f t="shared" si="434"/>
        <v>1267.2240000000002</v>
      </c>
      <c r="R218" s="375">
        <f t="shared" si="435"/>
        <v>1260.2240000000002</v>
      </c>
      <c r="S218" s="337">
        <f t="shared" si="436"/>
        <v>1260.2240000000002</v>
      </c>
      <c r="T218" s="108">
        <f t="shared" si="437"/>
        <v>1254.2240000000002</v>
      </c>
      <c r="U218" s="299">
        <f t="shared" si="438"/>
        <v>1254.2240000000002</v>
      </c>
      <c r="V218" s="108">
        <f t="shared" si="439"/>
        <v>1249.2240000000002</v>
      </c>
      <c r="W218" s="299">
        <f t="shared" si="440"/>
        <v>1249.2240000000002</v>
      </c>
      <c r="X218" s="161"/>
      <c r="Y218" s="170"/>
      <c r="Z218" s="161"/>
      <c r="AA218" s="161"/>
      <c r="AB218" s="208">
        <v>631</v>
      </c>
    </row>
    <row r="219" spans="1:28" ht="12.6" customHeight="1" x14ac:dyDescent="0.2">
      <c r="A219" s="23"/>
      <c r="B219" s="795" t="s">
        <v>586</v>
      </c>
      <c r="C219" s="796"/>
      <c r="D219" s="796"/>
      <c r="E219" s="797"/>
      <c r="F219" s="473">
        <f>1.352*X2</f>
        <v>1249.248</v>
      </c>
      <c r="G219" s="340">
        <f t="shared" si="441"/>
        <v>1249.248</v>
      </c>
      <c r="H219" s="336"/>
      <c r="I219" s="422"/>
      <c r="J219" s="584">
        <f t="shared" si="430"/>
        <v>1369.248</v>
      </c>
      <c r="K219" s="338">
        <f t="shared" si="431"/>
        <v>1369.248</v>
      </c>
      <c r="L219" s="584">
        <f t="shared" si="419"/>
        <v>1323.248</v>
      </c>
      <c r="M219" s="338">
        <f t="shared" si="428"/>
        <v>1323.248</v>
      </c>
      <c r="N219" s="584">
        <f t="shared" si="421"/>
        <v>1295.248</v>
      </c>
      <c r="O219" s="338">
        <f t="shared" si="432"/>
        <v>1295.248</v>
      </c>
      <c r="P219" s="584">
        <f t="shared" si="433"/>
        <v>1291.248</v>
      </c>
      <c r="Q219" s="338">
        <f t="shared" si="434"/>
        <v>1291.248</v>
      </c>
      <c r="R219" s="584">
        <f t="shared" si="435"/>
        <v>1284.248</v>
      </c>
      <c r="S219" s="338">
        <f t="shared" si="436"/>
        <v>1284.248</v>
      </c>
      <c r="T219" s="107">
        <f t="shared" si="437"/>
        <v>1278.248</v>
      </c>
      <c r="U219" s="363">
        <f t="shared" si="438"/>
        <v>1278.248</v>
      </c>
      <c r="V219" s="107">
        <f t="shared" si="439"/>
        <v>1273.248</v>
      </c>
      <c r="W219" s="363">
        <f t="shared" si="440"/>
        <v>1273.248</v>
      </c>
      <c r="X219" s="161"/>
      <c r="Y219" s="170"/>
      <c r="Z219" s="161"/>
      <c r="AA219" s="161"/>
      <c r="AB219" s="208">
        <v>640</v>
      </c>
    </row>
    <row r="220" spans="1:28" ht="12.6" customHeight="1" x14ac:dyDescent="0.2">
      <c r="A220" s="23"/>
      <c r="B220" s="703" t="s">
        <v>608</v>
      </c>
      <c r="C220" s="706"/>
      <c r="D220" s="706"/>
      <c r="E220" s="707"/>
      <c r="F220" s="472">
        <f>21.95*X2</f>
        <v>20281.8</v>
      </c>
      <c r="G220" s="339">
        <f t="shared" si="441"/>
        <v>20281.8</v>
      </c>
      <c r="H220" s="375">
        <f>F220+250</f>
        <v>20531.8</v>
      </c>
      <c r="I220" s="337">
        <f t="shared" ref="I220" si="443">+H220*$X$1</f>
        <v>20531.8</v>
      </c>
      <c r="J220" s="375">
        <f>F220+80</f>
        <v>20361.8</v>
      </c>
      <c r="K220" s="337">
        <f t="shared" si="431"/>
        <v>20361.8</v>
      </c>
      <c r="L220" s="375"/>
      <c r="M220" s="337"/>
      <c r="N220" s="375"/>
      <c r="O220" s="337"/>
      <c r="P220" s="375"/>
      <c r="Q220" s="337"/>
      <c r="R220" s="375"/>
      <c r="S220" s="337"/>
      <c r="T220" s="375"/>
      <c r="U220" s="337"/>
      <c r="V220" s="375"/>
      <c r="W220" s="337"/>
      <c r="X220" s="161"/>
      <c r="Y220" s="170"/>
      <c r="Z220" s="161"/>
      <c r="AA220" s="161"/>
      <c r="AB220" s="208">
        <v>672</v>
      </c>
    </row>
    <row r="221" spans="1:28" ht="12.6" customHeight="1" x14ac:dyDescent="0.2">
      <c r="A221" s="20"/>
      <c r="B221" s="701" t="s">
        <v>211</v>
      </c>
      <c r="C221" s="688"/>
      <c r="D221" s="688"/>
      <c r="E221" s="688"/>
      <c r="F221" s="473">
        <f>6.848*X2</f>
        <v>6327.5519999999997</v>
      </c>
      <c r="G221" s="338">
        <f t="shared" si="441"/>
        <v>6327.5519999999997</v>
      </c>
      <c r="H221" s="584">
        <f>F221+250</f>
        <v>6577.5519999999997</v>
      </c>
      <c r="I221" s="338">
        <f t="shared" ref="I221" si="444">+H221*$X$1</f>
        <v>6577.5519999999997</v>
      </c>
      <c r="J221" s="584">
        <f>F221+80</f>
        <v>6407.5519999999997</v>
      </c>
      <c r="K221" s="338">
        <f t="shared" ref="K221" si="445">+J221*$X$1</f>
        <v>6407.5519999999997</v>
      </c>
      <c r="L221" s="584">
        <f>F221+60</f>
        <v>6387.5519999999997</v>
      </c>
      <c r="M221" s="338">
        <f t="shared" ref="M221" si="446">+L221*$X$1</f>
        <v>6387.5519999999997</v>
      </c>
      <c r="N221" s="584">
        <f>F221+40</f>
        <v>6367.5519999999997</v>
      </c>
      <c r="O221" s="338">
        <f t="shared" ref="O221" si="447">+N221*$X$1</f>
        <v>6367.5519999999997</v>
      </c>
      <c r="P221" s="584">
        <f>F221+37</f>
        <v>6364.5519999999997</v>
      </c>
      <c r="Q221" s="338">
        <f t="shared" ref="Q221" si="448">+P221*$X$1</f>
        <v>6364.5519999999997</v>
      </c>
      <c r="R221" s="584">
        <f>F221+33</f>
        <v>6360.5519999999997</v>
      </c>
      <c r="S221" s="338">
        <f t="shared" ref="S221" si="449">+R221*$X$1</f>
        <v>6360.5519999999997</v>
      </c>
      <c r="T221" s="584">
        <f t="shared" ref="T221:T231" si="450">F221+29</f>
        <v>6356.5519999999997</v>
      </c>
      <c r="U221" s="338">
        <f t="shared" ref="U221:U222" si="451">+T221*$X$1</f>
        <v>6356.5519999999997</v>
      </c>
      <c r="V221" s="584">
        <f t="shared" ref="V221:V231" si="452">F221+24</f>
        <v>6351.5519999999997</v>
      </c>
      <c r="W221" s="338">
        <f t="shared" ref="W221:W222" si="453">+V221*$X$1</f>
        <v>6351.5519999999997</v>
      </c>
      <c r="X221" s="699"/>
      <c r="Y221" s="723"/>
      <c r="Z221" s="723"/>
      <c r="AA221" s="700"/>
      <c r="AB221" s="208">
        <v>705</v>
      </c>
    </row>
    <row r="222" spans="1:28" ht="12.6" customHeight="1" x14ac:dyDescent="0.2">
      <c r="A222" s="20"/>
      <c r="B222" s="708" t="s">
        <v>602</v>
      </c>
      <c r="C222" s="709"/>
      <c r="D222" s="709"/>
      <c r="E222" s="709"/>
      <c r="F222" s="393">
        <v>7700</v>
      </c>
      <c r="G222" s="337">
        <f t="shared" ref="G222" si="454">+F222*$X$1</f>
        <v>7700</v>
      </c>
      <c r="H222" s="375">
        <f t="shared" ref="H222:H231" si="455">F222+290</f>
        <v>7990</v>
      </c>
      <c r="I222" s="337">
        <f t="shared" ref="I222:I231" si="456">+H222*$X$1</f>
        <v>7990</v>
      </c>
      <c r="J222" s="375">
        <f t="shared" ref="J222:J231" si="457">F222+120</f>
        <v>7820</v>
      </c>
      <c r="K222" s="337">
        <f t="shared" ref="K222" si="458">+J222*$X$1</f>
        <v>7820</v>
      </c>
      <c r="L222" s="375">
        <f t="shared" ref="L222:L231" si="459">F222+74</f>
        <v>7774</v>
      </c>
      <c r="M222" s="337">
        <f t="shared" ref="M222" si="460">+L222*$X$1</f>
        <v>7774</v>
      </c>
      <c r="N222" s="375">
        <f t="shared" ref="N222:N231" si="461">F222+46</f>
        <v>7746</v>
      </c>
      <c r="O222" s="337">
        <f t="shared" ref="O222" si="462">+N222*$X$1</f>
        <v>7746</v>
      </c>
      <c r="P222" s="375">
        <f t="shared" ref="P222:P231" si="463">F222+42</f>
        <v>7742</v>
      </c>
      <c r="Q222" s="337">
        <f t="shared" ref="Q222" si="464">+P222*$X$1</f>
        <v>7742</v>
      </c>
      <c r="R222" s="375">
        <f t="shared" ref="R222:R231" si="465">F222+35</f>
        <v>7735</v>
      </c>
      <c r="S222" s="337">
        <f t="shared" ref="S222" si="466">+R222*$X$1</f>
        <v>7735</v>
      </c>
      <c r="T222" s="108">
        <f t="shared" si="450"/>
        <v>7729</v>
      </c>
      <c r="U222" s="299">
        <f t="shared" si="451"/>
        <v>7729</v>
      </c>
      <c r="V222" s="108">
        <f t="shared" si="452"/>
        <v>7724</v>
      </c>
      <c r="W222" s="299">
        <f t="shared" si="453"/>
        <v>7724</v>
      </c>
      <c r="X222" s="693"/>
      <c r="Y222" s="724"/>
      <c r="Z222" s="724"/>
      <c r="AA222" s="695"/>
      <c r="AB222" s="208">
        <v>815</v>
      </c>
    </row>
    <row r="223" spans="1:28" ht="12.6" customHeight="1" x14ac:dyDescent="0.2">
      <c r="A223" s="20"/>
      <c r="B223" s="701" t="s">
        <v>601</v>
      </c>
      <c r="C223" s="688"/>
      <c r="D223" s="688"/>
      <c r="E223" s="688"/>
      <c r="F223" s="392">
        <v>13720</v>
      </c>
      <c r="G223" s="338">
        <f t="shared" ref="G223" si="467">+F223*$X$1</f>
        <v>13720</v>
      </c>
      <c r="H223" s="584">
        <f t="shared" si="455"/>
        <v>14010</v>
      </c>
      <c r="I223" s="338">
        <f t="shared" si="456"/>
        <v>14010</v>
      </c>
      <c r="J223" s="584">
        <f t="shared" si="457"/>
        <v>13840</v>
      </c>
      <c r="K223" s="338">
        <f t="shared" ref="K223:K231" si="468">+J223*$X$1</f>
        <v>13840</v>
      </c>
      <c r="L223" s="584">
        <f t="shared" si="459"/>
        <v>13794</v>
      </c>
      <c r="M223" s="338">
        <f t="shared" ref="M223:M231" si="469">+L223*$X$1</f>
        <v>13794</v>
      </c>
      <c r="N223" s="584">
        <f t="shared" si="461"/>
        <v>13766</v>
      </c>
      <c r="O223" s="338">
        <f t="shared" ref="O223:O231" si="470">+N223*$X$1</f>
        <v>13766</v>
      </c>
      <c r="P223" s="584">
        <f t="shared" si="463"/>
        <v>13762</v>
      </c>
      <c r="Q223" s="338">
        <f t="shared" ref="Q223:Q231" si="471">+P223*$X$1</f>
        <v>13762</v>
      </c>
      <c r="R223" s="584">
        <f t="shared" si="465"/>
        <v>13755</v>
      </c>
      <c r="S223" s="338">
        <f t="shared" ref="S223:S231" si="472">+R223*$X$1</f>
        <v>13755</v>
      </c>
      <c r="T223" s="107">
        <f t="shared" si="450"/>
        <v>13749</v>
      </c>
      <c r="U223" s="363">
        <f t="shared" ref="U223:U231" si="473">+T223*$X$1</f>
        <v>13749</v>
      </c>
      <c r="V223" s="107">
        <f t="shared" si="452"/>
        <v>13744</v>
      </c>
      <c r="W223" s="363">
        <f t="shared" ref="W223:W231" si="474">+V223*$X$1</f>
        <v>13744</v>
      </c>
      <c r="X223" s="693"/>
      <c r="Y223" s="724"/>
      <c r="Z223" s="724"/>
      <c r="AA223" s="695"/>
      <c r="AB223" s="208">
        <v>819</v>
      </c>
    </row>
    <row r="224" spans="1:28" ht="12.6" customHeight="1" x14ac:dyDescent="0.2">
      <c r="A224" s="20"/>
      <c r="B224" s="713" t="s">
        <v>824</v>
      </c>
      <c r="C224" s="714"/>
      <c r="D224" s="714"/>
      <c r="E224" s="714"/>
      <c r="F224" s="472">
        <f>7.8*X2</f>
        <v>7207.2</v>
      </c>
      <c r="G224" s="337">
        <f>+F224*$X$1</f>
        <v>7207.2</v>
      </c>
      <c r="H224" s="375">
        <f t="shared" si="455"/>
        <v>7497.2</v>
      </c>
      <c r="I224" s="337">
        <f t="shared" si="456"/>
        <v>7497.2</v>
      </c>
      <c r="J224" s="375">
        <f t="shared" si="457"/>
        <v>7327.2</v>
      </c>
      <c r="K224" s="337">
        <f t="shared" si="468"/>
        <v>7327.2</v>
      </c>
      <c r="L224" s="375">
        <f t="shared" si="459"/>
        <v>7281.2</v>
      </c>
      <c r="M224" s="337">
        <f t="shared" si="469"/>
        <v>7281.2</v>
      </c>
      <c r="N224" s="375">
        <f t="shared" si="461"/>
        <v>7253.2</v>
      </c>
      <c r="O224" s="337">
        <f t="shared" si="470"/>
        <v>7253.2</v>
      </c>
      <c r="P224" s="375">
        <f t="shared" si="463"/>
        <v>7249.2</v>
      </c>
      <c r="Q224" s="337">
        <f t="shared" si="471"/>
        <v>7249.2</v>
      </c>
      <c r="R224" s="375">
        <f t="shared" si="465"/>
        <v>7242.2</v>
      </c>
      <c r="S224" s="337">
        <f t="shared" si="472"/>
        <v>7242.2</v>
      </c>
      <c r="T224" s="108">
        <f t="shared" si="450"/>
        <v>7236.2</v>
      </c>
      <c r="U224" s="299">
        <f t="shared" si="473"/>
        <v>7236.2</v>
      </c>
      <c r="V224" s="108">
        <f t="shared" si="452"/>
        <v>7231.2</v>
      </c>
      <c r="W224" s="299">
        <f t="shared" si="474"/>
        <v>7231.2</v>
      </c>
      <c r="X224" s="693"/>
      <c r="Y224" s="724"/>
      <c r="Z224" s="724"/>
      <c r="AA224" s="695"/>
      <c r="AB224" s="208"/>
    </row>
    <row r="225" spans="1:34" ht="12.6" customHeight="1" x14ac:dyDescent="0.2">
      <c r="A225" s="20"/>
      <c r="B225" s="701" t="s">
        <v>595</v>
      </c>
      <c r="C225" s="688"/>
      <c r="D225" s="688"/>
      <c r="E225" s="688"/>
      <c r="F225" s="392">
        <v>10920</v>
      </c>
      <c r="G225" s="338">
        <f t="shared" ref="G225:G228" si="475">+F225*$X$1</f>
        <v>10920</v>
      </c>
      <c r="H225" s="602">
        <f t="shared" si="455"/>
        <v>11210</v>
      </c>
      <c r="I225" s="338">
        <f t="shared" si="456"/>
        <v>11210</v>
      </c>
      <c r="J225" s="602">
        <f t="shared" si="457"/>
        <v>11040</v>
      </c>
      <c r="K225" s="338">
        <f t="shared" si="468"/>
        <v>11040</v>
      </c>
      <c r="L225" s="602">
        <f t="shared" si="459"/>
        <v>10994</v>
      </c>
      <c r="M225" s="338">
        <f t="shared" si="469"/>
        <v>10994</v>
      </c>
      <c r="N225" s="602">
        <f t="shared" si="461"/>
        <v>10966</v>
      </c>
      <c r="O225" s="338">
        <f t="shared" si="470"/>
        <v>10966</v>
      </c>
      <c r="P225" s="602">
        <f t="shared" si="463"/>
        <v>10962</v>
      </c>
      <c r="Q225" s="338">
        <f t="shared" si="471"/>
        <v>10962</v>
      </c>
      <c r="R225" s="602">
        <f t="shared" si="465"/>
        <v>10955</v>
      </c>
      <c r="S225" s="338">
        <f t="shared" si="472"/>
        <v>10955</v>
      </c>
      <c r="T225" s="107">
        <f t="shared" si="450"/>
        <v>10949</v>
      </c>
      <c r="U225" s="363">
        <f t="shared" si="473"/>
        <v>10949</v>
      </c>
      <c r="V225" s="107">
        <f t="shared" si="452"/>
        <v>10944</v>
      </c>
      <c r="W225" s="363">
        <f t="shared" si="474"/>
        <v>10944</v>
      </c>
      <c r="X225" s="693"/>
      <c r="Y225" s="724"/>
      <c r="Z225" s="724"/>
      <c r="AA225" s="695"/>
      <c r="AB225" s="208">
        <v>823</v>
      </c>
    </row>
    <row r="226" spans="1:34" ht="12.6" customHeight="1" x14ac:dyDescent="0.2">
      <c r="A226" s="20"/>
      <c r="B226" s="713" t="s">
        <v>818</v>
      </c>
      <c r="C226" s="714"/>
      <c r="D226" s="714"/>
      <c r="E226" s="714"/>
      <c r="F226" s="472">
        <f>7.5*X2</f>
        <v>6930</v>
      </c>
      <c r="G226" s="337">
        <f>+F226*$X$1</f>
        <v>6930</v>
      </c>
      <c r="H226" s="375">
        <f t="shared" si="455"/>
        <v>7220</v>
      </c>
      <c r="I226" s="337">
        <f t="shared" si="456"/>
        <v>7220</v>
      </c>
      <c r="J226" s="375">
        <f t="shared" si="457"/>
        <v>7050</v>
      </c>
      <c r="K226" s="337">
        <f t="shared" si="468"/>
        <v>7050</v>
      </c>
      <c r="L226" s="375">
        <f t="shared" si="459"/>
        <v>7004</v>
      </c>
      <c r="M226" s="337">
        <f t="shared" si="469"/>
        <v>7004</v>
      </c>
      <c r="N226" s="375">
        <f t="shared" si="461"/>
        <v>6976</v>
      </c>
      <c r="O226" s="337">
        <f t="shared" si="470"/>
        <v>6976</v>
      </c>
      <c r="P226" s="375">
        <f t="shared" si="463"/>
        <v>6972</v>
      </c>
      <c r="Q226" s="337">
        <f t="shared" si="471"/>
        <v>6972</v>
      </c>
      <c r="R226" s="375">
        <f t="shared" si="465"/>
        <v>6965</v>
      </c>
      <c r="S226" s="337">
        <f t="shared" si="472"/>
        <v>6965</v>
      </c>
      <c r="T226" s="108">
        <f t="shared" si="450"/>
        <v>6959</v>
      </c>
      <c r="U226" s="299">
        <f t="shared" si="473"/>
        <v>6959</v>
      </c>
      <c r="V226" s="108">
        <f t="shared" si="452"/>
        <v>6954</v>
      </c>
      <c r="W226" s="299">
        <f t="shared" si="474"/>
        <v>6954</v>
      </c>
      <c r="X226" s="693"/>
      <c r="Y226" s="724"/>
      <c r="Z226" s="724"/>
      <c r="AA226" s="695"/>
      <c r="AB226" s="208">
        <v>826</v>
      </c>
    </row>
    <row r="227" spans="1:34" ht="12.6" customHeight="1" x14ac:dyDescent="0.2">
      <c r="A227" s="20"/>
      <c r="B227" s="713" t="s">
        <v>819</v>
      </c>
      <c r="C227" s="714"/>
      <c r="D227" s="714"/>
      <c r="E227" s="714"/>
      <c r="F227" s="473">
        <f>8.781*X2</f>
        <v>8113.6440000000002</v>
      </c>
      <c r="G227" s="338">
        <f>+F227*$X$1</f>
        <v>8113.6440000000002</v>
      </c>
      <c r="H227" s="602">
        <f t="shared" ref="H227" si="476">F227+290</f>
        <v>8403.6440000000002</v>
      </c>
      <c r="I227" s="338">
        <f t="shared" ref="I227" si="477">+H227*$X$1</f>
        <v>8403.6440000000002</v>
      </c>
      <c r="J227" s="602">
        <f t="shared" ref="J227" si="478">F227+120</f>
        <v>8233.6440000000002</v>
      </c>
      <c r="K227" s="338">
        <f t="shared" ref="K227" si="479">+J227*$X$1</f>
        <v>8233.6440000000002</v>
      </c>
      <c r="L227" s="602">
        <f t="shared" ref="L227" si="480">F227+74</f>
        <v>8187.6440000000002</v>
      </c>
      <c r="M227" s="338">
        <f t="shared" ref="M227" si="481">+L227*$X$1</f>
        <v>8187.6440000000002</v>
      </c>
      <c r="N227" s="602">
        <f t="shared" ref="N227" si="482">F227+46</f>
        <v>8159.6440000000002</v>
      </c>
      <c r="O227" s="338">
        <f t="shared" ref="O227" si="483">+N227*$X$1</f>
        <v>8159.6440000000002</v>
      </c>
      <c r="P227" s="602">
        <f t="shared" ref="P227" si="484">F227+42</f>
        <v>8155.6440000000002</v>
      </c>
      <c r="Q227" s="338">
        <f t="shared" ref="Q227" si="485">+P227*$X$1</f>
        <v>8155.6440000000002</v>
      </c>
      <c r="R227" s="602">
        <f t="shared" ref="R227" si="486">F227+35</f>
        <v>8148.6440000000002</v>
      </c>
      <c r="S227" s="338">
        <f t="shared" ref="S227" si="487">+R227*$X$1</f>
        <v>8148.6440000000002</v>
      </c>
      <c r="T227" s="107">
        <f t="shared" ref="T227" si="488">F227+29</f>
        <v>8142.6440000000002</v>
      </c>
      <c r="U227" s="363">
        <f t="shared" ref="U227" si="489">+T227*$X$1</f>
        <v>8142.6440000000002</v>
      </c>
      <c r="V227" s="107">
        <f t="shared" ref="V227" si="490">F227+24</f>
        <v>8137.6440000000002</v>
      </c>
      <c r="W227" s="363">
        <f t="shared" ref="W227" si="491">+V227*$X$1</f>
        <v>8137.6440000000002</v>
      </c>
      <c r="X227" s="693"/>
      <c r="Y227" s="724"/>
      <c r="Z227" s="724"/>
      <c r="AA227" s="695"/>
      <c r="AB227" s="208">
        <v>828</v>
      </c>
    </row>
    <row r="228" spans="1:34" ht="12.6" customHeight="1" x14ac:dyDescent="0.2">
      <c r="A228" s="20"/>
      <c r="B228" s="708" t="s">
        <v>725</v>
      </c>
      <c r="C228" s="709"/>
      <c r="D228" s="709"/>
      <c r="E228" s="709"/>
      <c r="F228" s="472">
        <f>3.612*X2</f>
        <v>3337.4880000000003</v>
      </c>
      <c r="G228" s="337">
        <f t="shared" si="475"/>
        <v>3337.4880000000003</v>
      </c>
      <c r="H228" s="375">
        <f t="shared" si="455"/>
        <v>3627.4880000000003</v>
      </c>
      <c r="I228" s="337">
        <f t="shared" si="456"/>
        <v>3627.4880000000003</v>
      </c>
      <c r="J228" s="375">
        <f t="shared" si="457"/>
        <v>3457.4880000000003</v>
      </c>
      <c r="K228" s="337">
        <f t="shared" si="468"/>
        <v>3457.4880000000003</v>
      </c>
      <c r="L228" s="375">
        <f t="shared" si="459"/>
        <v>3411.4880000000003</v>
      </c>
      <c r="M228" s="337">
        <f t="shared" si="469"/>
        <v>3411.4880000000003</v>
      </c>
      <c r="N228" s="375">
        <f t="shared" si="461"/>
        <v>3383.4880000000003</v>
      </c>
      <c r="O228" s="337">
        <f t="shared" si="470"/>
        <v>3383.4880000000003</v>
      </c>
      <c r="P228" s="375">
        <f t="shared" si="463"/>
        <v>3379.4880000000003</v>
      </c>
      <c r="Q228" s="337">
        <f t="shared" si="471"/>
        <v>3379.4880000000003</v>
      </c>
      <c r="R228" s="375">
        <f t="shared" si="465"/>
        <v>3372.4880000000003</v>
      </c>
      <c r="S228" s="337">
        <f t="shared" si="472"/>
        <v>3372.4880000000003</v>
      </c>
      <c r="T228" s="108">
        <f t="shared" si="450"/>
        <v>3366.4880000000003</v>
      </c>
      <c r="U228" s="299">
        <f t="shared" si="473"/>
        <v>3366.4880000000003</v>
      </c>
      <c r="V228" s="108">
        <f t="shared" si="452"/>
        <v>3361.4880000000003</v>
      </c>
      <c r="W228" s="299">
        <f t="shared" si="474"/>
        <v>3361.4880000000003</v>
      </c>
      <c r="X228" s="693"/>
      <c r="Y228" s="724"/>
      <c r="Z228" s="724"/>
      <c r="AA228" s="695"/>
      <c r="AB228" s="208">
        <v>829</v>
      </c>
    </row>
    <row r="229" spans="1:34" ht="12.6" customHeight="1" x14ac:dyDescent="0.2">
      <c r="A229" s="20"/>
      <c r="B229" s="713" t="s">
        <v>657</v>
      </c>
      <c r="C229" s="714"/>
      <c r="D229" s="714"/>
      <c r="E229" s="714"/>
      <c r="F229" s="473">
        <f>13.042*X2</f>
        <v>12050.807999999999</v>
      </c>
      <c r="G229" s="338">
        <f t="shared" ref="G229" si="492">+F229*$X$1</f>
        <v>12050.807999999999</v>
      </c>
      <c r="H229" s="602">
        <f t="shared" si="455"/>
        <v>12340.807999999999</v>
      </c>
      <c r="I229" s="338">
        <f t="shared" si="456"/>
        <v>12340.807999999999</v>
      </c>
      <c r="J229" s="602">
        <f t="shared" si="457"/>
        <v>12170.807999999999</v>
      </c>
      <c r="K229" s="338">
        <f t="shared" si="468"/>
        <v>12170.807999999999</v>
      </c>
      <c r="L229" s="602">
        <f t="shared" si="459"/>
        <v>12124.807999999999</v>
      </c>
      <c r="M229" s="338">
        <f t="shared" si="469"/>
        <v>12124.807999999999</v>
      </c>
      <c r="N229" s="602">
        <f t="shared" si="461"/>
        <v>12096.807999999999</v>
      </c>
      <c r="O229" s="338">
        <f t="shared" si="470"/>
        <v>12096.807999999999</v>
      </c>
      <c r="P229" s="602">
        <f t="shared" si="463"/>
        <v>12092.807999999999</v>
      </c>
      <c r="Q229" s="338">
        <f t="shared" si="471"/>
        <v>12092.807999999999</v>
      </c>
      <c r="R229" s="602">
        <f t="shared" si="465"/>
        <v>12085.807999999999</v>
      </c>
      <c r="S229" s="338">
        <f t="shared" si="472"/>
        <v>12085.807999999999</v>
      </c>
      <c r="T229" s="107">
        <f t="shared" si="450"/>
        <v>12079.807999999999</v>
      </c>
      <c r="U229" s="363">
        <f t="shared" si="473"/>
        <v>12079.807999999999</v>
      </c>
      <c r="V229" s="107">
        <f t="shared" si="452"/>
        <v>12074.807999999999</v>
      </c>
      <c r="W229" s="363">
        <f t="shared" si="474"/>
        <v>12074.807999999999</v>
      </c>
      <c r="X229" s="693"/>
      <c r="Y229" s="724"/>
      <c r="Z229" s="724"/>
      <c r="AA229" s="695"/>
      <c r="AB229" s="208">
        <v>833</v>
      </c>
    </row>
    <row r="230" spans="1:34" ht="12.6" customHeight="1" x14ac:dyDescent="0.2">
      <c r="A230" s="20"/>
      <c r="B230" s="713" t="s">
        <v>720</v>
      </c>
      <c r="C230" s="714"/>
      <c r="D230" s="714"/>
      <c r="E230" s="714"/>
      <c r="F230" s="472">
        <f>9.8*X2</f>
        <v>9055.2000000000007</v>
      </c>
      <c r="G230" s="337">
        <f t="shared" ref="G230:G231" si="493">+F230*$X$1</f>
        <v>9055.2000000000007</v>
      </c>
      <c r="H230" s="375">
        <f t="shared" si="455"/>
        <v>9345.2000000000007</v>
      </c>
      <c r="I230" s="337">
        <f t="shared" si="456"/>
        <v>9345.2000000000007</v>
      </c>
      <c r="J230" s="375">
        <f t="shared" si="457"/>
        <v>9175.2000000000007</v>
      </c>
      <c r="K230" s="337">
        <f t="shared" si="468"/>
        <v>9175.2000000000007</v>
      </c>
      <c r="L230" s="375">
        <f t="shared" si="459"/>
        <v>9129.2000000000007</v>
      </c>
      <c r="M230" s="337">
        <f t="shared" si="469"/>
        <v>9129.2000000000007</v>
      </c>
      <c r="N230" s="375">
        <f t="shared" si="461"/>
        <v>9101.2000000000007</v>
      </c>
      <c r="O230" s="337">
        <f t="shared" si="470"/>
        <v>9101.2000000000007</v>
      </c>
      <c r="P230" s="375">
        <f t="shared" si="463"/>
        <v>9097.2000000000007</v>
      </c>
      <c r="Q230" s="337">
        <f t="shared" si="471"/>
        <v>9097.2000000000007</v>
      </c>
      <c r="R230" s="375">
        <f t="shared" si="465"/>
        <v>9090.2000000000007</v>
      </c>
      <c r="S230" s="337">
        <f t="shared" si="472"/>
        <v>9090.2000000000007</v>
      </c>
      <c r="T230" s="108">
        <f t="shared" si="450"/>
        <v>9084.2000000000007</v>
      </c>
      <c r="U230" s="299">
        <f t="shared" si="473"/>
        <v>9084.2000000000007</v>
      </c>
      <c r="V230" s="108">
        <f t="shared" si="452"/>
        <v>9079.2000000000007</v>
      </c>
      <c r="W230" s="299">
        <f t="shared" si="474"/>
        <v>9079.2000000000007</v>
      </c>
      <c r="X230" s="693"/>
      <c r="Y230" s="724"/>
      <c r="Z230" s="724"/>
      <c r="AA230" s="695"/>
      <c r="AB230" s="208">
        <v>834</v>
      </c>
    </row>
    <row r="231" spans="1:34" ht="12.6" customHeight="1" x14ac:dyDescent="0.2">
      <c r="A231" s="20"/>
      <c r="B231" s="701" t="s">
        <v>723</v>
      </c>
      <c r="C231" s="688"/>
      <c r="D231" s="688"/>
      <c r="E231" s="688"/>
      <c r="F231" s="473">
        <f>7.188*X2</f>
        <v>6641.7119999999995</v>
      </c>
      <c r="G231" s="338">
        <f t="shared" si="493"/>
        <v>6641.7119999999995</v>
      </c>
      <c r="H231" s="602">
        <f t="shared" si="455"/>
        <v>6931.7119999999995</v>
      </c>
      <c r="I231" s="338">
        <f t="shared" si="456"/>
        <v>6931.7119999999995</v>
      </c>
      <c r="J231" s="602">
        <f t="shared" si="457"/>
        <v>6761.7119999999995</v>
      </c>
      <c r="K231" s="338">
        <f t="shared" si="468"/>
        <v>6761.7119999999995</v>
      </c>
      <c r="L231" s="602">
        <f t="shared" si="459"/>
        <v>6715.7119999999995</v>
      </c>
      <c r="M231" s="338">
        <f t="shared" si="469"/>
        <v>6715.7119999999995</v>
      </c>
      <c r="N231" s="602">
        <f t="shared" si="461"/>
        <v>6687.7119999999995</v>
      </c>
      <c r="O231" s="338">
        <f t="shared" si="470"/>
        <v>6687.7119999999995</v>
      </c>
      <c r="P231" s="602">
        <f t="shared" si="463"/>
        <v>6683.7119999999995</v>
      </c>
      <c r="Q231" s="338">
        <f t="shared" si="471"/>
        <v>6683.7119999999995</v>
      </c>
      <c r="R231" s="602">
        <f t="shared" si="465"/>
        <v>6676.7119999999995</v>
      </c>
      <c r="S231" s="338">
        <f t="shared" si="472"/>
        <v>6676.7119999999995</v>
      </c>
      <c r="T231" s="107">
        <f t="shared" si="450"/>
        <v>6670.7119999999995</v>
      </c>
      <c r="U231" s="363">
        <f t="shared" si="473"/>
        <v>6670.7119999999995</v>
      </c>
      <c r="V231" s="107">
        <f t="shared" si="452"/>
        <v>6665.7119999999995</v>
      </c>
      <c r="W231" s="363">
        <f t="shared" si="474"/>
        <v>6665.7119999999995</v>
      </c>
      <c r="X231" s="693"/>
      <c r="Y231" s="724"/>
      <c r="Z231" s="724"/>
      <c r="AA231" s="695"/>
      <c r="AB231" s="208">
        <v>836</v>
      </c>
    </row>
    <row r="232" spans="1:34" ht="12.6" customHeight="1" x14ac:dyDescent="0.2">
      <c r="A232" s="20"/>
      <c r="B232" s="708" t="s">
        <v>719</v>
      </c>
      <c r="C232" s="709"/>
      <c r="D232" s="709"/>
      <c r="E232" s="709"/>
      <c r="F232" s="472">
        <f>4.78*X2</f>
        <v>4416.72</v>
      </c>
      <c r="G232" s="337">
        <f t="shared" ref="G232" si="494">+F232*$X$1</f>
        <v>4416.72</v>
      </c>
      <c r="H232" s="375">
        <f>F232+290</f>
        <v>4706.72</v>
      </c>
      <c r="I232" s="337">
        <f>+H232*$X$1</f>
        <v>4706.72</v>
      </c>
      <c r="J232" s="375">
        <f>F232+120</f>
        <v>4536.72</v>
      </c>
      <c r="K232" s="337">
        <f>+J232*$X$1</f>
        <v>4536.72</v>
      </c>
      <c r="L232" s="375">
        <f>F232+74</f>
        <v>4490.72</v>
      </c>
      <c r="M232" s="337">
        <f>+L232*$X$1</f>
        <v>4490.72</v>
      </c>
      <c r="N232" s="375">
        <f>F232+46</f>
        <v>4462.72</v>
      </c>
      <c r="O232" s="337">
        <f>+N232*$X$1</f>
        <v>4462.72</v>
      </c>
      <c r="P232" s="375">
        <f>F232+42</f>
        <v>4458.72</v>
      </c>
      <c r="Q232" s="337">
        <f>+P232*$X$1</f>
        <v>4458.72</v>
      </c>
      <c r="R232" s="375">
        <f>F232+35</f>
        <v>4451.72</v>
      </c>
      <c r="S232" s="337">
        <f>+R232*$X$1</f>
        <v>4451.72</v>
      </c>
      <c r="T232" s="108">
        <f>F232+29</f>
        <v>4445.72</v>
      </c>
      <c r="U232" s="299">
        <f>+T232*$X$1</f>
        <v>4445.72</v>
      </c>
      <c r="V232" s="108">
        <f>F232+24</f>
        <v>4440.72</v>
      </c>
      <c r="W232" s="299">
        <f>+V232*$X$1</f>
        <v>4440.72</v>
      </c>
      <c r="X232" s="693"/>
      <c r="Y232" s="724"/>
      <c r="Z232" s="724"/>
      <c r="AA232" s="695"/>
      <c r="AB232" s="208">
        <v>837</v>
      </c>
    </row>
    <row r="233" spans="1:34" ht="12.6" customHeight="1" x14ac:dyDescent="0.2">
      <c r="A233" s="20"/>
      <c r="B233" s="701" t="s">
        <v>573</v>
      </c>
      <c r="C233" s="688"/>
      <c r="D233" s="688"/>
      <c r="E233" s="688"/>
      <c r="F233" s="473">
        <f>8.45*X2</f>
        <v>7807.7999999999993</v>
      </c>
      <c r="G233" s="338">
        <f>+F233*$X$1</f>
        <v>7807.7999999999993</v>
      </c>
      <c r="H233" s="614">
        <f>F233+290</f>
        <v>8097.7999999999993</v>
      </c>
      <c r="I233" s="338">
        <f>+H233*$X$1</f>
        <v>8097.7999999999993</v>
      </c>
      <c r="J233" s="614">
        <f>F233+120</f>
        <v>7927.7999999999993</v>
      </c>
      <c r="K233" s="338">
        <f>+J233*$X$1</f>
        <v>7927.7999999999993</v>
      </c>
      <c r="L233" s="614">
        <f>F233+74</f>
        <v>7881.7999999999993</v>
      </c>
      <c r="M233" s="338">
        <f>+L233*$X$1</f>
        <v>7881.7999999999993</v>
      </c>
      <c r="N233" s="614">
        <f>F233+46</f>
        <v>7853.7999999999993</v>
      </c>
      <c r="O233" s="338">
        <f>+N233*$X$1</f>
        <v>7853.7999999999993</v>
      </c>
      <c r="P233" s="614">
        <f>F233+42</f>
        <v>7849.7999999999993</v>
      </c>
      <c r="Q233" s="338">
        <f>+P233*$X$1</f>
        <v>7849.7999999999993</v>
      </c>
      <c r="R233" s="614">
        <f>F233+35</f>
        <v>7842.7999999999993</v>
      </c>
      <c r="S233" s="338">
        <f>+R233*$X$1</f>
        <v>7842.7999999999993</v>
      </c>
      <c r="T233" s="107">
        <f>F233+29</f>
        <v>7836.7999999999993</v>
      </c>
      <c r="U233" s="363">
        <f>+T233*$X$1</f>
        <v>7836.7999999999993</v>
      </c>
      <c r="V233" s="107">
        <f>F233+24</f>
        <v>7831.7999999999993</v>
      </c>
      <c r="W233" s="363">
        <f>+V233*$X$1</f>
        <v>7831.7999999999993</v>
      </c>
      <c r="X233" s="693"/>
      <c r="Y233" s="724"/>
      <c r="Z233" s="724"/>
      <c r="AA233" s="695"/>
      <c r="AB233" s="208">
        <v>916</v>
      </c>
    </row>
    <row r="234" spans="1:34" ht="12.6" customHeight="1" x14ac:dyDescent="0.2">
      <c r="A234" s="20"/>
      <c r="B234" s="708" t="s">
        <v>212</v>
      </c>
      <c r="C234" s="709"/>
      <c r="D234" s="709"/>
      <c r="E234" s="709"/>
      <c r="F234" s="472">
        <f>10.35*X2</f>
        <v>9563.4</v>
      </c>
      <c r="G234" s="337">
        <f>+F234*$X$1</f>
        <v>9563.4</v>
      </c>
      <c r="H234" s="375">
        <f>F234+290</f>
        <v>9853.4</v>
      </c>
      <c r="I234" s="337">
        <f>+H234*$X$1</f>
        <v>9853.4</v>
      </c>
      <c r="J234" s="375">
        <f>F234+120</f>
        <v>9683.4</v>
      </c>
      <c r="K234" s="337">
        <f t="shared" ref="K234" si="495">+J234*$X$1</f>
        <v>9683.4</v>
      </c>
      <c r="L234" s="375">
        <f>F234+74</f>
        <v>9637.4</v>
      </c>
      <c r="M234" s="337">
        <f t="shared" ref="M234" si="496">+L234*$X$1</f>
        <v>9637.4</v>
      </c>
      <c r="N234" s="375">
        <f>F234+46</f>
        <v>9609.4</v>
      </c>
      <c r="O234" s="337">
        <f t="shared" ref="O234" si="497">+N234*$X$1</f>
        <v>9609.4</v>
      </c>
      <c r="P234" s="375">
        <f>F234+42</f>
        <v>9605.4</v>
      </c>
      <c r="Q234" s="337">
        <f t="shared" ref="Q234" si="498">+P234*$X$1</f>
        <v>9605.4</v>
      </c>
      <c r="R234" s="375">
        <f>F234+35</f>
        <v>9598.4</v>
      </c>
      <c r="S234" s="337">
        <f t="shared" ref="S234" si="499">+R234*$X$1</f>
        <v>9598.4</v>
      </c>
      <c r="T234" s="108">
        <f>F234+29</f>
        <v>9592.4</v>
      </c>
      <c r="U234" s="299">
        <f t="shared" ref="U234" si="500">+T234*$X$1</f>
        <v>9592.4</v>
      </c>
      <c r="V234" s="108">
        <f>F234+24</f>
        <v>9587.4</v>
      </c>
      <c r="W234" s="299">
        <f t="shared" ref="W234" si="501">+V234*$X$1</f>
        <v>9587.4</v>
      </c>
      <c r="X234" s="1162"/>
      <c r="Y234" s="1163"/>
      <c r="Z234" s="1163"/>
      <c r="AA234" s="1164"/>
      <c r="AB234" s="534">
        <v>918</v>
      </c>
    </row>
    <row r="235" spans="1:34" ht="12.6" customHeight="1" x14ac:dyDescent="0.2">
      <c r="A235" s="20"/>
      <c r="B235" s="701" t="s">
        <v>517</v>
      </c>
      <c r="C235" s="688"/>
      <c r="D235" s="688"/>
      <c r="E235" s="688"/>
      <c r="F235" s="473">
        <f>9.331*X2</f>
        <v>8621.8439999999991</v>
      </c>
      <c r="G235" s="338">
        <f>+F235*$X$1</f>
        <v>8621.8439999999991</v>
      </c>
      <c r="H235" s="614">
        <f>F235+290</f>
        <v>8911.8439999999991</v>
      </c>
      <c r="I235" s="338">
        <f>+H235*$X$1</f>
        <v>8911.8439999999991</v>
      </c>
      <c r="J235" s="614">
        <f>F235+120</f>
        <v>8741.8439999999991</v>
      </c>
      <c r="K235" s="338">
        <f>+J235*$X$1</f>
        <v>8741.8439999999991</v>
      </c>
      <c r="L235" s="614">
        <f>F235+74</f>
        <v>8695.8439999999991</v>
      </c>
      <c r="M235" s="338">
        <f>+L235*$X$1</f>
        <v>8695.8439999999991</v>
      </c>
      <c r="N235" s="614">
        <f>F235+46</f>
        <v>8667.8439999999991</v>
      </c>
      <c r="O235" s="338">
        <f>+N235*$X$1</f>
        <v>8667.8439999999991</v>
      </c>
      <c r="P235" s="614">
        <f>F235+42</f>
        <v>8663.8439999999991</v>
      </c>
      <c r="Q235" s="338">
        <f>+P235*$X$1</f>
        <v>8663.8439999999991</v>
      </c>
      <c r="R235" s="614">
        <f>F235+35</f>
        <v>8656.8439999999991</v>
      </c>
      <c r="S235" s="338">
        <f>+R235*$X$1</f>
        <v>8656.8439999999991</v>
      </c>
      <c r="T235" s="107">
        <f>F235+29</f>
        <v>8650.8439999999991</v>
      </c>
      <c r="U235" s="363">
        <f>+T235*$X$1</f>
        <v>8650.8439999999991</v>
      </c>
      <c r="V235" s="107">
        <f>F235+24</f>
        <v>8645.8439999999991</v>
      </c>
      <c r="W235" s="363">
        <f>+V235*$X$1</f>
        <v>8645.8439999999991</v>
      </c>
      <c r="X235" s="693"/>
      <c r="Y235" s="694"/>
      <c r="Z235" s="694"/>
      <c r="AA235" s="695"/>
      <c r="AB235" s="208">
        <v>919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82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AB236" s="10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82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3"/>
      <c r="W237" s="183"/>
      <c r="AB237" s="4"/>
    </row>
    <row r="238" spans="1:34" ht="12.6" customHeight="1" thickBot="1" x14ac:dyDescent="0.25">
      <c r="A238" s="20"/>
      <c r="B238" s="3"/>
      <c r="C238" s="3"/>
      <c r="D238" s="3"/>
      <c r="E238" s="79"/>
      <c r="F238" s="1120"/>
      <c r="G238" s="1120"/>
      <c r="H238" s="1120"/>
      <c r="I238" s="1120"/>
      <c r="J238" s="1120"/>
      <c r="K238" s="323"/>
      <c r="L238" s="322"/>
      <c r="M238" s="322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AB238" s="4"/>
    </row>
    <row r="239" spans="1:34" ht="15.75" customHeight="1" x14ac:dyDescent="0.2">
      <c r="A239" s="20"/>
      <c r="B239" s="725" t="s">
        <v>11</v>
      </c>
      <c r="C239" s="1069" t="s">
        <v>12</v>
      </c>
      <c r="D239" s="1070"/>
      <c r="E239" s="1070"/>
      <c r="F239" s="804" t="s">
        <v>13</v>
      </c>
      <c r="G239" s="804" t="s">
        <v>13</v>
      </c>
      <c r="H239" s="754" t="s">
        <v>14</v>
      </c>
      <c r="I239" s="754"/>
      <c r="J239" s="755"/>
      <c r="K239" s="755"/>
      <c r="L239" s="755"/>
      <c r="M239" s="755"/>
      <c r="N239" s="755"/>
      <c r="O239" s="755"/>
      <c r="P239" s="755"/>
      <c r="Q239" s="755"/>
      <c r="R239" s="755"/>
      <c r="S239" s="755"/>
      <c r="T239" s="755"/>
      <c r="U239" s="755"/>
      <c r="V239" s="755"/>
      <c r="W239" s="756"/>
      <c r="X239" s="745" t="s">
        <v>15</v>
      </c>
      <c r="Y239" s="746"/>
      <c r="Z239" s="746"/>
      <c r="AA239" s="746"/>
      <c r="AB239" s="743" t="s">
        <v>16</v>
      </c>
      <c r="AF239" s="741" t="s">
        <v>3</v>
      </c>
      <c r="AG239" s="742"/>
      <c r="AH239" s="742"/>
    </row>
    <row r="240" spans="1:34" ht="11.25" customHeight="1" thickBot="1" x14ac:dyDescent="0.25">
      <c r="A240" s="20"/>
      <c r="B240" s="726"/>
      <c r="C240" s="1071"/>
      <c r="D240" s="1071"/>
      <c r="E240" s="1071"/>
      <c r="F240" s="805"/>
      <c r="G240" s="805"/>
      <c r="H240" s="291"/>
      <c r="I240" s="288" t="s">
        <v>310</v>
      </c>
      <c r="J240" s="292"/>
      <c r="K240" s="288" t="s">
        <v>18</v>
      </c>
      <c r="L240" s="293"/>
      <c r="M240" s="293" t="s">
        <v>19</v>
      </c>
      <c r="N240" s="293"/>
      <c r="O240" s="288" t="s">
        <v>20</v>
      </c>
      <c r="P240" s="293"/>
      <c r="Q240" s="293" t="s">
        <v>312</v>
      </c>
      <c r="R240" s="293"/>
      <c r="S240" s="293" t="s">
        <v>21</v>
      </c>
      <c r="T240" s="293"/>
      <c r="U240" s="293" t="s">
        <v>22</v>
      </c>
      <c r="V240" s="293"/>
      <c r="W240" s="295" t="s">
        <v>23</v>
      </c>
      <c r="X240" s="747"/>
      <c r="Y240" s="748"/>
      <c r="Z240" s="748"/>
      <c r="AA240" s="748"/>
      <c r="AB240" s="744"/>
    </row>
    <row r="241" spans="1:38" ht="12.6" customHeight="1" x14ac:dyDescent="0.2">
      <c r="A241" s="20"/>
      <c r="B241" s="708" t="s">
        <v>504</v>
      </c>
      <c r="C241" s="709"/>
      <c r="D241" s="709"/>
      <c r="E241" s="709"/>
      <c r="F241" s="472">
        <f>8.31*X2</f>
        <v>7678.4400000000005</v>
      </c>
      <c r="G241" s="337">
        <f t="shared" ref="G241:G242" si="502">+F241*$X$1</f>
        <v>7678.4400000000005</v>
      </c>
      <c r="H241" s="375">
        <f t="shared" ref="H241:H244" si="503">F241+290</f>
        <v>7968.4400000000005</v>
      </c>
      <c r="I241" s="337">
        <f t="shared" ref="I241:I244" si="504">+H241*$X$1</f>
        <v>7968.4400000000005</v>
      </c>
      <c r="J241" s="375">
        <f t="shared" ref="J241:J244" si="505">F241+120</f>
        <v>7798.4400000000005</v>
      </c>
      <c r="K241" s="337">
        <f t="shared" ref="K241:K244" si="506">+J241*$X$1</f>
        <v>7798.4400000000005</v>
      </c>
      <c r="L241" s="375">
        <f t="shared" ref="L241:L244" si="507">F241+74</f>
        <v>7752.4400000000005</v>
      </c>
      <c r="M241" s="337">
        <f t="shared" ref="M241:M244" si="508">+L241*$X$1</f>
        <v>7752.4400000000005</v>
      </c>
      <c r="N241" s="375">
        <f t="shared" ref="N241:N244" si="509">F241+46</f>
        <v>7724.4400000000005</v>
      </c>
      <c r="O241" s="337">
        <f t="shared" ref="O241:O244" si="510">+N241*$X$1</f>
        <v>7724.4400000000005</v>
      </c>
      <c r="P241" s="375">
        <f t="shared" ref="P241:P244" si="511">F241+42</f>
        <v>7720.4400000000005</v>
      </c>
      <c r="Q241" s="337">
        <f t="shared" ref="Q241:Q244" si="512">+P241*$X$1</f>
        <v>7720.4400000000005</v>
      </c>
      <c r="R241" s="375">
        <f t="shared" ref="R241:R244" si="513">F241+35</f>
        <v>7713.4400000000005</v>
      </c>
      <c r="S241" s="337">
        <f t="shared" ref="S241:S244" si="514">+R241*$X$1</f>
        <v>7713.4400000000005</v>
      </c>
      <c r="T241" s="108">
        <f t="shared" ref="T241:T244" si="515">F241+29</f>
        <v>7707.4400000000005</v>
      </c>
      <c r="U241" s="299">
        <f t="shared" ref="U241:U244" si="516">+T241*$X$1</f>
        <v>7707.4400000000005</v>
      </c>
      <c r="V241" s="108">
        <f t="shared" ref="V241:V244" si="517">F241+24</f>
        <v>7702.4400000000005</v>
      </c>
      <c r="W241" s="299">
        <f t="shared" ref="W241:W244" si="518">+V241*$X$1</f>
        <v>7702.4400000000005</v>
      </c>
      <c r="X241" s="693"/>
      <c r="Y241" s="724"/>
      <c r="Z241" s="724"/>
      <c r="AA241" s="695"/>
      <c r="AB241" s="208">
        <v>920</v>
      </c>
    </row>
    <row r="242" spans="1:38" ht="12.6" customHeight="1" x14ac:dyDescent="0.2">
      <c r="A242" s="20"/>
      <c r="B242" s="701" t="s">
        <v>594</v>
      </c>
      <c r="C242" s="688"/>
      <c r="D242" s="688"/>
      <c r="E242" s="688"/>
      <c r="F242" s="473">
        <f>8.1*X2</f>
        <v>7484.4</v>
      </c>
      <c r="G242" s="338">
        <f t="shared" si="502"/>
        <v>7484.4</v>
      </c>
      <c r="H242" s="614">
        <f t="shared" si="503"/>
        <v>7774.4</v>
      </c>
      <c r="I242" s="338">
        <f t="shared" si="504"/>
        <v>7774.4</v>
      </c>
      <c r="J242" s="614">
        <f t="shared" si="505"/>
        <v>7604.4</v>
      </c>
      <c r="K242" s="338">
        <f t="shared" si="506"/>
        <v>7604.4</v>
      </c>
      <c r="L242" s="614">
        <f t="shared" si="507"/>
        <v>7558.4</v>
      </c>
      <c r="M242" s="338">
        <f t="shared" si="508"/>
        <v>7558.4</v>
      </c>
      <c r="N242" s="614">
        <f t="shared" si="509"/>
        <v>7530.4</v>
      </c>
      <c r="O242" s="338">
        <f t="shared" si="510"/>
        <v>7530.4</v>
      </c>
      <c r="P242" s="614">
        <f t="shared" si="511"/>
        <v>7526.4</v>
      </c>
      <c r="Q242" s="338">
        <f t="shared" si="512"/>
        <v>7526.4</v>
      </c>
      <c r="R242" s="614">
        <f t="shared" si="513"/>
        <v>7519.4</v>
      </c>
      <c r="S242" s="338">
        <f t="shared" si="514"/>
        <v>7519.4</v>
      </c>
      <c r="T242" s="107">
        <f t="shared" si="515"/>
        <v>7513.4</v>
      </c>
      <c r="U242" s="363">
        <f t="shared" si="516"/>
        <v>7513.4</v>
      </c>
      <c r="V242" s="107">
        <f t="shared" si="517"/>
        <v>7508.4</v>
      </c>
      <c r="W242" s="363">
        <f t="shared" si="518"/>
        <v>7508.4</v>
      </c>
      <c r="X242" s="693"/>
      <c r="Y242" s="724"/>
      <c r="Z242" s="724"/>
      <c r="AA242" s="695"/>
      <c r="AB242" s="208">
        <v>921</v>
      </c>
    </row>
    <row r="243" spans="1:38" ht="12.6" customHeight="1" x14ac:dyDescent="0.2">
      <c r="A243" s="111"/>
      <c r="B243" s="708" t="s">
        <v>503</v>
      </c>
      <c r="C243" s="709"/>
      <c r="D243" s="709"/>
      <c r="E243" s="709"/>
      <c r="F243" s="472">
        <f>7.624*X2</f>
        <v>7044.576</v>
      </c>
      <c r="G243" s="337">
        <f t="shared" ref="G243:G245" si="519">+F243*$X$1</f>
        <v>7044.576</v>
      </c>
      <c r="H243" s="375">
        <f t="shared" si="503"/>
        <v>7334.576</v>
      </c>
      <c r="I243" s="337">
        <f t="shared" si="504"/>
        <v>7334.576</v>
      </c>
      <c r="J243" s="375">
        <f t="shared" si="505"/>
        <v>7164.576</v>
      </c>
      <c r="K243" s="337">
        <f t="shared" si="506"/>
        <v>7164.576</v>
      </c>
      <c r="L243" s="375">
        <f t="shared" si="507"/>
        <v>7118.576</v>
      </c>
      <c r="M243" s="337">
        <f t="shared" si="508"/>
        <v>7118.576</v>
      </c>
      <c r="N243" s="375">
        <f t="shared" si="509"/>
        <v>7090.576</v>
      </c>
      <c r="O243" s="337">
        <f t="shared" si="510"/>
        <v>7090.576</v>
      </c>
      <c r="P243" s="375">
        <f t="shared" si="511"/>
        <v>7086.576</v>
      </c>
      <c r="Q243" s="337">
        <f t="shared" si="512"/>
        <v>7086.576</v>
      </c>
      <c r="R243" s="375">
        <f t="shared" si="513"/>
        <v>7079.576</v>
      </c>
      <c r="S243" s="337">
        <f t="shared" si="514"/>
        <v>7079.576</v>
      </c>
      <c r="T243" s="108">
        <f t="shared" si="515"/>
        <v>7073.576</v>
      </c>
      <c r="U243" s="299">
        <f t="shared" si="516"/>
        <v>7073.576</v>
      </c>
      <c r="V243" s="108">
        <f t="shared" si="517"/>
        <v>7068.576</v>
      </c>
      <c r="W243" s="299">
        <f t="shared" si="518"/>
        <v>7068.576</v>
      </c>
      <c r="X243" s="693"/>
      <c r="Y243" s="724"/>
      <c r="Z243" s="724"/>
      <c r="AA243" s="695"/>
      <c r="AB243" s="208">
        <v>928</v>
      </c>
    </row>
    <row r="244" spans="1:38" ht="12.6" customHeight="1" x14ac:dyDescent="0.2">
      <c r="A244" s="20"/>
      <c r="B244" s="701" t="s">
        <v>457</v>
      </c>
      <c r="C244" s="688"/>
      <c r="D244" s="688"/>
      <c r="E244" s="688"/>
      <c r="F244" s="473">
        <f>7.96*X2</f>
        <v>7355.04</v>
      </c>
      <c r="G244" s="338">
        <f t="shared" si="519"/>
        <v>7355.04</v>
      </c>
      <c r="H244" s="614">
        <f t="shared" si="503"/>
        <v>7645.04</v>
      </c>
      <c r="I244" s="338">
        <f t="shared" si="504"/>
        <v>7645.04</v>
      </c>
      <c r="J244" s="614">
        <f t="shared" si="505"/>
        <v>7475.04</v>
      </c>
      <c r="K244" s="338">
        <f t="shared" si="506"/>
        <v>7475.04</v>
      </c>
      <c r="L244" s="614">
        <f t="shared" si="507"/>
        <v>7429.04</v>
      </c>
      <c r="M244" s="338">
        <f t="shared" si="508"/>
        <v>7429.04</v>
      </c>
      <c r="N244" s="614">
        <f t="shared" si="509"/>
        <v>7401.04</v>
      </c>
      <c r="O244" s="338">
        <f t="shared" si="510"/>
        <v>7401.04</v>
      </c>
      <c r="P244" s="614">
        <f t="shared" si="511"/>
        <v>7397.04</v>
      </c>
      <c r="Q244" s="338">
        <f t="shared" si="512"/>
        <v>7397.04</v>
      </c>
      <c r="R244" s="614">
        <f t="shared" si="513"/>
        <v>7390.04</v>
      </c>
      <c r="S244" s="338">
        <f t="shared" si="514"/>
        <v>7390.04</v>
      </c>
      <c r="T244" s="107">
        <f t="shared" si="515"/>
        <v>7384.04</v>
      </c>
      <c r="U244" s="363">
        <f t="shared" si="516"/>
        <v>7384.04</v>
      </c>
      <c r="V244" s="107">
        <f t="shared" si="517"/>
        <v>7379.04</v>
      </c>
      <c r="W244" s="363">
        <f t="shared" si="518"/>
        <v>7379.04</v>
      </c>
      <c r="X244" s="693"/>
      <c r="Y244" s="694"/>
      <c r="Z244" s="694"/>
      <c r="AA244" s="695"/>
      <c r="AB244" s="208">
        <v>931</v>
      </c>
    </row>
    <row r="245" spans="1:38" ht="12.6" customHeight="1" x14ac:dyDescent="0.2">
      <c r="A245" s="20"/>
      <c r="B245" s="708" t="s">
        <v>683</v>
      </c>
      <c r="C245" s="709"/>
      <c r="D245" s="709"/>
      <c r="E245" s="709"/>
      <c r="F245" s="472">
        <f>8.31*X2</f>
        <v>7678.4400000000005</v>
      </c>
      <c r="G245" s="337">
        <f t="shared" si="519"/>
        <v>7678.4400000000005</v>
      </c>
      <c r="H245" s="375">
        <f t="shared" ref="H245:H252" si="520">F245+290</f>
        <v>7968.4400000000005</v>
      </c>
      <c r="I245" s="337">
        <f>+H245*$X$1</f>
        <v>7968.4400000000005</v>
      </c>
      <c r="J245" s="375">
        <f>F245+120</f>
        <v>7798.4400000000005</v>
      </c>
      <c r="K245" s="337">
        <f t="shared" ref="K245:K249" si="521">+J245*$X$1</f>
        <v>7798.4400000000005</v>
      </c>
      <c r="L245" s="375">
        <f>F245+74</f>
        <v>7752.4400000000005</v>
      </c>
      <c r="M245" s="337">
        <f t="shared" ref="M245:M249" si="522">+L245*$X$1</f>
        <v>7752.4400000000005</v>
      </c>
      <c r="N245" s="375">
        <f>F245+46</f>
        <v>7724.4400000000005</v>
      </c>
      <c r="O245" s="337">
        <f t="shared" ref="O245:O249" si="523">+N245*$X$1</f>
        <v>7724.4400000000005</v>
      </c>
      <c r="P245" s="375">
        <f>F245+42</f>
        <v>7720.4400000000005</v>
      </c>
      <c r="Q245" s="337">
        <f t="shared" ref="Q245:Q249" si="524">+P245*$X$1</f>
        <v>7720.4400000000005</v>
      </c>
      <c r="R245" s="375">
        <f>F245+35</f>
        <v>7713.4400000000005</v>
      </c>
      <c r="S245" s="337">
        <f t="shared" ref="S245:S249" si="525">+R245*$X$1</f>
        <v>7713.4400000000005</v>
      </c>
      <c r="T245" s="108">
        <f>F245+29</f>
        <v>7707.4400000000005</v>
      </c>
      <c r="U245" s="299">
        <f t="shared" ref="U245:U249" si="526">+T245*$X$1</f>
        <v>7707.4400000000005</v>
      </c>
      <c r="V245" s="108">
        <f>F245+24</f>
        <v>7702.4400000000005</v>
      </c>
      <c r="W245" s="299">
        <f t="shared" ref="W245:W249" si="527">+V245*$X$1</f>
        <v>7702.4400000000005</v>
      </c>
      <c r="X245" s="464"/>
      <c r="Y245" s="464"/>
      <c r="Z245" s="464"/>
      <c r="AA245" s="464"/>
      <c r="AB245" s="208">
        <v>935</v>
      </c>
    </row>
    <row r="246" spans="1:38" ht="12.6" customHeight="1" x14ac:dyDescent="0.2">
      <c r="A246" s="20"/>
      <c r="B246" s="701" t="s">
        <v>724</v>
      </c>
      <c r="C246" s="688"/>
      <c r="D246" s="688"/>
      <c r="E246" s="688"/>
      <c r="F246" s="473">
        <f>10*X2</f>
        <v>9240</v>
      </c>
      <c r="G246" s="338">
        <f t="shared" ref="G246:G247" si="528">+F246*$X$1</f>
        <v>9240</v>
      </c>
      <c r="H246" s="614">
        <f t="shared" si="520"/>
        <v>9530</v>
      </c>
      <c r="I246" s="338">
        <f>+H246*$X$1</f>
        <v>9530</v>
      </c>
      <c r="J246" s="614">
        <f>F246+120</f>
        <v>9360</v>
      </c>
      <c r="K246" s="338">
        <f t="shared" si="521"/>
        <v>9360</v>
      </c>
      <c r="L246" s="614">
        <f>F246+74</f>
        <v>9314</v>
      </c>
      <c r="M246" s="338">
        <f t="shared" si="522"/>
        <v>9314</v>
      </c>
      <c r="N246" s="614">
        <f>F246+46</f>
        <v>9286</v>
      </c>
      <c r="O246" s="338">
        <f t="shared" si="523"/>
        <v>9286</v>
      </c>
      <c r="P246" s="614">
        <f>F246+42</f>
        <v>9282</v>
      </c>
      <c r="Q246" s="338">
        <f t="shared" si="524"/>
        <v>9282</v>
      </c>
      <c r="R246" s="614">
        <f>F246+35</f>
        <v>9275</v>
      </c>
      <c r="S246" s="338">
        <f t="shared" si="525"/>
        <v>9275</v>
      </c>
      <c r="T246" s="107">
        <f>F246+29</f>
        <v>9269</v>
      </c>
      <c r="U246" s="363">
        <f t="shared" si="526"/>
        <v>9269</v>
      </c>
      <c r="V246" s="107">
        <f>F246+24</f>
        <v>9264</v>
      </c>
      <c r="W246" s="363">
        <f t="shared" si="527"/>
        <v>9264</v>
      </c>
      <c r="X246" s="693"/>
      <c r="Y246" s="724"/>
      <c r="Z246" s="724"/>
      <c r="AA246" s="695"/>
      <c r="AB246" s="208">
        <v>936</v>
      </c>
    </row>
    <row r="247" spans="1:38" ht="12.6" customHeight="1" x14ac:dyDescent="0.2">
      <c r="A247" s="20"/>
      <c r="B247" s="713" t="s">
        <v>854</v>
      </c>
      <c r="C247" s="714"/>
      <c r="D247" s="714"/>
      <c r="E247" s="714"/>
      <c r="F247" s="472">
        <f>4.9*X2</f>
        <v>4527.6000000000004</v>
      </c>
      <c r="G247" s="337">
        <f t="shared" si="528"/>
        <v>4527.6000000000004</v>
      </c>
      <c r="H247" s="375">
        <f t="shared" ref="H247" si="529">F247+290</f>
        <v>4817.6000000000004</v>
      </c>
      <c r="I247" s="337">
        <f>+H247*$X$1</f>
        <v>4817.6000000000004</v>
      </c>
      <c r="J247" s="375">
        <f>F247+120</f>
        <v>4647.6000000000004</v>
      </c>
      <c r="K247" s="337">
        <f t="shared" ref="K247" si="530">+J247*$X$1</f>
        <v>4647.6000000000004</v>
      </c>
      <c r="L247" s="375">
        <f>F247+74</f>
        <v>4601.6000000000004</v>
      </c>
      <c r="M247" s="337">
        <f t="shared" ref="M247" si="531">+L247*$X$1</f>
        <v>4601.6000000000004</v>
      </c>
      <c r="N247" s="375">
        <f>F247+46</f>
        <v>4573.6000000000004</v>
      </c>
      <c r="O247" s="337">
        <f t="shared" ref="O247" si="532">+N247*$X$1</f>
        <v>4573.6000000000004</v>
      </c>
      <c r="P247" s="375">
        <f>F247+42</f>
        <v>4569.6000000000004</v>
      </c>
      <c r="Q247" s="337">
        <f t="shared" ref="Q247" si="533">+P247*$X$1</f>
        <v>4569.6000000000004</v>
      </c>
      <c r="R247" s="375">
        <f>F247+35</f>
        <v>4562.6000000000004</v>
      </c>
      <c r="S247" s="337">
        <f t="shared" ref="S247" si="534">+R247*$X$1</f>
        <v>4562.6000000000004</v>
      </c>
      <c r="T247" s="108">
        <f>F247+29</f>
        <v>4556.6000000000004</v>
      </c>
      <c r="U247" s="299">
        <f t="shared" ref="U247" si="535">+T247*$X$1</f>
        <v>4556.6000000000004</v>
      </c>
      <c r="V247" s="108">
        <f>F247+24</f>
        <v>4551.6000000000004</v>
      </c>
      <c r="W247" s="299">
        <f t="shared" ref="W247" si="536">+V247*$X$1</f>
        <v>4551.6000000000004</v>
      </c>
      <c r="X247" s="613"/>
      <c r="Y247" s="613"/>
      <c r="Z247" s="613"/>
      <c r="AA247" s="613"/>
      <c r="AB247" s="208">
        <v>940</v>
      </c>
    </row>
    <row r="248" spans="1:38" ht="12.6" customHeight="1" x14ac:dyDescent="0.2">
      <c r="A248" s="20"/>
      <c r="B248" s="795" t="s">
        <v>213</v>
      </c>
      <c r="C248" s="904"/>
      <c r="D248" s="904"/>
      <c r="E248" s="905"/>
      <c r="F248" s="473">
        <f>5.483*X2</f>
        <v>5066.2919999999995</v>
      </c>
      <c r="G248" s="338">
        <f t="shared" ref="G248:G252" si="537">+F248*$X$1</f>
        <v>5066.2919999999995</v>
      </c>
      <c r="H248" s="584">
        <f t="shared" si="520"/>
        <v>5356.2919999999995</v>
      </c>
      <c r="I248" s="338">
        <f>+H248*$X$1</f>
        <v>5356.2919999999995</v>
      </c>
      <c r="J248" s="584">
        <f>F248+120</f>
        <v>5186.2919999999995</v>
      </c>
      <c r="K248" s="338">
        <f t="shared" si="521"/>
        <v>5186.2919999999995</v>
      </c>
      <c r="L248" s="584">
        <f>F248+74</f>
        <v>5140.2919999999995</v>
      </c>
      <c r="M248" s="338">
        <f t="shared" si="522"/>
        <v>5140.2919999999995</v>
      </c>
      <c r="N248" s="584">
        <f>F248+46</f>
        <v>5112.2919999999995</v>
      </c>
      <c r="O248" s="338">
        <f t="shared" si="523"/>
        <v>5112.2919999999995</v>
      </c>
      <c r="P248" s="584">
        <f>F248+42</f>
        <v>5108.2919999999995</v>
      </c>
      <c r="Q248" s="338">
        <f t="shared" si="524"/>
        <v>5108.2919999999995</v>
      </c>
      <c r="R248" s="584">
        <f>F248+35</f>
        <v>5101.2919999999995</v>
      </c>
      <c r="S248" s="338">
        <f t="shared" si="525"/>
        <v>5101.2919999999995</v>
      </c>
      <c r="T248" s="107">
        <f>F248+29</f>
        <v>5095.2919999999995</v>
      </c>
      <c r="U248" s="363">
        <f t="shared" si="526"/>
        <v>5095.2919999999995</v>
      </c>
      <c r="V248" s="107">
        <f>F248+24</f>
        <v>5090.2919999999995</v>
      </c>
      <c r="W248" s="363">
        <f t="shared" si="527"/>
        <v>5090.2919999999995</v>
      </c>
      <c r="X248" s="144"/>
      <c r="Y248" s="146"/>
      <c r="Z248" s="141"/>
      <c r="AA248" s="141"/>
      <c r="AB248" s="208">
        <v>945</v>
      </c>
      <c r="AD248" s="69"/>
      <c r="AE248" s="69"/>
      <c r="AF248" s="69"/>
      <c r="AG248" s="69"/>
    </row>
    <row r="249" spans="1:38" ht="12.6" customHeight="1" x14ac:dyDescent="0.2">
      <c r="A249" s="20"/>
      <c r="B249" s="708" t="s">
        <v>561</v>
      </c>
      <c r="C249" s="709"/>
      <c r="D249" s="709"/>
      <c r="E249" s="709"/>
      <c r="F249" s="472">
        <f>4.502*X2</f>
        <v>4159.848</v>
      </c>
      <c r="G249" s="337">
        <f t="shared" ref="G249" si="538">+F249*$X$1</f>
        <v>4159.848</v>
      </c>
      <c r="H249" s="375">
        <f t="shared" si="520"/>
        <v>4449.848</v>
      </c>
      <c r="I249" s="337">
        <f>+H249*$X$1</f>
        <v>4449.848</v>
      </c>
      <c r="J249" s="375">
        <f>F249+120</f>
        <v>4279.848</v>
      </c>
      <c r="K249" s="337">
        <f t="shared" si="521"/>
        <v>4279.848</v>
      </c>
      <c r="L249" s="375">
        <f>F249+74</f>
        <v>4233.848</v>
      </c>
      <c r="M249" s="337">
        <f t="shared" si="522"/>
        <v>4233.848</v>
      </c>
      <c r="N249" s="375">
        <f>F249+46</f>
        <v>4205.848</v>
      </c>
      <c r="O249" s="337">
        <f t="shared" si="523"/>
        <v>4205.848</v>
      </c>
      <c r="P249" s="375">
        <f>F249+42</f>
        <v>4201.848</v>
      </c>
      <c r="Q249" s="337">
        <f t="shared" si="524"/>
        <v>4201.848</v>
      </c>
      <c r="R249" s="375">
        <f>F249+35</f>
        <v>4194.848</v>
      </c>
      <c r="S249" s="337">
        <f t="shared" si="525"/>
        <v>4194.848</v>
      </c>
      <c r="T249" s="108">
        <f>F249+29</f>
        <v>4188.848</v>
      </c>
      <c r="U249" s="299">
        <f t="shared" si="526"/>
        <v>4188.848</v>
      </c>
      <c r="V249" s="108">
        <f>F249+24</f>
        <v>4183.848</v>
      </c>
      <c r="W249" s="299">
        <f t="shared" si="527"/>
        <v>4183.848</v>
      </c>
      <c r="X249" s="165"/>
      <c r="Y249" s="165"/>
      <c r="Z249" s="165"/>
      <c r="AA249" s="165"/>
      <c r="AB249" s="208">
        <v>946</v>
      </c>
    </row>
    <row r="250" spans="1:38" ht="12.6" customHeight="1" x14ac:dyDescent="0.2">
      <c r="A250" s="20"/>
      <c r="B250" s="1129" t="s">
        <v>214</v>
      </c>
      <c r="C250" s="1130"/>
      <c r="D250" s="1130"/>
      <c r="E250" s="1131"/>
      <c r="F250" s="473">
        <f>5.1*X2</f>
        <v>4712.3999999999996</v>
      </c>
      <c r="G250" s="338">
        <f t="shared" si="537"/>
        <v>4712.3999999999996</v>
      </c>
      <c r="H250" s="584">
        <f t="shared" si="520"/>
        <v>5002.3999999999996</v>
      </c>
      <c r="I250" s="338">
        <f t="shared" ref="I250" si="539">+H250*$X$1</f>
        <v>5002.3999999999996</v>
      </c>
      <c r="J250" s="93"/>
      <c r="K250" s="338"/>
      <c r="L250" s="584"/>
      <c r="M250" s="338"/>
      <c r="N250" s="584"/>
      <c r="O250" s="338"/>
      <c r="P250" s="584"/>
      <c r="Q250" s="338"/>
      <c r="R250" s="584"/>
      <c r="S250" s="338"/>
      <c r="T250" s="584"/>
      <c r="U250" s="338"/>
      <c r="V250" s="584"/>
      <c r="W250" s="338"/>
      <c r="X250" s="693"/>
      <c r="Y250" s="694"/>
      <c r="Z250" s="694"/>
      <c r="AA250" s="695"/>
      <c r="AB250" s="534">
        <v>949</v>
      </c>
    </row>
    <row r="251" spans="1:38" ht="12.6" customHeight="1" x14ac:dyDescent="0.2">
      <c r="A251" s="20"/>
      <c r="B251" s="708" t="s">
        <v>215</v>
      </c>
      <c r="C251" s="709"/>
      <c r="D251" s="709"/>
      <c r="E251" s="709"/>
      <c r="F251" s="472">
        <f>4.7*X2</f>
        <v>4342.8</v>
      </c>
      <c r="G251" s="337">
        <f t="shared" si="537"/>
        <v>4342.8</v>
      </c>
      <c r="H251" s="375">
        <f t="shared" si="520"/>
        <v>4632.8</v>
      </c>
      <c r="I251" s="337">
        <f>+H251*$X$1</f>
        <v>4632.8</v>
      </c>
      <c r="J251" s="375">
        <f>F251+120</f>
        <v>4462.8</v>
      </c>
      <c r="K251" s="337">
        <f t="shared" ref="K251:K253" si="540">+J251*$X$1</f>
        <v>4462.8</v>
      </c>
      <c r="L251" s="375">
        <f>F251+74</f>
        <v>4416.8</v>
      </c>
      <c r="M251" s="337">
        <f t="shared" ref="M251:M253" si="541">+L251*$X$1</f>
        <v>4416.8</v>
      </c>
      <c r="N251" s="375">
        <f>F251+46</f>
        <v>4388.8</v>
      </c>
      <c r="O251" s="337">
        <f t="shared" ref="O251:O253" si="542">+N251*$X$1</f>
        <v>4388.8</v>
      </c>
      <c r="P251" s="375">
        <f>F251+42</f>
        <v>4384.8</v>
      </c>
      <c r="Q251" s="337">
        <f t="shared" ref="Q251:Q253" si="543">+P251*$X$1</f>
        <v>4384.8</v>
      </c>
      <c r="R251" s="375">
        <f>F251+35</f>
        <v>4377.8</v>
      </c>
      <c r="S251" s="337">
        <f t="shared" ref="S251:S253" si="544">+R251*$X$1</f>
        <v>4377.8</v>
      </c>
      <c r="T251" s="108">
        <f>F251+29</f>
        <v>4371.8</v>
      </c>
      <c r="U251" s="299">
        <f t="shared" ref="U251:U253" si="545">+T251*$X$1</f>
        <v>4371.8</v>
      </c>
      <c r="V251" s="108">
        <f>F251+24</f>
        <v>4366.8</v>
      </c>
      <c r="W251" s="299">
        <f t="shared" ref="W251:W253" si="546">+V251*$X$1</f>
        <v>4366.8</v>
      </c>
      <c r="X251" s="693"/>
      <c r="Y251" s="694"/>
      <c r="Z251" s="694"/>
      <c r="AA251" s="695"/>
      <c r="AB251" s="208">
        <v>950</v>
      </c>
    </row>
    <row r="252" spans="1:38" ht="12.6" customHeight="1" x14ac:dyDescent="0.2">
      <c r="A252" s="20"/>
      <c r="B252" s="701" t="s">
        <v>684</v>
      </c>
      <c r="C252" s="688"/>
      <c r="D252" s="688"/>
      <c r="E252" s="688"/>
      <c r="F252" s="473">
        <f>6.46*X2</f>
        <v>5969.04</v>
      </c>
      <c r="G252" s="338">
        <f t="shared" si="537"/>
        <v>5969.04</v>
      </c>
      <c r="H252" s="584">
        <f t="shared" si="520"/>
        <v>6259.04</v>
      </c>
      <c r="I252" s="338">
        <f>+H252*$X$1</f>
        <v>6259.04</v>
      </c>
      <c r="J252" s="584">
        <f>F252+120</f>
        <v>6089.04</v>
      </c>
      <c r="K252" s="338">
        <f t="shared" si="540"/>
        <v>6089.04</v>
      </c>
      <c r="L252" s="584">
        <f>F252+74</f>
        <v>6043.04</v>
      </c>
      <c r="M252" s="338">
        <f t="shared" si="541"/>
        <v>6043.04</v>
      </c>
      <c r="N252" s="584">
        <f>F252+46</f>
        <v>6015.04</v>
      </c>
      <c r="O252" s="338">
        <f t="shared" si="542"/>
        <v>6015.04</v>
      </c>
      <c r="P252" s="584">
        <f>F252+42</f>
        <v>6011.04</v>
      </c>
      <c r="Q252" s="338">
        <f t="shared" si="543"/>
        <v>6011.04</v>
      </c>
      <c r="R252" s="584">
        <f>F252+35</f>
        <v>6004.04</v>
      </c>
      <c r="S252" s="338">
        <f t="shared" si="544"/>
        <v>6004.04</v>
      </c>
      <c r="T252" s="107">
        <f>F252+29</f>
        <v>5998.04</v>
      </c>
      <c r="U252" s="363">
        <f t="shared" si="545"/>
        <v>5998.04</v>
      </c>
      <c r="V252" s="107">
        <f>F252+24</f>
        <v>5993.04</v>
      </c>
      <c r="W252" s="363">
        <f t="shared" si="546"/>
        <v>5993.04</v>
      </c>
      <c r="X252" s="710"/>
      <c r="Y252" s="711"/>
      <c r="Z252" s="711"/>
      <c r="AA252" s="712"/>
      <c r="AB252" s="208">
        <v>962</v>
      </c>
    </row>
    <row r="253" spans="1:38" s="1" customFormat="1" ht="12.6" customHeight="1" x14ac:dyDescent="0.2">
      <c r="A253" s="21"/>
      <c r="B253" s="708" t="s">
        <v>216</v>
      </c>
      <c r="C253" s="709"/>
      <c r="D253" s="709"/>
      <c r="E253" s="709"/>
      <c r="F253" s="337">
        <v>2174</v>
      </c>
      <c r="G253" s="337">
        <f>+F253*$X$1</f>
        <v>2174</v>
      </c>
      <c r="H253" s="375">
        <f>F253+260</f>
        <v>2434</v>
      </c>
      <c r="I253" s="337">
        <f t="shared" ref="I253" si="547">+H253*$X$1</f>
        <v>2434</v>
      </c>
      <c r="J253" s="75">
        <f>F253+95</f>
        <v>2269</v>
      </c>
      <c r="K253" s="337">
        <f t="shared" si="540"/>
        <v>2269</v>
      </c>
      <c r="L253" s="375">
        <f>F253+70</f>
        <v>2244</v>
      </c>
      <c r="M253" s="337">
        <f t="shared" si="541"/>
        <v>2244</v>
      </c>
      <c r="N253" s="375">
        <f>F253+59</f>
        <v>2233</v>
      </c>
      <c r="O253" s="337">
        <f t="shared" si="542"/>
        <v>2233</v>
      </c>
      <c r="P253" s="375">
        <f>F253+55</f>
        <v>2229</v>
      </c>
      <c r="Q253" s="337">
        <f t="shared" si="543"/>
        <v>2229</v>
      </c>
      <c r="R253" s="375">
        <f>F253+51</f>
        <v>2225</v>
      </c>
      <c r="S253" s="337">
        <f t="shared" si="544"/>
        <v>2225</v>
      </c>
      <c r="T253" s="375">
        <f>F253+46</f>
        <v>2220</v>
      </c>
      <c r="U253" s="337">
        <f t="shared" si="545"/>
        <v>2220</v>
      </c>
      <c r="V253" s="375">
        <f>F253+43</f>
        <v>2217</v>
      </c>
      <c r="W253" s="337">
        <f t="shared" si="546"/>
        <v>2217</v>
      </c>
      <c r="X253" s="717"/>
      <c r="Y253" s="723"/>
      <c r="Z253" s="723"/>
      <c r="AA253" s="700"/>
      <c r="AB253" s="208">
        <v>965</v>
      </c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2.6" customHeight="1" x14ac:dyDescent="0.2">
      <c r="A254" s="20"/>
      <c r="B254" s="701" t="s">
        <v>686</v>
      </c>
      <c r="C254" s="688"/>
      <c r="D254" s="688"/>
      <c r="E254" s="688"/>
      <c r="F254" s="473">
        <f>7.721*X2</f>
        <v>7134.2039999999997</v>
      </c>
      <c r="G254" s="338">
        <f t="shared" ref="G254" si="548">+F254*$X$1</f>
        <v>7134.2039999999997</v>
      </c>
      <c r="H254" s="584">
        <f>F254+290</f>
        <v>7424.2039999999997</v>
      </c>
      <c r="I254" s="338">
        <f>+H254*$X$1</f>
        <v>7424.2039999999997</v>
      </c>
      <c r="J254" s="584">
        <f>F254+120</f>
        <v>7254.2039999999997</v>
      </c>
      <c r="K254" s="338">
        <f t="shared" ref="K254:K261" si="549">+J254*$X$1</f>
        <v>7254.2039999999997</v>
      </c>
      <c r="L254" s="584">
        <f>F254+74</f>
        <v>7208.2039999999997</v>
      </c>
      <c r="M254" s="338">
        <f t="shared" ref="M254:M261" si="550">+L254*$X$1</f>
        <v>7208.2039999999997</v>
      </c>
      <c r="N254" s="584">
        <f>F254+46</f>
        <v>7180.2039999999997</v>
      </c>
      <c r="O254" s="338">
        <f t="shared" ref="O254:O261" si="551">+N254*$X$1</f>
        <v>7180.2039999999997</v>
      </c>
      <c r="P254" s="584">
        <f>F254+42</f>
        <v>7176.2039999999997</v>
      </c>
      <c r="Q254" s="338">
        <f t="shared" ref="Q254:Q261" si="552">+P254*$X$1</f>
        <v>7176.2039999999997</v>
      </c>
      <c r="R254" s="584">
        <f>F254+35</f>
        <v>7169.2039999999997</v>
      </c>
      <c r="S254" s="338">
        <f t="shared" ref="S254:S261" si="553">+R254*$X$1</f>
        <v>7169.2039999999997</v>
      </c>
      <c r="T254" s="107"/>
      <c r="U254" s="363"/>
      <c r="V254" s="107"/>
      <c r="W254" s="363"/>
      <c r="X254" s="710"/>
      <c r="Y254" s="711"/>
      <c r="Z254" s="711"/>
      <c r="AA254" s="712"/>
      <c r="AB254" s="208">
        <v>966</v>
      </c>
    </row>
    <row r="255" spans="1:38" s="1" customFormat="1" ht="12.6" customHeight="1" x14ac:dyDescent="0.2">
      <c r="A255" s="21"/>
      <c r="B255" s="703" t="s">
        <v>217</v>
      </c>
      <c r="C255" s="706"/>
      <c r="D255" s="706"/>
      <c r="E255" s="707"/>
      <c r="F255" s="337">
        <v>1882</v>
      </c>
      <c r="G255" s="337">
        <f>+F255*$X$1</f>
        <v>1882</v>
      </c>
      <c r="H255" s="333"/>
      <c r="I255" s="412"/>
      <c r="J255" s="75">
        <f t="shared" ref="J255:J261" si="554">F255+95</f>
        <v>1977</v>
      </c>
      <c r="K255" s="337">
        <f t="shared" si="549"/>
        <v>1977</v>
      </c>
      <c r="L255" s="375">
        <f t="shared" ref="L255:L261" si="555">F255+70</f>
        <v>1952</v>
      </c>
      <c r="M255" s="337">
        <f t="shared" si="550"/>
        <v>1952</v>
      </c>
      <c r="N255" s="375">
        <f t="shared" ref="N255:N261" si="556">F255+59</f>
        <v>1941</v>
      </c>
      <c r="O255" s="337">
        <f t="shared" si="551"/>
        <v>1941</v>
      </c>
      <c r="P255" s="375">
        <f t="shared" ref="P255:P261" si="557">F255+55</f>
        <v>1937</v>
      </c>
      <c r="Q255" s="337">
        <f t="shared" si="552"/>
        <v>1937</v>
      </c>
      <c r="R255" s="375">
        <f t="shared" ref="R255:R261" si="558">F255+51</f>
        <v>1933</v>
      </c>
      <c r="S255" s="337">
        <f t="shared" si="553"/>
        <v>1933</v>
      </c>
      <c r="T255" s="375">
        <f t="shared" ref="T255:T261" si="559">F255+46</f>
        <v>1928</v>
      </c>
      <c r="U255" s="337">
        <f t="shared" ref="U255:U261" si="560">+T255*$X$1</f>
        <v>1928</v>
      </c>
      <c r="V255" s="375">
        <f t="shared" ref="V255:V261" si="561">F255+43</f>
        <v>1925</v>
      </c>
      <c r="W255" s="337">
        <f t="shared" ref="W255:W261" si="562">+V255*$X$1</f>
        <v>1925</v>
      </c>
      <c r="X255" s="167"/>
      <c r="Y255" s="168"/>
      <c r="Z255" s="168"/>
      <c r="AA255" s="169"/>
      <c r="AB255" s="534">
        <v>967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s="1" customFormat="1" ht="12.6" customHeight="1" x14ac:dyDescent="0.2">
      <c r="A256" s="21"/>
      <c r="B256" s="795" t="s">
        <v>407</v>
      </c>
      <c r="C256" s="796"/>
      <c r="D256" s="796"/>
      <c r="E256" s="797"/>
      <c r="F256" s="338">
        <v>1794</v>
      </c>
      <c r="G256" s="338">
        <f>+F256*$X$1</f>
        <v>1794</v>
      </c>
      <c r="H256" s="584">
        <f t="shared" ref="H256:H261" si="563">F256+260</f>
        <v>2054</v>
      </c>
      <c r="I256" s="338">
        <f t="shared" ref="I256:I261" si="564">+H256*$X$1</f>
        <v>2054</v>
      </c>
      <c r="J256" s="93">
        <f t="shared" si="554"/>
        <v>1889</v>
      </c>
      <c r="K256" s="338">
        <f t="shared" si="549"/>
        <v>1889</v>
      </c>
      <c r="L256" s="584">
        <f t="shared" si="555"/>
        <v>1864</v>
      </c>
      <c r="M256" s="338">
        <f t="shared" si="550"/>
        <v>1864</v>
      </c>
      <c r="N256" s="584">
        <f t="shared" si="556"/>
        <v>1853</v>
      </c>
      <c r="O256" s="338">
        <f t="shared" si="551"/>
        <v>1853</v>
      </c>
      <c r="P256" s="584">
        <f t="shared" si="557"/>
        <v>1849</v>
      </c>
      <c r="Q256" s="338">
        <f t="shared" si="552"/>
        <v>1849</v>
      </c>
      <c r="R256" s="584">
        <f t="shared" si="558"/>
        <v>1845</v>
      </c>
      <c r="S256" s="338">
        <f t="shared" si="553"/>
        <v>1845</v>
      </c>
      <c r="T256" s="584">
        <f t="shared" si="559"/>
        <v>1840</v>
      </c>
      <c r="U256" s="338">
        <f t="shared" si="560"/>
        <v>1840</v>
      </c>
      <c r="V256" s="584">
        <f t="shared" si="561"/>
        <v>1837</v>
      </c>
      <c r="W256" s="338">
        <f t="shared" si="562"/>
        <v>1837</v>
      </c>
      <c r="X256" s="717"/>
      <c r="Y256" s="723"/>
      <c r="Z256" s="723"/>
      <c r="AA256" s="700"/>
      <c r="AB256" s="534">
        <v>968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 x14ac:dyDescent="0.2">
      <c r="A257" s="21"/>
      <c r="B257" s="708" t="s">
        <v>218</v>
      </c>
      <c r="C257" s="709"/>
      <c r="D257" s="709"/>
      <c r="E257" s="709"/>
      <c r="F257" s="337">
        <v>4602</v>
      </c>
      <c r="G257" s="337">
        <f t="shared" ref="G257:G260" si="565">+F257*$X$1</f>
        <v>4602</v>
      </c>
      <c r="H257" s="375">
        <f t="shared" si="563"/>
        <v>4862</v>
      </c>
      <c r="I257" s="337">
        <f t="shared" si="564"/>
        <v>4862</v>
      </c>
      <c r="J257" s="75">
        <f t="shared" si="554"/>
        <v>4697</v>
      </c>
      <c r="K257" s="337">
        <f t="shared" si="549"/>
        <v>4697</v>
      </c>
      <c r="L257" s="375">
        <f t="shared" si="555"/>
        <v>4672</v>
      </c>
      <c r="M257" s="337">
        <f t="shared" si="550"/>
        <v>4672</v>
      </c>
      <c r="N257" s="375">
        <f t="shared" si="556"/>
        <v>4661</v>
      </c>
      <c r="O257" s="337">
        <f t="shared" si="551"/>
        <v>4661</v>
      </c>
      <c r="P257" s="375">
        <f t="shared" si="557"/>
        <v>4657</v>
      </c>
      <c r="Q257" s="337">
        <f t="shared" si="552"/>
        <v>4657</v>
      </c>
      <c r="R257" s="375">
        <f t="shared" si="558"/>
        <v>4653</v>
      </c>
      <c r="S257" s="337">
        <f t="shared" si="553"/>
        <v>4653</v>
      </c>
      <c r="T257" s="375">
        <f t="shared" si="559"/>
        <v>4648</v>
      </c>
      <c r="U257" s="337">
        <f t="shared" si="560"/>
        <v>4648</v>
      </c>
      <c r="V257" s="375">
        <f t="shared" si="561"/>
        <v>4645</v>
      </c>
      <c r="W257" s="337">
        <f t="shared" si="562"/>
        <v>4645</v>
      </c>
      <c r="X257" s="717"/>
      <c r="Y257" s="723"/>
      <c r="Z257" s="723"/>
      <c r="AA257" s="700"/>
      <c r="AB257" s="534">
        <v>969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95" t="s">
        <v>433</v>
      </c>
      <c r="C258" s="796"/>
      <c r="D258" s="796"/>
      <c r="E258" s="797"/>
      <c r="F258" s="338">
        <v>3990</v>
      </c>
      <c r="G258" s="338">
        <f>+F258*$X$1</f>
        <v>3990</v>
      </c>
      <c r="H258" s="105">
        <f t="shared" si="563"/>
        <v>4250</v>
      </c>
      <c r="I258" s="338">
        <f t="shared" si="564"/>
        <v>4250</v>
      </c>
      <c r="J258" s="93">
        <f t="shared" si="554"/>
        <v>4085</v>
      </c>
      <c r="K258" s="338">
        <f t="shared" si="549"/>
        <v>4085</v>
      </c>
      <c r="L258" s="584">
        <f t="shared" si="555"/>
        <v>4060</v>
      </c>
      <c r="M258" s="338">
        <f t="shared" si="550"/>
        <v>4060</v>
      </c>
      <c r="N258" s="584">
        <f t="shared" si="556"/>
        <v>4049</v>
      </c>
      <c r="O258" s="338">
        <f t="shared" si="551"/>
        <v>4049</v>
      </c>
      <c r="P258" s="584">
        <f t="shared" si="557"/>
        <v>4045</v>
      </c>
      <c r="Q258" s="338">
        <f t="shared" si="552"/>
        <v>4045</v>
      </c>
      <c r="R258" s="584">
        <f t="shared" si="558"/>
        <v>4041</v>
      </c>
      <c r="S258" s="338">
        <f t="shared" si="553"/>
        <v>4041</v>
      </c>
      <c r="T258" s="584">
        <f t="shared" si="559"/>
        <v>4036</v>
      </c>
      <c r="U258" s="338">
        <f t="shared" si="560"/>
        <v>4036</v>
      </c>
      <c r="V258" s="584">
        <f t="shared" si="561"/>
        <v>4033</v>
      </c>
      <c r="W258" s="338">
        <f t="shared" si="562"/>
        <v>4033</v>
      </c>
      <c r="X258" s="234"/>
      <c r="Y258" s="236"/>
      <c r="Z258" s="236"/>
      <c r="AA258" s="235"/>
      <c r="AB258" s="534" t="s">
        <v>530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8" t="s">
        <v>219</v>
      </c>
      <c r="C259" s="709"/>
      <c r="D259" s="709"/>
      <c r="E259" s="709"/>
      <c r="F259" s="337">
        <v>2037</v>
      </c>
      <c r="G259" s="337">
        <f t="shared" si="565"/>
        <v>2037</v>
      </c>
      <c r="H259" s="495">
        <f t="shared" si="563"/>
        <v>2297</v>
      </c>
      <c r="I259" s="337">
        <f t="shared" si="564"/>
        <v>2297</v>
      </c>
      <c r="J259" s="75">
        <f t="shared" si="554"/>
        <v>2132</v>
      </c>
      <c r="K259" s="337">
        <f t="shared" si="549"/>
        <v>2132</v>
      </c>
      <c r="L259" s="375">
        <f t="shared" si="555"/>
        <v>2107</v>
      </c>
      <c r="M259" s="337">
        <f t="shared" si="550"/>
        <v>2107</v>
      </c>
      <c r="N259" s="375">
        <f t="shared" si="556"/>
        <v>2096</v>
      </c>
      <c r="O259" s="337">
        <f t="shared" si="551"/>
        <v>2096</v>
      </c>
      <c r="P259" s="375">
        <f t="shared" si="557"/>
        <v>2092</v>
      </c>
      <c r="Q259" s="337">
        <f t="shared" si="552"/>
        <v>2092</v>
      </c>
      <c r="R259" s="375">
        <f t="shared" si="558"/>
        <v>2088</v>
      </c>
      <c r="S259" s="337">
        <f t="shared" si="553"/>
        <v>2088</v>
      </c>
      <c r="T259" s="375">
        <f t="shared" si="559"/>
        <v>2083</v>
      </c>
      <c r="U259" s="337">
        <f t="shared" si="560"/>
        <v>2083</v>
      </c>
      <c r="V259" s="375">
        <f t="shared" si="561"/>
        <v>2080</v>
      </c>
      <c r="W259" s="337">
        <f t="shared" si="562"/>
        <v>2080</v>
      </c>
      <c r="X259" s="717"/>
      <c r="Y259" s="723"/>
      <c r="Z259" s="723"/>
      <c r="AA259" s="700"/>
      <c r="AB259" s="534">
        <v>970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01" t="s">
        <v>220</v>
      </c>
      <c r="C260" s="688"/>
      <c r="D260" s="688"/>
      <c r="E260" s="688"/>
      <c r="F260" s="338">
        <v>2116</v>
      </c>
      <c r="G260" s="338">
        <f t="shared" si="565"/>
        <v>2116</v>
      </c>
      <c r="H260" s="105">
        <f t="shared" si="563"/>
        <v>2376</v>
      </c>
      <c r="I260" s="338">
        <f t="shared" si="564"/>
        <v>2376</v>
      </c>
      <c r="J260" s="93">
        <f t="shared" si="554"/>
        <v>2211</v>
      </c>
      <c r="K260" s="338">
        <f t="shared" si="549"/>
        <v>2211</v>
      </c>
      <c r="L260" s="584">
        <f t="shared" si="555"/>
        <v>2186</v>
      </c>
      <c r="M260" s="338">
        <f t="shared" si="550"/>
        <v>2186</v>
      </c>
      <c r="N260" s="584">
        <f t="shared" si="556"/>
        <v>2175</v>
      </c>
      <c r="O260" s="338">
        <f t="shared" si="551"/>
        <v>2175</v>
      </c>
      <c r="P260" s="584">
        <f t="shared" si="557"/>
        <v>2171</v>
      </c>
      <c r="Q260" s="338">
        <f t="shared" si="552"/>
        <v>2171</v>
      </c>
      <c r="R260" s="584">
        <f t="shared" si="558"/>
        <v>2167</v>
      </c>
      <c r="S260" s="338">
        <f t="shared" si="553"/>
        <v>2167</v>
      </c>
      <c r="T260" s="584">
        <f t="shared" si="559"/>
        <v>2162</v>
      </c>
      <c r="U260" s="338">
        <f t="shared" si="560"/>
        <v>2162</v>
      </c>
      <c r="V260" s="584">
        <f t="shared" si="561"/>
        <v>2159</v>
      </c>
      <c r="W260" s="338">
        <f t="shared" si="562"/>
        <v>2159</v>
      </c>
      <c r="X260" s="717"/>
      <c r="Y260" s="723"/>
      <c r="Z260" s="723"/>
      <c r="AA260" s="700"/>
      <c r="AB260" s="534">
        <v>971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3" t="s">
        <v>434</v>
      </c>
      <c r="C261" s="706"/>
      <c r="D261" s="706"/>
      <c r="E261" s="707"/>
      <c r="F261" s="337">
        <v>1980</v>
      </c>
      <c r="G261" s="337">
        <f t="shared" ref="G261" si="566">+F261*$X$1</f>
        <v>1980</v>
      </c>
      <c r="H261" s="495">
        <f t="shared" si="563"/>
        <v>2240</v>
      </c>
      <c r="I261" s="337">
        <f t="shared" si="564"/>
        <v>2240</v>
      </c>
      <c r="J261" s="75">
        <f t="shared" si="554"/>
        <v>2075</v>
      </c>
      <c r="K261" s="337">
        <f t="shared" si="549"/>
        <v>2075</v>
      </c>
      <c r="L261" s="375">
        <f t="shared" si="555"/>
        <v>2050</v>
      </c>
      <c r="M261" s="337">
        <f t="shared" si="550"/>
        <v>2050</v>
      </c>
      <c r="N261" s="375">
        <f t="shared" si="556"/>
        <v>2039</v>
      </c>
      <c r="O261" s="337">
        <f t="shared" si="551"/>
        <v>2039</v>
      </c>
      <c r="P261" s="375">
        <f t="shared" si="557"/>
        <v>2035</v>
      </c>
      <c r="Q261" s="337">
        <f t="shared" si="552"/>
        <v>2035</v>
      </c>
      <c r="R261" s="375">
        <f t="shared" si="558"/>
        <v>2031</v>
      </c>
      <c r="S261" s="337">
        <f t="shared" si="553"/>
        <v>2031</v>
      </c>
      <c r="T261" s="375">
        <f t="shared" si="559"/>
        <v>2026</v>
      </c>
      <c r="U261" s="337">
        <f t="shared" si="560"/>
        <v>2026</v>
      </c>
      <c r="V261" s="375">
        <f t="shared" si="561"/>
        <v>2023</v>
      </c>
      <c r="W261" s="337">
        <f t="shared" si="562"/>
        <v>2023</v>
      </c>
      <c r="X261" s="167"/>
      <c r="Y261" s="168"/>
      <c r="Z261" s="168"/>
      <c r="AA261" s="169"/>
      <c r="AB261" s="534">
        <v>972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1" t="s">
        <v>221</v>
      </c>
      <c r="C262" s="688"/>
      <c r="D262" s="688"/>
      <c r="E262" s="688"/>
      <c r="F262" s="97"/>
      <c r="G262" s="563"/>
      <c r="H262" s="327"/>
      <c r="I262" s="327"/>
      <c r="J262" s="93"/>
      <c r="K262" s="97"/>
      <c r="L262" s="97"/>
      <c r="M262" s="97"/>
      <c r="N262" s="97"/>
      <c r="O262" s="584"/>
      <c r="P262" s="584"/>
      <c r="Q262" s="584"/>
      <c r="R262" s="584"/>
      <c r="S262" s="584"/>
      <c r="T262" s="584"/>
      <c r="U262" s="584"/>
      <c r="V262" s="584"/>
      <c r="W262" s="584"/>
      <c r="X262" s="710"/>
      <c r="Y262" s="711"/>
      <c r="Z262" s="711"/>
      <c r="AA262" s="712"/>
      <c r="AB262" s="208">
        <v>980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8" t="s">
        <v>222</v>
      </c>
      <c r="C263" s="751"/>
      <c r="D263" s="751"/>
      <c r="E263" s="751"/>
      <c r="F263" s="108"/>
      <c r="G263" s="375"/>
      <c r="H263" s="328"/>
      <c r="I263" s="328"/>
      <c r="J263" s="75"/>
      <c r="K263" s="331"/>
      <c r="L263" s="331"/>
      <c r="M263" s="331"/>
      <c r="N263" s="331"/>
      <c r="O263" s="375"/>
      <c r="P263" s="375"/>
      <c r="Q263" s="375"/>
      <c r="R263" s="375"/>
      <c r="S263" s="375"/>
      <c r="T263" s="375"/>
      <c r="U263" s="375"/>
      <c r="V263" s="375"/>
      <c r="W263" s="375"/>
      <c r="X263" s="710"/>
      <c r="Y263" s="711"/>
      <c r="Z263" s="711"/>
      <c r="AA263" s="712"/>
      <c r="AB263" s="208">
        <v>981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95" t="s">
        <v>547</v>
      </c>
      <c r="C264" s="904"/>
      <c r="D264" s="904"/>
      <c r="E264" s="905"/>
      <c r="F264" s="107"/>
      <c r="G264" s="563"/>
      <c r="H264" s="327"/>
      <c r="I264" s="327"/>
      <c r="J264" s="93"/>
      <c r="K264" s="97"/>
      <c r="L264" s="97"/>
      <c r="M264" s="97"/>
      <c r="N264" s="97"/>
      <c r="O264" s="584"/>
      <c r="P264" s="584"/>
      <c r="Q264" s="584"/>
      <c r="R264" s="584"/>
      <c r="S264" s="584"/>
      <c r="T264" s="584"/>
      <c r="U264" s="584"/>
      <c r="V264" s="584"/>
      <c r="W264" s="584"/>
      <c r="X264" s="710"/>
      <c r="Y264" s="711"/>
      <c r="Z264" s="711"/>
      <c r="AA264" s="712"/>
      <c r="AB264" s="208">
        <v>982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3" t="s">
        <v>584</v>
      </c>
      <c r="C265" s="749"/>
      <c r="D265" s="749"/>
      <c r="E265" s="750"/>
      <c r="F265" s="108"/>
      <c r="G265" s="375"/>
      <c r="H265" s="333"/>
      <c r="I265" s="328"/>
      <c r="J265" s="75"/>
      <c r="K265" s="331"/>
      <c r="L265" s="331"/>
      <c r="M265" s="331"/>
      <c r="N265" s="331"/>
      <c r="O265" s="375"/>
      <c r="P265" s="375"/>
      <c r="Q265" s="375"/>
      <c r="R265" s="375"/>
      <c r="S265" s="375"/>
      <c r="T265" s="375"/>
      <c r="U265" s="375"/>
      <c r="V265" s="375"/>
      <c r="W265" s="375"/>
      <c r="X265" s="710"/>
      <c r="Y265" s="711"/>
      <c r="Z265" s="711"/>
      <c r="AA265" s="712"/>
      <c r="AB265" s="208">
        <v>983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95" t="s">
        <v>223</v>
      </c>
      <c r="C266" s="904"/>
      <c r="D266" s="904"/>
      <c r="E266" s="905"/>
      <c r="F266" s="97"/>
      <c r="G266" s="563"/>
      <c r="H266" s="327"/>
      <c r="I266" s="327"/>
      <c r="J266" s="93"/>
      <c r="K266" s="97"/>
      <c r="L266" s="97"/>
      <c r="M266" s="97"/>
      <c r="N266" s="97"/>
      <c r="O266" s="584"/>
      <c r="P266" s="584"/>
      <c r="Q266" s="584"/>
      <c r="R266" s="584"/>
      <c r="S266" s="584"/>
      <c r="T266" s="584"/>
      <c r="U266" s="584"/>
      <c r="V266" s="584"/>
      <c r="W266" s="584"/>
      <c r="X266" s="710"/>
      <c r="Y266" s="711"/>
      <c r="Z266" s="711"/>
      <c r="AA266" s="712"/>
      <c r="AB266" s="208">
        <v>984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3" t="s">
        <v>224</v>
      </c>
      <c r="C267" s="749"/>
      <c r="D267" s="749"/>
      <c r="E267" s="750"/>
      <c r="F267" s="367"/>
      <c r="G267" s="375"/>
      <c r="H267" s="333"/>
      <c r="I267" s="328"/>
      <c r="J267" s="75"/>
      <c r="K267" s="331"/>
      <c r="L267" s="331"/>
      <c r="M267" s="331"/>
      <c r="N267" s="331"/>
      <c r="O267" s="375"/>
      <c r="P267" s="375"/>
      <c r="Q267" s="375"/>
      <c r="R267" s="375"/>
      <c r="S267" s="375"/>
      <c r="T267" s="375"/>
      <c r="U267" s="375"/>
      <c r="V267" s="375"/>
      <c r="W267" s="375"/>
      <c r="X267" s="710"/>
      <c r="Y267" s="711"/>
      <c r="Z267" s="711"/>
      <c r="AA267" s="712"/>
      <c r="AB267" s="208">
        <v>985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1" t="s">
        <v>438</v>
      </c>
      <c r="C268" s="688"/>
      <c r="D268" s="688"/>
      <c r="E268" s="688"/>
      <c r="F268" s="338">
        <v>335</v>
      </c>
      <c r="G268" s="338">
        <f>+F268*$X$1</f>
        <v>335</v>
      </c>
      <c r="H268" s="327"/>
      <c r="I268" s="327"/>
      <c r="J268" s="584">
        <f>F268+120</f>
        <v>455</v>
      </c>
      <c r="K268" s="338">
        <f t="shared" ref="K268" si="567">+J268*$X$1</f>
        <v>455</v>
      </c>
      <c r="L268" s="584">
        <f>F268+74</f>
        <v>409</v>
      </c>
      <c r="M268" s="338">
        <f t="shared" ref="M268" si="568">+L268*$X$1</f>
        <v>409</v>
      </c>
      <c r="N268" s="584">
        <f>F268+46</f>
        <v>381</v>
      </c>
      <c r="O268" s="338">
        <f t="shared" ref="O268" si="569">+N268*$X$1</f>
        <v>381</v>
      </c>
      <c r="P268" s="584">
        <f>F268+42</f>
        <v>377</v>
      </c>
      <c r="Q268" s="338">
        <f t="shared" ref="Q268" si="570">+P268*$X$1</f>
        <v>377</v>
      </c>
      <c r="R268" s="584">
        <f>F268+35</f>
        <v>370</v>
      </c>
      <c r="S268" s="338">
        <f t="shared" ref="S268" si="571">+R268*$X$1</f>
        <v>370</v>
      </c>
      <c r="T268" s="107">
        <f>F268+29</f>
        <v>364</v>
      </c>
      <c r="U268" s="363">
        <f t="shared" ref="U268" si="572">+T268*$X$1</f>
        <v>364</v>
      </c>
      <c r="V268" s="107">
        <f>F268+24</f>
        <v>359</v>
      </c>
      <c r="W268" s="363">
        <f t="shared" ref="W268" si="573">+V268*$X$1</f>
        <v>359</v>
      </c>
      <c r="X268" s="162"/>
      <c r="Y268" s="162"/>
      <c r="Z268" s="162"/>
      <c r="AA268" s="162"/>
      <c r="AB268" s="208">
        <v>998</v>
      </c>
      <c r="AC268" s="79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3" t="s">
        <v>225</v>
      </c>
      <c r="C269" s="752"/>
      <c r="D269" s="752"/>
      <c r="E269" s="753"/>
      <c r="F269" s="337">
        <v>1100</v>
      </c>
      <c r="G269" s="364">
        <f t="shared" ref="G269" si="574">+F269*$X$1</f>
        <v>1100</v>
      </c>
      <c r="H269" s="763" t="s">
        <v>462</v>
      </c>
      <c r="I269" s="764"/>
      <c r="J269" s="764"/>
      <c r="K269" s="764"/>
      <c r="L269" s="764"/>
      <c r="M269" s="765"/>
      <c r="N269" s="495">
        <f>F269+59</f>
        <v>1159</v>
      </c>
      <c r="O269" s="337">
        <f t="shared" ref="O269:O273" si="575">+N269*$X$1</f>
        <v>1159</v>
      </c>
      <c r="P269" s="375">
        <f>F269+55</f>
        <v>1155</v>
      </c>
      <c r="Q269" s="337">
        <f t="shared" ref="Q269:Q273" si="576">+P269*$X$1</f>
        <v>1155</v>
      </c>
      <c r="R269" s="375">
        <f>F269+51</f>
        <v>1151</v>
      </c>
      <c r="S269" s="337">
        <f t="shared" ref="S269:S273" si="577">+R269*$X$1</f>
        <v>1151</v>
      </c>
      <c r="T269" s="375">
        <f>F269+46</f>
        <v>1146</v>
      </c>
      <c r="U269" s="337">
        <f t="shared" ref="U269:U273" si="578">+T269*$X$1</f>
        <v>1146</v>
      </c>
      <c r="V269" s="375">
        <f>F269+43</f>
        <v>1143</v>
      </c>
      <c r="W269" s="337">
        <f t="shared" ref="W269:W273" si="579">+V269*$X$1</f>
        <v>1143</v>
      </c>
      <c r="X269" s="717"/>
      <c r="Y269" s="699"/>
      <c r="Z269" s="699"/>
      <c r="AA269" s="700"/>
      <c r="AB269" s="208">
        <v>1001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95" t="s">
        <v>226</v>
      </c>
      <c r="C270" s="907"/>
      <c r="D270" s="907"/>
      <c r="E270" s="908"/>
      <c r="F270" s="380">
        <v>1100</v>
      </c>
      <c r="G270" s="338">
        <f t="shared" ref="G270:G279" si="580">+F270*$X$1</f>
        <v>1100</v>
      </c>
      <c r="H270" s="766"/>
      <c r="I270" s="767"/>
      <c r="J270" s="767"/>
      <c r="K270" s="764"/>
      <c r="L270" s="767"/>
      <c r="M270" s="765"/>
      <c r="N270" s="105">
        <f>F270+59</f>
        <v>1159</v>
      </c>
      <c r="O270" s="338">
        <f t="shared" si="575"/>
        <v>1159</v>
      </c>
      <c r="P270" s="584">
        <f>F270+55</f>
        <v>1155</v>
      </c>
      <c r="Q270" s="338">
        <f t="shared" si="576"/>
        <v>1155</v>
      </c>
      <c r="R270" s="584">
        <f>F270+51</f>
        <v>1151</v>
      </c>
      <c r="S270" s="338">
        <f t="shared" si="577"/>
        <v>1151</v>
      </c>
      <c r="T270" s="584">
        <f>F270+46</f>
        <v>1146</v>
      </c>
      <c r="U270" s="338">
        <f t="shared" si="578"/>
        <v>1146</v>
      </c>
      <c r="V270" s="584">
        <f>F270+43</f>
        <v>1143</v>
      </c>
      <c r="W270" s="338">
        <f t="shared" si="579"/>
        <v>1143</v>
      </c>
      <c r="X270" s="717"/>
      <c r="Y270" s="699"/>
      <c r="Z270" s="699"/>
      <c r="AA270" s="700"/>
      <c r="AB270" s="208">
        <v>1002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3" t="s">
        <v>741</v>
      </c>
      <c r="C271" s="752"/>
      <c r="D271" s="752"/>
      <c r="E271" s="753"/>
      <c r="F271" s="337">
        <v>1100</v>
      </c>
      <c r="G271" s="337">
        <f t="shared" si="580"/>
        <v>1100</v>
      </c>
      <c r="H271" s="766"/>
      <c r="I271" s="767"/>
      <c r="J271" s="767"/>
      <c r="K271" s="764"/>
      <c r="L271" s="767"/>
      <c r="M271" s="765"/>
      <c r="N271" s="495">
        <f>F271+59</f>
        <v>1159</v>
      </c>
      <c r="O271" s="337">
        <f t="shared" si="575"/>
        <v>1159</v>
      </c>
      <c r="P271" s="375">
        <f>F271+55</f>
        <v>1155</v>
      </c>
      <c r="Q271" s="337">
        <f t="shared" si="576"/>
        <v>1155</v>
      </c>
      <c r="R271" s="375">
        <f>F271+51</f>
        <v>1151</v>
      </c>
      <c r="S271" s="337">
        <f t="shared" si="577"/>
        <v>1151</v>
      </c>
      <c r="T271" s="375">
        <f>F271+46</f>
        <v>1146</v>
      </c>
      <c r="U271" s="337">
        <f t="shared" si="578"/>
        <v>1146</v>
      </c>
      <c r="V271" s="375">
        <f>F271+43</f>
        <v>1143</v>
      </c>
      <c r="W271" s="337">
        <f t="shared" si="579"/>
        <v>1143</v>
      </c>
      <c r="X271" s="717"/>
      <c r="Y271" s="699"/>
      <c r="Z271" s="699"/>
      <c r="AA271" s="700"/>
      <c r="AB271" s="208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01" t="s">
        <v>812</v>
      </c>
      <c r="C272" s="688"/>
      <c r="D272" s="688"/>
      <c r="E272" s="688"/>
      <c r="F272" s="338">
        <v>1300</v>
      </c>
      <c r="G272" s="338">
        <f t="shared" si="580"/>
        <v>1300</v>
      </c>
      <c r="H272" s="766"/>
      <c r="I272" s="767"/>
      <c r="J272" s="767"/>
      <c r="K272" s="764"/>
      <c r="L272" s="767"/>
      <c r="M272" s="765"/>
      <c r="N272" s="105">
        <f>F272+59</f>
        <v>1359</v>
      </c>
      <c r="O272" s="338">
        <f t="shared" si="575"/>
        <v>1359</v>
      </c>
      <c r="P272" s="584">
        <f>F272+55</f>
        <v>1355</v>
      </c>
      <c r="Q272" s="338">
        <f t="shared" si="576"/>
        <v>1355</v>
      </c>
      <c r="R272" s="584">
        <f>F272+51</f>
        <v>1351</v>
      </c>
      <c r="S272" s="338">
        <f t="shared" si="577"/>
        <v>1351</v>
      </c>
      <c r="T272" s="584">
        <f>F272+46</f>
        <v>1346</v>
      </c>
      <c r="U272" s="338">
        <f t="shared" si="578"/>
        <v>1346</v>
      </c>
      <c r="V272" s="584">
        <f>F272+43</f>
        <v>1343</v>
      </c>
      <c r="W272" s="338">
        <f t="shared" si="579"/>
        <v>1343</v>
      </c>
      <c r="X272" s="717"/>
      <c r="Y272" s="723"/>
      <c r="Z272" s="723"/>
      <c r="AA272" s="700"/>
      <c r="AB272" s="208">
        <v>1004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3" t="s">
        <v>811</v>
      </c>
      <c r="C273" s="752"/>
      <c r="D273" s="752"/>
      <c r="E273" s="753"/>
      <c r="F273" s="337">
        <v>1300</v>
      </c>
      <c r="G273" s="337">
        <f t="shared" si="580"/>
        <v>1300</v>
      </c>
      <c r="H273" s="766"/>
      <c r="I273" s="767"/>
      <c r="J273" s="767"/>
      <c r="K273" s="764"/>
      <c r="L273" s="767"/>
      <c r="M273" s="765"/>
      <c r="N273" s="495">
        <f>F273+59</f>
        <v>1359</v>
      </c>
      <c r="O273" s="337">
        <f t="shared" si="575"/>
        <v>1359</v>
      </c>
      <c r="P273" s="375">
        <f>F273+55</f>
        <v>1355</v>
      </c>
      <c r="Q273" s="337">
        <f t="shared" si="576"/>
        <v>1355</v>
      </c>
      <c r="R273" s="375">
        <f>F273+51</f>
        <v>1351</v>
      </c>
      <c r="S273" s="337">
        <f t="shared" si="577"/>
        <v>1351</v>
      </c>
      <c r="T273" s="375">
        <f>F273+46</f>
        <v>1346</v>
      </c>
      <c r="U273" s="337">
        <f t="shared" si="578"/>
        <v>1346</v>
      </c>
      <c r="V273" s="375">
        <f>F273+43</f>
        <v>1343</v>
      </c>
      <c r="W273" s="337">
        <f t="shared" si="579"/>
        <v>1343</v>
      </c>
      <c r="X273" s="717"/>
      <c r="Y273" s="699"/>
      <c r="Z273" s="699"/>
      <c r="AA273" s="700"/>
      <c r="AB273" s="208">
        <v>1005</v>
      </c>
      <c r="AC273" s="4"/>
      <c r="AD273" s="4"/>
      <c r="AE273" s="4"/>
      <c r="AF273" s="4"/>
      <c r="AG273" s="4"/>
      <c r="AH273" s="138"/>
      <c r="AI273" s="4"/>
      <c r="AJ273" s="4"/>
      <c r="AK273" s="4"/>
      <c r="AL273" s="4"/>
    </row>
    <row r="274" spans="1:38" s="1" customFormat="1" ht="12.6" customHeight="1" x14ac:dyDescent="0.2">
      <c r="A274" s="21"/>
      <c r="B274" s="795" t="s">
        <v>227</v>
      </c>
      <c r="C274" s="796"/>
      <c r="D274" s="796"/>
      <c r="E274" s="797"/>
      <c r="F274" s="338"/>
      <c r="G274" s="338"/>
      <c r="H274" s="768"/>
      <c r="I274" s="769"/>
      <c r="J274" s="769"/>
      <c r="K274" s="769"/>
      <c r="L274" s="769"/>
      <c r="M274" s="770"/>
      <c r="N274" s="468"/>
      <c r="O274" s="338"/>
      <c r="P274" s="468"/>
      <c r="Q274" s="338"/>
      <c r="R274" s="468"/>
      <c r="S274" s="338"/>
      <c r="T274" s="468"/>
      <c r="U274" s="338"/>
      <c r="V274" s="468"/>
      <c r="W274" s="338"/>
      <c r="X274" s="717"/>
      <c r="Y274" s="699"/>
      <c r="Z274" s="699"/>
      <c r="AA274" s="700"/>
      <c r="AB274" s="208">
        <v>1006</v>
      </c>
      <c r="AC274" s="4"/>
      <c r="AD274" s="4"/>
      <c r="AE274" s="4"/>
      <c r="AF274" s="4"/>
      <c r="AG274" s="4"/>
      <c r="AH274" s="138"/>
      <c r="AI274" s="4"/>
      <c r="AJ274" s="4"/>
      <c r="AK274" s="4"/>
      <c r="AL274" s="4"/>
    </row>
    <row r="275" spans="1:38" s="1" customFormat="1" ht="12.6" customHeight="1" x14ac:dyDescent="0.2">
      <c r="A275" s="21"/>
      <c r="B275" s="678" t="s">
        <v>905</v>
      </c>
      <c r="C275" s="679"/>
      <c r="D275" s="679"/>
      <c r="E275" s="680"/>
      <c r="F275" s="480">
        <f>2.8*X2</f>
        <v>2587.1999999999998</v>
      </c>
      <c r="G275" s="339">
        <f t="shared" ref="G275" si="581">+F275*$X$1</f>
        <v>2587.1999999999998</v>
      </c>
      <c r="H275" s="75">
        <f>F275+300</f>
        <v>2887.2</v>
      </c>
      <c r="I275" s="337">
        <f t="shared" ref="I275" si="582">+H275*$X$1</f>
        <v>2887.2</v>
      </c>
      <c r="J275" s="375">
        <f>F275+120</f>
        <v>2707.2</v>
      </c>
      <c r="K275" s="337">
        <f>+J275*$X$1</f>
        <v>2707.2</v>
      </c>
      <c r="L275" s="375">
        <f>F275+90</f>
        <v>2677.2</v>
      </c>
      <c r="M275" s="337">
        <f>+L275*$X$1</f>
        <v>2677.2</v>
      </c>
      <c r="N275" s="75">
        <f>F275+77</f>
        <v>2664.2</v>
      </c>
      <c r="O275" s="337">
        <f t="shared" ref="O275" si="583">+N275*$X$1</f>
        <v>2664.2</v>
      </c>
      <c r="P275" s="75">
        <f>F275+68</f>
        <v>2655.2</v>
      </c>
      <c r="Q275" s="337">
        <f t="shared" ref="Q275" si="584">+P275*$X$1</f>
        <v>2655.2</v>
      </c>
      <c r="R275" s="375">
        <f>F275+62</f>
        <v>2649.2</v>
      </c>
      <c r="S275" s="337">
        <f t="shared" ref="S275" si="585">+R275*$X$1</f>
        <v>2649.2</v>
      </c>
      <c r="T275" s="375">
        <f>F275+55</f>
        <v>2642.2</v>
      </c>
      <c r="U275" s="337">
        <f t="shared" ref="U275" si="586">+T275*$X$1</f>
        <v>2642.2</v>
      </c>
      <c r="V275" s="375">
        <f>F275+50</f>
        <v>2637.2</v>
      </c>
      <c r="W275" s="337">
        <f t="shared" ref="W275" si="587">+V275*$X$1</f>
        <v>2637.2</v>
      </c>
      <c r="X275" s="672"/>
      <c r="Y275" s="670"/>
      <c r="Z275" s="670"/>
      <c r="AA275" s="671"/>
      <c r="AB275" s="208">
        <v>1026</v>
      </c>
      <c r="AC275" s="4"/>
      <c r="AD275" s="4"/>
      <c r="AE275" s="4"/>
      <c r="AF275" s="4"/>
      <c r="AG275" s="4"/>
      <c r="AH275" s="138"/>
      <c r="AI275" s="4"/>
      <c r="AJ275" s="4"/>
      <c r="AK275" s="4"/>
      <c r="AL275" s="4"/>
    </row>
    <row r="276" spans="1:38" s="1" customFormat="1" ht="12.6" customHeight="1" x14ac:dyDescent="0.2">
      <c r="A276" s="21"/>
      <c r="B276" s="795" t="s">
        <v>810</v>
      </c>
      <c r="C276" s="796"/>
      <c r="D276" s="796"/>
      <c r="E276" s="797"/>
      <c r="F276" s="479">
        <f>3.528*X2</f>
        <v>3259.8719999999998</v>
      </c>
      <c r="G276" s="340">
        <f t="shared" ref="G276" si="588">+F276*$X$1</f>
        <v>3259.8719999999998</v>
      </c>
      <c r="H276" s="93">
        <f>F276+300</f>
        <v>3559.8719999999998</v>
      </c>
      <c r="I276" s="338">
        <f t="shared" ref="I276:I277" si="589">+H276*$X$1</f>
        <v>3559.8719999999998</v>
      </c>
      <c r="J276" s="673">
        <f>F276+120</f>
        <v>3379.8719999999998</v>
      </c>
      <c r="K276" s="338">
        <f>+J276*$X$1</f>
        <v>3379.8719999999998</v>
      </c>
      <c r="L276" s="673">
        <f>F276+90</f>
        <v>3349.8719999999998</v>
      </c>
      <c r="M276" s="338">
        <f>+L276*$X$1</f>
        <v>3349.8719999999998</v>
      </c>
      <c r="N276" s="93">
        <f>F276+77</f>
        <v>3336.8719999999998</v>
      </c>
      <c r="O276" s="338">
        <f t="shared" ref="O276:O278" si="590">+N276*$X$1</f>
        <v>3336.8719999999998</v>
      </c>
      <c r="P276" s="93">
        <f>F276+68</f>
        <v>3327.8719999999998</v>
      </c>
      <c r="Q276" s="338">
        <f t="shared" ref="Q276:Q278" si="591">+P276*$X$1</f>
        <v>3327.8719999999998</v>
      </c>
      <c r="R276" s="673">
        <f>F276+62</f>
        <v>3321.8719999999998</v>
      </c>
      <c r="S276" s="338">
        <f t="shared" ref="S276:S278" si="592">+R276*$X$1</f>
        <v>3321.8719999999998</v>
      </c>
      <c r="T276" s="673">
        <f>F276+55</f>
        <v>3314.8719999999998</v>
      </c>
      <c r="U276" s="338">
        <f t="shared" ref="U276:U278" si="593">+T276*$X$1</f>
        <v>3314.8719999999998</v>
      </c>
      <c r="V276" s="673">
        <f>F276+50</f>
        <v>3309.8719999999998</v>
      </c>
      <c r="W276" s="338">
        <f t="shared" ref="W276:W279" si="594">+V276*$X$1</f>
        <v>3309.8719999999998</v>
      </c>
      <c r="X276" s="583"/>
      <c r="Y276" s="581"/>
      <c r="Z276" s="581"/>
      <c r="AA276" s="582"/>
      <c r="AB276" s="208">
        <v>1027</v>
      </c>
      <c r="AC276" s="4"/>
      <c r="AD276" s="4"/>
      <c r="AE276" s="4"/>
      <c r="AF276" s="4"/>
      <c r="AG276" s="4"/>
      <c r="AH276" s="138"/>
      <c r="AI276" s="4"/>
      <c r="AJ276" s="4"/>
      <c r="AK276" s="4"/>
      <c r="AL276" s="4"/>
    </row>
    <row r="277" spans="1:38" s="1" customFormat="1" ht="12.6" customHeight="1" x14ac:dyDescent="0.2">
      <c r="A277" s="21"/>
      <c r="B277" s="703" t="s">
        <v>690</v>
      </c>
      <c r="C277" s="706"/>
      <c r="D277" s="706"/>
      <c r="E277" s="707"/>
      <c r="F277" s="480">
        <f>15.248*X2</f>
        <v>14089.152</v>
      </c>
      <c r="G277" s="339">
        <f t="shared" si="580"/>
        <v>14089.152</v>
      </c>
      <c r="H277" s="75">
        <f>F277+280</f>
        <v>14369.152</v>
      </c>
      <c r="I277" s="337">
        <f t="shared" si="589"/>
        <v>14369.152</v>
      </c>
      <c r="J277" s="375">
        <f>F277+110</f>
        <v>14199.152</v>
      </c>
      <c r="K277" s="337">
        <f t="shared" ref="K277" si="595">+J277*$X$1</f>
        <v>14199.152</v>
      </c>
      <c r="L277" s="375">
        <f>F277+80</f>
        <v>14169.152</v>
      </c>
      <c r="M277" s="337">
        <f t="shared" ref="M277" si="596">+L277*$X$1</f>
        <v>14169.152</v>
      </c>
      <c r="N277" s="375">
        <f>F277+67</f>
        <v>14156.152</v>
      </c>
      <c r="O277" s="337">
        <f t="shared" si="590"/>
        <v>14156.152</v>
      </c>
      <c r="P277" s="375">
        <f>F277+62</f>
        <v>14151.152</v>
      </c>
      <c r="Q277" s="337">
        <f t="shared" si="591"/>
        <v>14151.152</v>
      </c>
      <c r="R277" s="375">
        <f>F277+58</f>
        <v>14147.152</v>
      </c>
      <c r="S277" s="337">
        <f t="shared" si="592"/>
        <v>14147.152</v>
      </c>
      <c r="T277" s="375">
        <f>F277+53</f>
        <v>14142.152</v>
      </c>
      <c r="U277" s="337">
        <f t="shared" si="593"/>
        <v>14142.152</v>
      </c>
      <c r="V277" s="375">
        <f>F277+47</f>
        <v>14136.152</v>
      </c>
      <c r="W277" s="337">
        <f t="shared" si="594"/>
        <v>14136.152</v>
      </c>
      <c r="X277" s="399"/>
      <c r="Y277" s="400"/>
      <c r="Z277" s="400"/>
      <c r="AA277" s="401"/>
      <c r="AB277" s="208">
        <v>1028</v>
      </c>
      <c r="AC277" s="4"/>
      <c r="AD277" s="4"/>
      <c r="AE277" s="4"/>
      <c r="AF277" s="4"/>
      <c r="AG277" s="4"/>
      <c r="AH277" s="138"/>
      <c r="AI277" s="4"/>
      <c r="AJ277" s="4"/>
      <c r="AK277" s="4"/>
      <c r="AL277" s="4"/>
    </row>
    <row r="278" spans="1:38" s="1" customFormat="1" ht="12.6" customHeight="1" x14ac:dyDescent="0.2">
      <c r="A278" s="21"/>
      <c r="B278" s="795" t="s">
        <v>687</v>
      </c>
      <c r="C278" s="796"/>
      <c r="D278" s="796"/>
      <c r="E278" s="797"/>
      <c r="F278" s="338">
        <v>2960</v>
      </c>
      <c r="G278" s="338">
        <f t="shared" ref="G278" si="597">+F278*$X$1</f>
        <v>2960</v>
      </c>
      <c r="H278" s="93"/>
      <c r="I278" s="338"/>
      <c r="J278" s="673"/>
      <c r="K278" s="338"/>
      <c r="L278" s="673">
        <f>F278+90</f>
        <v>3050</v>
      </c>
      <c r="M278" s="338">
        <f>+L278*$X$1</f>
        <v>3050</v>
      </c>
      <c r="N278" s="93">
        <f>F278+77</f>
        <v>3037</v>
      </c>
      <c r="O278" s="338">
        <f t="shared" si="590"/>
        <v>3037</v>
      </c>
      <c r="P278" s="93">
        <f>F278+68</f>
        <v>3028</v>
      </c>
      <c r="Q278" s="338">
        <f t="shared" si="591"/>
        <v>3028</v>
      </c>
      <c r="R278" s="673">
        <f>F278+62</f>
        <v>3022</v>
      </c>
      <c r="S278" s="338">
        <f t="shared" si="592"/>
        <v>3022</v>
      </c>
      <c r="T278" s="673">
        <f>F278+55</f>
        <v>3015</v>
      </c>
      <c r="U278" s="338">
        <f t="shared" si="593"/>
        <v>3015</v>
      </c>
      <c r="V278" s="673">
        <f>F278+50</f>
        <v>3010</v>
      </c>
      <c r="W278" s="338">
        <f t="shared" si="594"/>
        <v>3010</v>
      </c>
      <c r="X278" s="465"/>
      <c r="Y278" s="466"/>
      <c r="Z278" s="466"/>
      <c r="AA278" s="467"/>
      <c r="AB278" s="208">
        <v>1029</v>
      </c>
      <c r="AC278" s="4"/>
      <c r="AD278" s="4"/>
      <c r="AE278" s="4"/>
      <c r="AF278" s="4"/>
      <c r="AG278" s="4"/>
      <c r="AH278" s="138"/>
      <c r="AI278" s="4"/>
      <c r="AJ278" s="4"/>
      <c r="AK278" s="4"/>
      <c r="AL278" s="4"/>
    </row>
    <row r="279" spans="1:38" s="1" customFormat="1" ht="12.6" customHeight="1" x14ac:dyDescent="0.2">
      <c r="A279" s="21"/>
      <c r="B279" s="703" t="s">
        <v>688</v>
      </c>
      <c r="C279" s="706"/>
      <c r="D279" s="706"/>
      <c r="E279" s="707"/>
      <c r="F279" s="337">
        <v>2960</v>
      </c>
      <c r="G279" s="337">
        <f t="shared" si="580"/>
        <v>2960</v>
      </c>
      <c r="H279" s="75"/>
      <c r="I279" s="337"/>
      <c r="J279" s="375"/>
      <c r="K279" s="337"/>
      <c r="L279" s="375">
        <f>F279+90</f>
        <v>3050</v>
      </c>
      <c r="M279" s="337">
        <f>+L279*$X$1</f>
        <v>3050</v>
      </c>
      <c r="N279" s="75">
        <f>F279+77</f>
        <v>3037</v>
      </c>
      <c r="O279" s="337">
        <f t="shared" ref="O279" si="598">+N279*$X$1</f>
        <v>3037</v>
      </c>
      <c r="P279" s="75">
        <f>F279+68</f>
        <v>3028</v>
      </c>
      <c r="Q279" s="337">
        <f t="shared" ref="Q279" si="599">+P279*$X$1</f>
        <v>3028</v>
      </c>
      <c r="R279" s="375">
        <f>F279+62</f>
        <v>3022</v>
      </c>
      <c r="S279" s="337">
        <f t="shared" ref="S279" si="600">+R279*$X$1</f>
        <v>3022</v>
      </c>
      <c r="T279" s="375">
        <f>F279+55</f>
        <v>3015</v>
      </c>
      <c r="U279" s="337">
        <f t="shared" ref="U279" si="601">+T279*$X$1</f>
        <v>3015</v>
      </c>
      <c r="V279" s="375">
        <f>F279+50</f>
        <v>3010</v>
      </c>
      <c r="W279" s="337">
        <f t="shared" si="594"/>
        <v>3010</v>
      </c>
      <c r="X279" s="387"/>
      <c r="Y279" s="385"/>
      <c r="Z279" s="385"/>
      <c r="AA279" s="386"/>
      <c r="AB279" s="208">
        <v>1030</v>
      </c>
      <c r="AC279" s="4"/>
      <c r="AD279" s="4"/>
      <c r="AE279" s="4"/>
      <c r="AF279" s="4"/>
      <c r="AG279" s="4"/>
      <c r="AH279" s="138"/>
      <c r="AI279" s="4"/>
      <c r="AJ279" s="4"/>
      <c r="AK279" s="4"/>
      <c r="AL279" s="4"/>
    </row>
    <row r="280" spans="1:38" s="1" customFormat="1" ht="12.6" customHeight="1" x14ac:dyDescent="0.2">
      <c r="A280" s="21"/>
      <c r="B280" s="795" t="s">
        <v>689</v>
      </c>
      <c r="C280" s="796"/>
      <c r="D280" s="796"/>
      <c r="E280" s="797"/>
      <c r="F280" s="338">
        <v>2960</v>
      </c>
      <c r="G280" s="338">
        <f t="shared" ref="G280" si="602">+F280*$X$1</f>
        <v>2960</v>
      </c>
      <c r="H280" s="93"/>
      <c r="I280" s="338"/>
      <c r="J280" s="673"/>
      <c r="K280" s="338"/>
      <c r="L280" s="673">
        <f>F280+90</f>
        <v>3050</v>
      </c>
      <c r="M280" s="338">
        <f>+L280*$X$1</f>
        <v>3050</v>
      </c>
      <c r="N280" s="93">
        <f>F280+77</f>
        <v>3037</v>
      </c>
      <c r="O280" s="338">
        <f t="shared" ref="O280:O282" si="603">+N280*$X$1</f>
        <v>3037</v>
      </c>
      <c r="P280" s="93">
        <f>F280+68</f>
        <v>3028</v>
      </c>
      <c r="Q280" s="338">
        <f t="shared" ref="Q280:Q282" si="604">+P280*$X$1</f>
        <v>3028</v>
      </c>
      <c r="R280" s="673">
        <f>F280+62</f>
        <v>3022</v>
      </c>
      <c r="S280" s="338">
        <f t="shared" ref="S280:S282" si="605">+R280*$X$1</f>
        <v>3022</v>
      </c>
      <c r="T280" s="673">
        <f>F280+55</f>
        <v>3015</v>
      </c>
      <c r="U280" s="338">
        <f t="shared" ref="U280:U282" si="606">+T280*$X$1</f>
        <v>3015</v>
      </c>
      <c r="V280" s="673">
        <f>F280+50</f>
        <v>3010</v>
      </c>
      <c r="W280" s="338">
        <f t="shared" ref="W280:W282" si="607">+V280*$X$1</f>
        <v>3010</v>
      </c>
      <c r="X280" s="394"/>
      <c r="Y280" s="395"/>
      <c r="Z280" s="395"/>
      <c r="AA280" s="396"/>
      <c r="AB280" s="208">
        <v>1031</v>
      </c>
      <c r="AC280" s="4"/>
      <c r="AD280" s="4"/>
      <c r="AE280" s="4"/>
      <c r="AF280" s="4"/>
      <c r="AG280" s="4"/>
      <c r="AH280" s="138"/>
      <c r="AI280" s="4"/>
      <c r="AJ280" s="4"/>
      <c r="AK280" s="4"/>
      <c r="AL280" s="4"/>
    </row>
    <row r="281" spans="1:38" s="1" customFormat="1" ht="12.6" customHeight="1" x14ac:dyDescent="0.2">
      <c r="A281" s="21"/>
      <c r="B281" s="703" t="s">
        <v>559</v>
      </c>
      <c r="C281" s="706"/>
      <c r="D281" s="706"/>
      <c r="E281" s="707"/>
      <c r="F281" s="480">
        <f>6.33*X2</f>
        <v>5848.92</v>
      </c>
      <c r="G281" s="339">
        <f t="shared" ref="G281" si="608">+F281*$X$1</f>
        <v>5848.92</v>
      </c>
      <c r="H281" s="75">
        <f>F281+280</f>
        <v>6128.92</v>
      </c>
      <c r="I281" s="337">
        <f t="shared" ref="I281:I282" si="609">+H281*$X$1</f>
        <v>6128.92</v>
      </c>
      <c r="J281" s="375">
        <f>F281+110</f>
        <v>5958.92</v>
      </c>
      <c r="K281" s="337">
        <f t="shared" ref="K281:K282" si="610">+J281*$X$1</f>
        <v>5958.92</v>
      </c>
      <c r="L281" s="375">
        <f>F281+80</f>
        <v>5928.92</v>
      </c>
      <c r="M281" s="337">
        <f t="shared" ref="M281:M282" si="611">+L281*$X$1</f>
        <v>5928.92</v>
      </c>
      <c r="N281" s="375">
        <f>F281+67</f>
        <v>5915.92</v>
      </c>
      <c r="O281" s="337">
        <f t="shared" si="603"/>
        <v>5915.92</v>
      </c>
      <c r="P281" s="375">
        <f>F281+62</f>
        <v>5910.92</v>
      </c>
      <c r="Q281" s="337">
        <f t="shared" si="604"/>
        <v>5910.92</v>
      </c>
      <c r="R281" s="375">
        <f>F281+58</f>
        <v>5906.92</v>
      </c>
      <c r="S281" s="337">
        <f t="shared" si="605"/>
        <v>5906.92</v>
      </c>
      <c r="T281" s="375">
        <f>F281+53</f>
        <v>5901.92</v>
      </c>
      <c r="U281" s="337">
        <f t="shared" si="606"/>
        <v>5901.92</v>
      </c>
      <c r="V281" s="375">
        <f>F281+47</f>
        <v>5895.92</v>
      </c>
      <c r="W281" s="337">
        <f t="shared" si="607"/>
        <v>5895.92</v>
      </c>
      <c r="X281" s="283"/>
      <c r="Y281" s="284"/>
      <c r="Z281" s="284"/>
      <c r="AA281" s="285"/>
      <c r="AB281" s="208">
        <v>1033</v>
      </c>
      <c r="AC281" s="4"/>
      <c r="AD281" s="4"/>
      <c r="AE281" s="4"/>
      <c r="AF281" s="4"/>
      <c r="AG281" s="4"/>
      <c r="AH281" s="138"/>
      <c r="AI281" s="4"/>
      <c r="AJ281" s="4"/>
      <c r="AK281" s="4"/>
      <c r="AL281" s="4"/>
    </row>
    <row r="282" spans="1:38" s="1" customFormat="1" ht="12.6" customHeight="1" x14ac:dyDescent="0.2">
      <c r="A282" s="21"/>
      <c r="B282" s="795" t="s">
        <v>548</v>
      </c>
      <c r="C282" s="796"/>
      <c r="D282" s="796"/>
      <c r="E282" s="797"/>
      <c r="F282" s="473">
        <f>21.33*X2</f>
        <v>19708.919999999998</v>
      </c>
      <c r="G282" s="338">
        <f t="shared" ref="G282" si="612">+F282*$X$1</f>
        <v>19708.919999999998</v>
      </c>
      <c r="H282" s="93">
        <f>F282+280</f>
        <v>19988.919999999998</v>
      </c>
      <c r="I282" s="338">
        <f t="shared" si="609"/>
        <v>19988.919999999998</v>
      </c>
      <c r="J282" s="651">
        <f>F282+110</f>
        <v>19818.919999999998</v>
      </c>
      <c r="K282" s="338">
        <f t="shared" si="610"/>
        <v>19818.919999999998</v>
      </c>
      <c r="L282" s="651">
        <f>F282+80</f>
        <v>19788.919999999998</v>
      </c>
      <c r="M282" s="338">
        <f t="shared" si="611"/>
        <v>19788.919999999998</v>
      </c>
      <c r="N282" s="651">
        <f>F282+67</f>
        <v>19775.919999999998</v>
      </c>
      <c r="O282" s="338">
        <f t="shared" si="603"/>
        <v>19775.919999999998</v>
      </c>
      <c r="P282" s="651">
        <f>F282+62</f>
        <v>19770.919999999998</v>
      </c>
      <c r="Q282" s="338">
        <f t="shared" si="604"/>
        <v>19770.919999999998</v>
      </c>
      <c r="R282" s="651">
        <f>F282+58</f>
        <v>19766.919999999998</v>
      </c>
      <c r="S282" s="338">
        <f t="shared" si="605"/>
        <v>19766.919999999998</v>
      </c>
      <c r="T282" s="651">
        <f>F282+53</f>
        <v>19761.919999999998</v>
      </c>
      <c r="U282" s="338">
        <f t="shared" si="606"/>
        <v>19761.919999999998</v>
      </c>
      <c r="V282" s="651">
        <f>F282+47</f>
        <v>19755.919999999998</v>
      </c>
      <c r="W282" s="338">
        <f t="shared" si="607"/>
        <v>19755.919999999998</v>
      </c>
      <c r="X282" s="276"/>
      <c r="Y282" s="278"/>
      <c r="Z282" s="278"/>
      <c r="AA282" s="277"/>
      <c r="AB282" s="208">
        <v>1034</v>
      </c>
      <c r="AC282" s="4"/>
      <c r="AD282" s="4"/>
      <c r="AE282" s="4"/>
      <c r="AF282" s="4"/>
      <c r="AG282" s="4"/>
      <c r="AH282" s="138"/>
      <c r="AI282" s="4"/>
      <c r="AJ282" s="4"/>
      <c r="AK282" s="4"/>
      <c r="AL282" s="4"/>
    </row>
    <row r="283" spans="1:38" ht="12.6" customHeight="1" x14ac:dyDescent="0.2">
      <c r="A283" s="20"/>
      <c r="B283" s="703" t="s">
        <v>693</v>
      </c>
      <c r="C283" s="706"/>
      <c r="D283" s="706"/>
      <c r="E283" s="707"/>
      <c r="F283" s="472">
        <f>4.485*X2</f>
        <v>4144.1400000000003</v>
      </c>
      <c r="G283" s="337">
        <f t="shared" ref="G283" si="613">+F283*$X$1</f>
        <v>4144.1400000000003</v>
      </c>
      <c r="H283" s="75">
        <f>F283+300</f>
        <v>4444.1400000000003</v>
      </c>
      <c r="I283" s="337">
        <f t="shared" ref="I283:I284" si="614">+H283*$X$1</f>
        <v>4444.1400000000003</v>
      </c>
      <c r="J283" s="375">
        <f>F283+120</f>
        <v>4264.1400000000003</v>
      </c>
      <c r="K283" s="337">
        <f>+J283*$X$1</f>
        <v>4264.1400000000003</v>
      </c>
      <c r="L283" s="375">
        <f>F283+90</f>
        <v>4234.1400000000003</v>
      </c>
      <c r="M283" s="337">
        <f>+L283*$X$1</f>
        <v>4234.1400000000003</v>
      </c>
      <c r="N283" s="75">
        <f>F283+77</f>
        <v>4221.1400000000003</v>
      </c>
      <c r="O283" s="337">
        <f t="shared" ref="O283:O284" si="615">+N283*$X$1</f>
        <v>4221.1400000000003</v>
      </c>
      <c r="P283" s="75">
        <f>F283+68</f>
        <v>4212.1400000000003</v>
      </c>
      <c r="Q283" s="337">
        <f t="shared" ref="Q283" si="616">+P283*$X$1</f>
        <v>4212.1400000000003</v>
      </c>
      <c r="R283" s="375">
        <f>F283+62</f>
        <v>4206.1400000000003</v>
      </c>
      <c r="S283" s="337">
        <f t="shared" ref="S283" si="617">+R283*$X$1</f>
        <v>4206.1400000000003</v>
      </c>
      <c r="T283" s="375">
        <f>F283+55</f>
        <v>4199.1400000000003</v>
      </c>
      <c r="U283" s="337">
        <f t="shared" ref="U283" si="618">+T283*$X$1</f>
        <v>4199.1400000000003</v>
      </c>
      <c r="V283" s="375">
        <f>F283+50</f>
        <v>4194.1400000000003</v>
      </c>
      <c r="W283" s="337">
        <f t="shared" ref="W283" si="619">+V283*$X$1</f>
        <v>4194.1400000000003</v>
      </c>
      <c r="X283" s="270"/>
      <c r="Y283" s="272"/>
      <c r="Z283" s="272"/>
      <c r="AA283" s="271"/>
      <c r="AB283" s="208">
        <v>1036</v>
      </c>
    </row>
    <row r="284" spans="1:38" ht="12.6" customHeight="1" x14ac:dyDescent="0.2">
      <c r="A284" s="20"/>
      <c r="B284" s="701" t="s">
        <v>508</v>
      </c>
      <c r="C284" s="688"/>
      <c r="D284" s="688"/>
      <c r="E284" s="688"/>
      <c r="F284" s="338">
        <v>12335</v>
      </c>
      <c r="G284" s="338">
        <f>+F284*$X$1</f>
        <v>12335</v>
      </c>
      <c r="H284" s="93">
        <f>F284+300</f>
        <v>12635</v>
      </c>
      <c r="I284" s="338">
        <f t="shared" si="614"/>
        <v>12635</v>
      </c>
      <c r="J284" s="677">
        <f>F284+110</f>
        <v>12445</v>
      </c>
      <c r="K284" s="338">
        <f t="shared" ref="K284" si="620">+J284*$X$1</f>
        <v>12445</v>
      </c>
      <c r="L284" s="677">
        <f>F284+80</f>
        <v>12415</v>
      </c>
      <c r="M284" s="338">
        <f t="shared" ref="M284" si="621">+L284*$X$1</f>
        <v>12415</v>
      </c>
      <c r="N284" s="677">
        <f>F284+67</f>
        <v>12402</v>
      </c>
      <c r="O284" s="338">
        <f t="shared" si="615"/>
        <v>12402</v>
      </c>
      <c r="P284" s="677">
        <f>F284+62</f>
        <v>12397</v>
      </c>
      <c r="Q284" s="338">
        <f t="shared" ref="Q284" si="622">+P284*$X$1</f>
        <v>12397</v>
      </c>
      <c r="R284" s="677">
        <f>F284+58</f>
        <v>12393</v>
      </c>
      <c r="S284" s="338">
        <f t="shared" ref="S284" si="623">+R284*$X$1</f>
        <v>12393</v>
      </c>
      <c r="T284" s="677">
        <f>F284+53</f>
        <v>12388</v>
      </c>
      <c r="U284" s="338">
        <f t="shared" ref="U284" si="624">+T284*$X$1</f>
        <v>12388</v>
      </c>
      <c r="V284" s="677">
        <f>F284+47</f>
        <v>12382</v>
      </c>
      <c r="W284" s="338">
        <f t="shared" ref="W284" si="625">+V284*$X$1</f>
        <v>12382</v>
      </c>
      <c r="X284" s="717"/>
      <c r="Y284" s="699"/>
      <c r="Z284" s="699"/>
      <c r="AA284" s="700"/>
      <c r="AB284" s="208">
        <v>1040</v>
      </c>
      <c r="AC284" s="68"/>
    </row>
    <row r="285" spans="1:38" ht="12.6" customHeight="1" x14ac:dyDescent="0.2">
      <c r="A285" s="20"/>
      <c r="B285" s="708" t="s">
        <v>908</v>
      </c>
      <c r="C285" s="709"/>
      <c r="D285" s="709"/>
      <c r="E285" s="709"/>
      <c r="F285" s="472">
        <f>22.35*X2</f>
        <v>20651.400000000001</v>
      </c>
      <c r="G285" s="337">
        <f>+F285*$X$1</f>
        <v>20651.400000000001</v>
      </c>
      <c r="H285" s="75">
        <f t="shared" ref="H285:H295" si="626">F285+280</f>
        <v>20931.400000000001</v>
      </c>
      <c r="I285" s="337">
        <f t="shared" ref="I285:I296" si="627">+H285*$X$1</f>
        <v>20931.400000000001</v>
      </c>
      <c r="J285" s="375">
        <f t="shared" ref="J285:J296" si="628">F285+110</f>
        <v>20761.400000000001</v>
      </c>
      <c r="K285" s="337">
        <f t="shared" ref="K285:K296" si="629">+J285*$X$1</f>
        <v>20761.400000000001</v>
      </c>
      <c r="L285" s="375">
        <f t="shared" ref="L285:L296" si="630">F285+80</f>
        <v>20731.400000000001</v>
      </c>
      <c r="M285" s="337">
        <f t="shared" ref="M285:M296" si="631">+L285*$X$1</f>
        <v>20731.400000000001</v>
      </c>
      <c r="N285" s="375">
        <f t="shared" ref="N285:N296" si="632">F285+67</f>
        <v>20718.400000000001</v>
      </c>
      <c r="O285" s="337">
        <f t="shared" ref="O285:O296" si="633">+N285*$X$1</f>
        <v>20718.400000000001</v>
      </c>
      <c r="P285" s="375">
        <f t="shared" ref="P285:P296" si="634">F285+62</f>
        <v>20713.400000000001</v>
      </c>
      <c r="Q285" s="337">
        <f t="shared" ref="Q285:Q296" si="635">+P285*$X$1</f>
        <v>20713.400000000001</v>
      </c>
      <c r="R285" s="375">
        <f t="shared" ref="R285:R296" si="636">F285+58</f>
        <v>20709.400000000001</v>
      </c>
      <c r="S285" s="337">
        <f t="shared" ref="S285:S296" si="637">+R285*$X$1</f>
        <v>20709.400000000001</v>
      </c>
      <c r="T285" s="375">
        <f t="shared" ref="T285:T296" si="638">F285+53</f>
        <v>20704.400000000001</v>
      </c>
      <c r="U285" s="337">
        <f t="shared" ref="U285:U296" si="639">+T285*$X$1</f>
        <v>20704.400000000001</v>
      </c>
      <c r="V285" s="375">
        <f t="shared" ref="V285:V296" si="640">F285+47</f>
        <v>20698.400000000001</v>
      </c>
      <c r="W285" s="337">
        <f t="shared" ref="W285:W296" si="641">+V285*$X$1</f>
        <v>20698.400000000001</v>
      </c>
      <c r="X285" s="717"/>
      <c r="Y285" s="699"/>
      <c r="Z285" s="699"/>
      <c r="AA285" s="700"/>
      <c r="AB285" s="208">
        <v>1041</v>
      </c>
      <c r="AC285" s="68"/>
    </row>
    <row r="286" spans="1:38" ht="12.6" customHeight="1" x14ac:dyDescent="0.2">
      <c r="A286" s="20"/>
      <c r="B286" s="701" t="s">
        <v>907</v>
      </c>
      <c r="C286" s="688"/>
      <c r="D286" s="688"/>
      <c r="E286" s="688"/>
      <c r="F286" s="473">
        <f>16.673*X2</f>
        <v>15405.851999999999</v>
      </c>
      <c r="G286" s="338">
        <f t="shared" ref="G286" si="642">+F286*$X$1</f>
        <v>15405.851999999999</v>
      </c>
      <c r="H286" s="93">
        <f t="shared" si="626"/>
        <v>15685.851999999999</v>
      </c>
      <c r="I286" s="338">
        <f t="shared" si="627"/>
        <v>15685.851999999999</v>
      </c>
      <c r="J286" s="677">
        <f t="shared" si="628"/>
        <v>15515.851999999999</v>
      </c>
      <c r="K286" s="338">
        <f t="shared" si="629"/>
        <v>15515.851999999999</v>
      </c>
      <c r="L286" s="677">
        <f t="shared" si="630"/>
        <v>15485.851999999999</v>
      </c>
      <c r="M286" s="338">
        <f t="shared" si="631"/>
        <v>15485.851999999999</v>
      </c>
      <c r="N286" s="677">
        <f t="shared" si="632"/>
        <v>15472.851999999999</v>
      </c>
      <c r="O286" s="338">
        <f t="shared" si="633"/>
        <v>15472.851999999999</v>
      </c>
      <c r="P286" s="677">
        <f t="shared" si="634"/>
        <v>15467.851999999999</v>
      </c>
      <c r="Q286" s="338">
        <f t="shared" si="635"/>
        <v>15467.851999999999</v>
      </c>
      <c r="R286" s="677">
        <f t="shared" si="636"/>
        <v>15463.851999999999</v>
      </c>
      <c r="S286" s="338">
        <f t="shared" si="637"/>
        <v>15463.851999999999</v>
      </c>
      <c r="T286" s="677">
        <f t="shared" si="638"/>
        <v>15458.851999999999</v>
      </c>
      <c r="U286" s="338">
        <f t="shared" si="639"/>
        <v>15458.851999999999</v>
      </c>
      <c r="V286" s="677">
        <f t="shared" si="640"/>
        <v>15452.851999999999</v>
      </c>
      <c r="W286" s="338">
        <f t="shared" si="641"/>
        <v>15452.851999999999</v>
      </c>
      <c r="X286" s="717"/>
      <c r="Y286" s="699"/>
      <c r="Z286" s="699"/>
      <c r="AA286" s="700"/>
      <c r="AB286" s="208">
        <v>1042</v>
      </c>
    </row>
    <row r="287" spans="1:38" ht="12.6" customHeight="1" x14ac:dyDescent="0.2">
      <c r="A287" s="20"/>
      <c r="B287" s="708" t="s">
        <v>605</v>
      </c>
      <c r="C287" s="709"/>
      <c r="D287" s="709"/>
      <c r="E287" s="709"/>
      <c r="F287" s="337">
        <v>20542</v>
      </c>
      <c r="G287" s="337">
        <f t="shared" ref="G287:G294" si="643">+F287*$X$1</f>
        <v>20542</v>
      </c>
      <c r="H287" s="75">
        <f t="shared" si="626"/>
        <v>20822</v>
      </c>
      <c r="I287" s="337">
        <f t="shared" si="627"/>
        <v>20822</v>
      </c>
      <c r="J287" s="375">
        <f t="shared" si="628"/>
        <v>20652</v>
      </c>
      <c r="K287" s="337">
        <f t="shared" si="629"/>
        <v>20652</v>
      </c>
      <c r="L287" s="375">
        <f t="shared" si="630"/>
        <v>20622</v>
      </c>
      <c r="M287" s="337">
        <f t="shared" si="631"/>
        <v>20622</v>
      </c>
      <c r="N287" s="375">
        <f t="shared" si="632"/>
        <v>20609</v>
      </c>
      <c r="O287" s="337">
        <f t="shared" si="633"/>
        <v>20609</v>
      </c>
      <c r="P287" s="375">
        <f t="shared" si="634"/>
        <v>20604</v>
      </c>
      <c r="Q287" s="337">
        <f t="shared" si="635"/>
        <v>20604</v>
      </c>
      <c r="R287" s="375">
        <f t="shared" si="636"/>
        <v>20600</v>
      </c>
      <c r="S287" s="337">
        <f t="shared" si="637"/>
        <v>20600</v>
      </c>
      <c r="T287" s="375">
        <f t="shared" si="638"/>
        <v>20595</v>
      </c>
      <c r="U287" s="337">
        <f t="shared" si="639"/>
        <v>20595</v>
      </c>
      <c r="V287" s="375">
        <f t="shared" si="640"/>
        <v>20589</v>
      </c>
      <c r="W287" s="337">
        <f t="shared" si="641"/>
        <v>20589</v>
      </c>
      <c r="X287" s="717"/>
      <c r="Y287" s="699"/>
      <c r="Z287" s="699"/>
      <c r="AA287" s="700"/>
      <c r="AB287" s="208">
        <v>1043</v>
      </c>
      <c r="AC287" s="68"/>
    </row>
    <row r="288" spans="1:38" ht="12.6" customHeight="1" x14ac:dyDescent="0.2">
      <c r="A288" s="20"/>
      <c r="B288" s="701" t="s">
        <v>606</v>
      </c>
      <c r="C288" s="688"/>
      <c r="D288" s="688"/>
      <c r="E288" s="688"/>
      <c r="F288" s="338">
        <v>20791</v>
      </c>
      <c r="G288" s="338">
        <f t="shared" si="643"/>
        <v>20791</v>
      </c>
      <c r="H288" s="93">
        <f>F288+300</f>
        <v>21091</v>
      </c>
      <c r="I288" s="338">
        <f t="shared" si="627"/>
        <v>21091</v>
      </c>
      <c r="J288" s="677">
        <f t="shared" si="628"/>
        <v>20901</v>
      </c>
      <c r="K288" s="338">
        <f t="shared" si="629"/>
        <v>20901</v>
      </c>
      <c r="L288" s="677">
        <f t="shared" si="630"/>
        <v>20871</v>
      </c>
      <c r="M288" s="338">
        <f t="shared" si="631"/>
        <v>20871</v>
      </c>
      <c r="N288" s="677">
        <f t="shared" si="632"/>
        <v>20858</v>
      </c>
      <c r="O288" s="338">
        <f t="shared" si="633"/>
        <v>20858</v>
      </c>
      <c r="P288" s="677">
        <f t="shared" si="634"/>
        <v>20853</v>
      </c>
      <c r="Q288" s="338">
        <f t="shared" si="635"/>
        <v>20853</v>
      </c>
      <c r="R288" s="677">
        <f t="shared" si="636"/>
        <v>20849</v>
      </c>
      <c r="S288" s="338">
        <f t="shared" si="637"/>
        <v>20849</v>
      </c>
      <c r="T288" s="677">
        <f t="shared" si="638"/>
        <v>20844</v>
      </c>
      <c r="U288" s="338">
        <f t="shared" si="639"/>
        <v>20844</v>
      </c>
      <c r="V288" s="677">
        <f t="shared" si="640"/>
        <v>20838</v>
      </c>
      <c r="W288" s="338">
        <f t="shared" si="641"/>
        <v>20838</v>
      </c>
      <c r="X288" s="717"/>
      <c r="Y288" s="699"/>
      <c r="Z288" s="699"/>
      <c r="AA288" s="700"/>
      <c r="AB288" s="208">
        <v>1044</v>
      </c>
      <c r="AC288" s="68"/>
    </row>
    <row r="289" spans="1:38" ht="12.6" customHeight="1" x14ac:dyDescent="0.2">
      <c r="A289" s="20"/>
      <c r="B289" s="713" t="s">
        <v>909</v>
      </c>
      <c r="C289" s="714"/>
      <c r="D289" s="714"/>
      <c r="E289" s="714"/>
      <c r="F289" s="337">
        <v>21659</v>
      </c>
      <c r="G289" s="337">
        <f>+F289*$X$1</f>
        <v>21659</v>
      </c>
      <c r="H289" s="75">
        <f>F289+300</f>
        <v>21959</v>
      </c>
      <c r="I289" s="337">
        <f t="shared" ref="I289" si="644">+H289*$X$1</f>
        <v>21959</v>
      </c>
      <c r="J289" s="375">
        <f t="shared" ref="J289" si="645">F289+110</f>
        <v>21769</v>
      </c>
      <c r="K289" s="337">
        <f t="shared" ref="K289" si="646">+J289*$X$1</f>
        <v>21769</v>
      </c>
      <c r="L289" s="375">
        <f t="shared" ref="L289" si="647">F289+80</f>
        <v>21739</v>
      </c>
      <c r="M289" s="337">
        <f t="shared" ref="M289" si="648">+L289*$X$1</f>
        <v>21739</v>
      </c>
      <c r="N289" s="375">
        <f t="shared" ref="N289" si="649">F289+67</f>
        <v>21726</v>
      </c>
      <c r="O289" s="337">
        <f t="shared" ref="O289" si="650">+N289*$X$1</f>
        <v>21726</v>
      </c>
      <c r="P289" s="375">
        <f t="shared" ref="P289" si="651">F289+62</f>
        <v>21721</v>
      </c>
      <c r="Q289" s="337">
        <f t="shared" ref="Q289" si="652">+P289*$X$1</f>
        <v>21721</v>
      </c>
      <c r="R289" s="375">
        <f t="shared" ref="R289" si="653">F289+58</f>
        <v>21717</v>
      </c>
      <c r="S289" s="337">
        <f t="shared" ref="S289" si="654">+R289*$X$1</f>
        <v>21717</v>
      </c>
      <c r="T289" s="375">
        <f t="shared" ref="T289" si="655">F289+53</f>
        <v>21712</v>
      </c>
      <c r="U289" s="337">
        <f t="shared" ref="U289" si="656">+T289*$X$1</f>
        <v>21712</v>
      </c>
      <c r="V289" s="375">
        <f t="shared" ref="V289" si="657">F289+47</f>
        <v>21706</v>
      </c>
      <c r="W289" s="337">
        <f t="shared" ref="W289" si="658">+V289*$X$1</f>
        <v>21706</v>
      </c>
      <c r="X289" s="699"/>
      <c r="Y289" s="699"/>
      <c r="Z289" s="699"/>
      <c r="AA289" s="700"/>
      <c r="AB289" s="208">
        <v>1045</v>
      </c>
      <c r="AC289" s="68"/>
    </row>
    <row r="290" spans="1:38" ht="12.6" customHeight="1" x14ac:dyDescent="0.2">
      <c r="A290" s="20"/>
      <c r="B290" s="713" t="s">
        <v>910</v>
      </c>
      <c r="C290" s="714"/>
      <c r="D290" s="714"/>
      <c r="E290" s="714"/>
      <c r="F290" s="338">
        <v>21890</v>
      </c>
      <c r="G290" s="338">
        <f>+F290*$X$1</f>
        <v>21890</v>
      </c>
      <c r="H290" s="93">
        <f>F290+300</f>
        <v>22190</v>
      </c>
      <c r="I290" s="338">
        <f t="shared" si="627"/>
        <v>22190</v>
      </c>
      <c r="J290" s="677">
        <f t="shared" si="628"/>
        <v>22000</v>
      </c>
      <c r="K290" s="338">
        <f t="shared" si="629"/>
        <v>22000</v>
      </c>
      <c r="L290" s="677">
        <f t="shared" si="630"/>
        <v>21970</v>
      </c>
      <c r="M290" s="338">
        <f t="shared" si="631"/>
        <v>21970</v>
      </c>
      <c r="N290" s="677">
        <f t="shared" si="632"/>
        <v>21957</v>
      </c>
      <c r="O290" s="338">
        <f t="shared" si="633"/>
        <v>21957</v>
      </c>
      <c r="P290" s="677">
        <f t="shared" si="634"/>
        <v>21952</v>
      </c>
      <c r="Q290" s="338">
        <f t="shared" si="635"/>
        <v>21952</v>
      </c>
      <c r="R290" s="677">
        <f t="shared" si="636"/>
        <v>21948</v>
      </c>
      <c r="S290" s="338">
        <f t="shared" si="637"/>
        <v>21948</v>
      </c>
      <c r="T290" s="677">
        <f t="shared" si="638"/>
        <v>21943</v>
      </c>
      <c r="U290" s="338">
        <f t="shared" si="639"/>
        <v>21943</v>
      </c>
      <c r="V290" s="677">
        <f t="shared" si="640"/>
        <v>21937</v>
      </c>
      <c r="W290" s="338">
        <f t="shared" si="641"/>
        <v>21937</v>
      </c>
      <c r="X290" s="699"/>
      <c r="Y290" s="699"/>
      <c r="Z290" s="699"/>
      <c r="AA290" s="700"/>
      <c r="AB290" s="208">
        <v>1046</v>
      </c>
      <c r="AC290" s="68"/>
    </row>
    <row r="291" spans="1:38" ht="12.6" customHeight="1" x14ac:dyDescent="0.2">
      <c r="A291" s="20"/>
      <c r="B291" s="708" t="s">
        <v>642</v>
      </c>
      <c r="C291" s="709"/>
      <c r="D291" s="709"/>
      <c r="E291" s="709"/>
      <c r="F291" s="337">
        <v>11316</v>
      </c>
      <c r="G291" s="337">
        <f t="shared" si="643"/>
        <v>11316</v>
      </c>
      <c r="H291" s="75">
        <f t="shared" si="626"/>
        <v>11596</v>
      </c>
      <c r="I291" s="337">
        <f t="shared" si="627"/>
        <v>11596</v>
      </c>
      <c r="J291" s="375">
        <f t="shared" si="628"/>
        <v>11426</v>
      </c>
      <c r="K291" s="337">
        <f t="shared" si="629"/>
        <v>11426</v>
      </c>
      <c r="L291" s="375">
        <f t="shared" si="630"/>
        <v>11396</v>
      </c>
      <c r="M291" s="337">
        <f t="shared" si="631"/>
        <v>11396</v>
      </c>
      <c r="N291" s="375">
        <f t="shared" si="632"/>
        <v>11383</v>
      </c>
      <c r="O291" s="337">
        <f t="shared" si="633"/>
        <v>11383</v>
      </c>
      <c r="P291" s="375">
        <f t="shared" si="634"/>
        <v>11378</v>
      </c>
      <c r="Q291" s="337">
        <f t="shared" si="635"/>
        <v>11378</v>
      </c>
      <c r="R291" s="375">
        <f t="shared" si="636"/>
        <v>11374</v>
      </c>
      <c r="S291" s="337">
        <f t="shared" si="637"/>
        <v>11374</v>
      </c>
      <c r="T291" s="375">
        <f t="shared" si="638"/>
        <v>11369</v>
      </c>
      <c r="U291" s="337">
        <f t="shared" si="639"/>
        <v>11369</v>
      </c>
      <c r="V291" s="375">
        <f t="shared" si="640"/>
        <v>11363</v>
      </c>
      <c r="W291" s="337">
        <f t="shared" si="641"/>
        <v>11363</v>
      </c>
      <c r="X291" s="717"/>
      <c r="Y291" s="699"/>
      <c r="Z291" s="699"/>
      <c r="AA291" s="700"/>
      <c r="AB291" s="208">
        <v>1048</v>
      </c>
      <c r="AC291" s="68"/>
    </row>
    <row r="292" spans="1:38" ht="12.6" customHeight="1" x14ac:dyDescent="0.2">
      <c r="A292" s="20"/>
      <c r="B292" s="701" t="s">
        <v>641</v>
      </c>
      <c r="C292" s="688"/>
      <c r="D292" s="688"/>
      <c r="E292" s="688"/>
      <c r="F292" s="338">
        <v>10650</v>
      </c>
      <c r="G292" s="338">
        <f t="shared" si="643"/>
        <v>10650</v>
      </c>
      <c r="H292" s="93">
        <f>F292+300</f>
        <v>10950</v>
      </c>
      <c r="I292" s="338">
        <f t="shared" si="627"/>
        <v>10950</v>
      </c>
      <c r="J292" s="677">
        <f t="shared" si="628"/>
        <v>10760</v>
      </c>
      <c r="K292" s="338">
        <f t="shared" si="629"/>
        <v>10760</v>
      </c>
      <c r="L292" s="677">
        <f t="shared" si="630"/>
        <v>10730</v>
      </c>
      <c r="M292" s="338">
        <f t="shared" si="631"/>
        <v>10730</v>
      </c>
      <c r="N292" s="677">
        <f t="shared" si="632"/>
        <v>10717</v>
      </c>
      <c r="O292" s="338">
        <f t="shared" si="633"/>
        <v>10717</v>
      </c>
      <c r="P292" s="677">
        <f t="shared" si="634"/>
        <v>10712</v>
      </c>
      <c r="Q292" s="338">
        <f t="shared" si="635"/>
        <v>10712</v>
      </c>
      <c r="R292" s="677">
        <f t="shared" si="636"/>
        <v>10708</v>
      </c>
      <c r="S292" s="338">
        <f t="shared" si="637"/>
        <v>10708</v>
      </c>
      <c r="T292" s="677">
        <f t="shared" si="638"/>
        <v>10703</v>
      </c>
      <c r="U292" s="338">
        <f t="shared" si="639"/>
        <v>10703</v>
      </c>
      <c r="V292" s="677">
        <f t="shared" si="640"/>
        <v>10697</v>
      </c>
      <c r="W292" s="338">
        <f t="shared" si="641"/>
        <v>10697</v>
      </c>
      <c r="X292" s="717"/>
      <c r="Y292" s="699"/>
      <c r="Z292" s="699"/>
      <c r="AA292" s="700"/>
      <c r="AB292" s="208">
        <v>1049</v>
      </c>
      <c r="AC292" s="68"/>
    </row>
    <row r="293" spans="1:38" ht="12.6" customHeight="1" x14ac:dyDescent="0.2">
      <c r="A293" s="20"/>
      <c r="B293" s="708" t="s">
        <v>643</v>
      </c>
      <c r="C293" s="709"/>
      <c r="D293" s="709"/>
      <c r="E293" s="709"/>
      <c r="F293" s="337">
        <v>11982</v>
      </c>
      <c r="G293" s="337">
        <f t="shared" si="643"/>
        <v>11982</v>
      </c>
      <c r="H293" s="75">
        <f>F293+300</f>
        <v>12282</v>
      </c>
      <c r="I293" s="337">
        <f t="shared" si="627"/>
        <v>12282</v>
      </c>
      <c r="J293" s="375">
        <f t="shared" si="628"/>
        <v>12092</v>
      </c>
      <c r="K293" s="337">
        <f t="shared" si="629"/>
        <v>12092</v>
      </c>
      <c r="L293" s="375">
        <f t="shared" si="630"/>
        <v>12062</v>
      </c>
      <c r="M293" s="337">
        <f t="shared" si="631"/>
        <v>12062</v>
      </c>
      <c r="N293" s="375">
        <f t="shared" si="632"/>
        <v>12049</v>
      </c>
      <c r="O293" s="337">
        <f t="shared" si="633"/>
        <v>12049</v>
      </c>
      <c r="P293" s="375">
        <f t="shared" si="634"/>
        <v>12044</v>
      </c>
      <c r="Q293" s="337">
        <f t="shared" si="635"/>
        <v>12044</v>
      </c>
      <c r="R293" s="375">
        <f t="shared" si="636"/>
        <v>12040</v>
      </c>
      <c r="S293" s="337">
        <f t="shared" si="637"/>
        <v>12040</v>
      </c>
      <c r="T293" s="375">
        <f t="shared" si="638"/>
        <v>12035</v>
      </c>
      <c r="U293" s="337">
        <f t="shared" si="639"/>
        <v>12035</v>
      </c>
      <c r="V293" s="375">
        <f t="shared" si="640"/>
        <v>12029</v>
      </c>
      <c r="W293" s="337">
        <f t="shared" si="641"/>
        <v>12029</v>
      </c>
      <c r="X293" s="717"/>
      <c r="Y293" s="699"/>
      <c r="Z293" s="699"/>
      <c r="AA293" s="700"/>
      <c r="AB293" s="208">
        <v>1050</v>
      </c>
      <c r="AC293" s="68"/>
    </row>
    <row r="294" spans="1:38" ht="12.6" customHeight="1" x14ac:dyDescent="0.2">
      <c r="A294" s="20"/>
      <c r="B294" s="701" t="s">
        <v>539</v>
      </c>
      <c r="C294" s="688"/>
      <c r="D294" s="688"/>
      <c r="E294" s="688"/>
      <c r="F294" s="473">
        <f>31.583*X2</f>
        <v>29182.691999999999</v>
      </c>
      <c r="G294" s="338">
        <f t="shared" si="643"/>
        <v>29182.691999999999</v>
      </c>
      <c r="H294" s="93">
        <f t="shared" si="626"/>
        <v>29462.691999999999</v>
      </c>
      <c r="I294" s="338">
        <f t="shared" si="627"/>
        <v>29462.691999999999</v>
      </c>
      <c r="J294" s="584">
        <f t="shared" si="628"/>
        <v>29292.691999999999</v>
      </c>
      <c r="K294" s="338">
        <f t="shared" si="629"/>
        <v>29292.691999999999</v>
      </c>
      <c r="L294" s="584">
        <f t="shared" si="630"/>
        <v>29262.691999999999</v>
      </c>
      <c r="M294" s="338">
        <f t="shared" si="631"/>
        <v>29262.691999999999</v>
      </c>
      <c r="N294" s="584">
        <f t="shared" si="632"/>
        <v>29249.691999999999</v>
      </c>
      <c r="O294" s="338">
        <f t="shared" si="633"/>
        <v>29249.691999999999</v>
      </c>
      <c r="P294" s="584">
        <f t="shared" si="634"/>
        <v>29244.691999999999</v>
      </c>
      <c r="Q294" s="338">
        <f t="shared" si="635"/>
        <v>29244.691999999999</v>
      </c>
      <c r="R294" s="584">
        <f t="shared" si="636"/>
        <v>29240.691999999999</v>
      </c>
      <c r="S294" s="338">
        <f t="shared" si="637"/>
        <v>29240.691999999999</v>
      </c>
      <c r="T294" s="584">
        <f t="shared" si="638"/>
        <v>29235.691999999999</v>
      </c>
      <c r="U294" s="338">
        <f t="shared" si="639"/>
        <v>29235.691999999999</v>
      </c>
      <c r="V294" s="584">
        <f t="shared" si="640"/>
        <v>29229.691999999999</v>
      </c>
      <c r="W294" s="338">
        <f t="shared" si="641"/>
        <v>29229.691999999999</v>
      </c>
      <c r="X294" s="717"/>
      <c r="Y294" s="699"/>
      <c r="Z294" s="699"/>
      <c r="AA294" s="700"/>
      <c r="AB294" s="208">
        <v>1053</v>
      </c>
      <c r="AC294" s="68"/>
    </row>
    <row r="295" spans="1:38" s="1" customFormat="1" ht="12.6" customHeight="1" x14ac:dyDescent="0.2">
      <c r="A295" s="21"/>
      <c r="B295" s="703" t="s">
        <v>486</v>
      </c>
      <c r="C295" s="706"/>
      <c r="D295" s="706"/>
      <c r="E295" s="707"/>
      <c r="F295" s="472">
        <f>10.515*X2</f>
        <v>9715.86</v>
      </c>
      <c r="G295" s="337">
        <f t="shared" ref="G295" si="659">+F295*$X$1</f>
        <v>9715.86</v>
      </c>
      <c r="H295" s="75">
        <f t="shared" si="626"/>
        <v>9995.86</v>
      </c>
      <c r="I295" s="337">
        <f t="shared" si="627"/>
        <v>9995.86</v>
      </c>
      <c r="J295" s="375">
        <f t="shared" si="628"/>
        <v>9825.86</v>
      </c>
      <c r="K295" s="337">
        <f t="shared" si="629"/>
        <v>9825.86</v>
      </c>
      <c r="L295" s="375">
        <f t="shared" si="630"/>
        <v>9795.86</v>
      </c>
      <c r="M295" s="337">
        <f t="shared" si="631"/>
        <v>9795.86</v>
      </c>
      <c r="N295" s="375">
        <f t="shared" si="632"/>
        <v>9782.86</v>
      </c>
      <c r="O295" s="337">
        <f t="shared" si="633"/>
        <v>9782.86</v>
      </c>
      <c r="P295" s="375">
        <f t="shared" si="634"/>
        <v>9777.86</v>
      </c>
      <c r="Q295" s="337">
        <f t="shared" si="635"/>
        <v>9777.86</v>
      </c>
      <c r="R295" s="375">
        <f t="shared" si="636"/>
        <v>9773.86</v>
      </c>
      <c r="S295" s="337">
        <f t="shared" si="637"/>
        <v>9773.86</v>
      </c>
      <c r="T295" s="375">
        <f t="shared" si="638"/>
        <v>9768.86</v>
      </c>
      <c r="U295" s="337">
        <f t="shared" si="639"/>
        <v>9768.86</v>
      </c>
      <c r="V295" s="375">
        <f t="shared" si="640"/>
        <v>9762.86</v>
      </c>
      <c r="W295" s="337">
        <f t="shared" si="641"/>
        <v>9762.86</v>
      </c>
      <c r="X295" s="256"/>
      <c r="Y295" s="258"/>
      <c r="Z295" s="258"/>
      <c r="AA295" s="257"/>
      <c r="AB295" s="208">
        <v>1054</v>
      </c>
      <c r="AC295" s="4"/>
      <c r="AD295" s="4"/>
      <c r="AE295" s="4"/>
      <c r="AF295" s="4"/>
      <c r="AG295" s="4"/>
      <c r="AH295" s="138"/>
      <c r="AI295" s="4"/>
      <c r="AJ295" s="4"/>
      <c r="AK295" s="4"/>
      <c r="AL295" s="4"/>
    </row>
    <row r="296" spans="1:38" ht="12.6" customHeight="1" x14ac:dyDescent="0.2">
      <c r="A296" s="20"/>
      <c r="B296" s="701" t="s">
        <v>704</v>
      </c>
      <c r="C296" s="688"/>
      <c r="D296" s="688"/>
      <c r="E296" s="688"/>
      <c r="F296" s="338">
        <v>17515</v>
      </c>
      <c r="G296" s="338">
        <f>+F296*$X$1</f>
        <v>17515</v>
      </c>
      <c r="H296" s="93">
        <f>F296+300</f>
        <v>17815</v>
      </c>
      <c r="I296" s="338">
        <f t="shared" si="627"/>
        <v>17815</v>
      </c>
      <c r="J296" s="584">
        <f t="shared" si="628"/>
        <v>17625</v>
      </c>
      <c r="K296" s="338">
        <f t="shared" si="629"/>
        <v>17625</v>
      </c>
      <c r="L296" s="584">
        <f t="shared" si="630"/>
        <v>17595</v>
      </c>
      <c r="M296" s="338">
        <f t="shared" si="631"/>
        <v>17595</v>
      </c>
      <c r="N296" s="584">
        <f t="shared" si="632"/>
        <v>17582</v>
      </c>
      <c r="O296" s="338">
        <f t="shared" si="633"/>
        <v>17582</v>
      </c>
      <c r="P296" s="584">
        <f t="shared" si="634"/>
        <v>17577</v>
      </c>
      <c r="Q296" s="338">
        <f t="shared" si="635"/>
        <v>17577</v>
      </c>
      <c r="R296" s="584">
        <f t="shared" si="636"/>
        <v>17573</v>
      </c>
      <c r="S296" s="338">
        <f t="shared" si="637"/>
        <v>17573</v>
      </c>
      <c r="T296" s="584">
        <f t="shared" si="638"/>
        <v>17568</v>
      </c>
      <c r="U296" s="338">
        <f t="shared" si="639"/>
        <v>17568</v>
      </c>
      <c r="V296" s="584">
        <f t="shared" si="640"/>
        <v>17562</v>
      </c>
      <c r="W296" s="338">
        <f t="shared" si="641"/>
        <v>17562</v>
      </c>
      <c r="X296" s="717"/>
      <c r="Y296" s="699"/>
      <c r="Z296" s="699"/>
      <c r="AA296" s="700"/>
      <c r="AB296" s="208">
        <v>1057</v>
      </c>
    </row>
    <row r="297" spans="1:38" ht="12.6" customHeight="1" x14ac:dyDescent="0.2">
      <c r="A297" s="20"/>
      <c r="B297" s="708" t="s">
        <v>506</v>
      </c>
      <c r="C297" s="709"/>
      <c r="D297" s="709"/>
      <c r="E297" s="709"/>
      <c r="F297" s="472">
        <f>16.03*X2</f>
        <v>14811.720000000001</v>
      </c>
      <c r="G297" s="337">
        <f>+F297*$X$1</f>
        <v>14811.720000000001</v>
      </c>
      <c r="H297" s="75">
        <f t="shared" ref="H297" si="660">F297+280</f>
        <v>15091.720000000001</v>
      </c>
      <c r="I297" s="337">
        <f t="shared" ref="I297" si="661">+H297*$X$1</f>
        <v>15091.720000000001</v>
      </c>
      <c r="J297" s="375">
        <f t="shared" ref="J297" si="662">F297+110</f>
        <v>14921.720000000001</v>
      </c>
      <c r="K297" s="337">
        <f t="shared" ref="K297" si="663">+J297*$X$1</f>
        <v>14921.720000000001</v>
      </c>
      <c r="L297" s="375">
        <f t="shared" ref="L297" si="664">F297+80</f>
        <v>14891.720000000001</v>
      </c>
      <c r="M297" s="337">
        <f t="shared" ref="M297" si="665">+L297*$X$1</f>
        <v>14891.720000000001</v>
      </c>
      <c r="N297" s="375">
        <f t="shared" ref="N297" si="666">F297+67</f>
        <v>14878.720000000001</v>
      </c>
      <c r="O297" s="337">
        <f t="shared" ref="O297" si="667">+N297*$X$1</f>
        <v>14878.720000000001</v>
      </c>
      <c r="P297" s="375">
        <f t="shared" ref="P297" si="668">F297+62</f>
        <v>14873.720000000001</v>
      </c>
      <c r="Q297" s="337">
        <f t="shared" ref="Q297" si="669">+P297*$X$1</f>
        <v>14873.720000000001</v>
      </c>
      <c r="R297" s="375">
        <f t="shared" ref="R297" si="670">F297+58</f>
        <v>14869.720000000001</v>
      </c>
      <c r="S297" s="337">
        <f t="shared" ref="S297" si="671">+R297*$X$1</f>
        <v>14869.720000000001</v>
      </c>
      <c r="T297" s="375">
        <f t="shared" ref="T297" si="672">F297+53</f>
        <v>14864.720000000001</v>
      </c>
      <c r="U297" s="337">
        <f t="shared" ref="U297" si="673">+T297*$X$1</f>
        <v>14864.720000000001</v>
      </c>
      <c r="V297" s="375">
        <f t="shared" ref="V297" si="674">F297+47</f>
        <v>14858.720000000001</v>
      </c>
      <c r="W297" s="337">
        <f t="shared" ref="W297" si="675">+V297*$X$1</f>
        <v>14858.720000000001</v>
      </c>
      <c r="X297" s="717"/>
      <c r="Y297" s="699"/>
      <c r="Z297" s="699"/>
      <c r="AA297" s="700"/>
      <c r="AB297" s="208">
        <v>1064</v>
      </c>
      <c r="AC297" s="68"/>
    </row>
    <row r="298" spans="1:38" ht="12.6" customHeight="1" x14ac:dyDescent="0.2">
      <c r="A298" s="20"/>
      <c r="B298" s="795" t="s">
        <v>228</v>
      </c>
      <c r="C298" s="796"/>
      <c r="D298" s="796"/>
      <c r="E298" s="797"/>
      <c r="F298" s="473">
        <f>12.1*X2</f>
        <v>11180.4</v>
      </c>
      <c r="G298" s="338">
        <f>+F298*$X$1</f>
        <v>11180.4</v>
      </c>
      <c r="H298" s="93">
        <f>F298+300</f>
        <v>11480.4</v>
      </c>
      <c r="I298" s="338">
        <f t="shared" ref="I298:I304" si="676">+H298*$X$1</f>
        <v>11480.4</v>
      </c>
      <c r="J298" s="584">
        <f>F298+120</f>
        <v>11300.4</v>
      </c>
      <c r="K298" s="338">
        <f>+J298*$X$1</f>
        <v>11300.4</v>
      </c>
      <c r="L298" s="584">
        <f>F298+90</f>
        <v>11270.4</v>
      </c>
      <c r="M298" s="338">
        <f>+L298*$X$1</f>
        <v>11270.4</v>
      </c>
      <c r="N298" s="93">
        <f>F298+77</f>
        <v>11257.4</v>
      </c>
      <c r="O298" s="338">
        <f t="shared" ref="O298:O305" si="677">+N298*$X$1</f>
        <v>11257.4</v>
      </c>
      <c r="P298" s="93">
        <f>F298+68</f>
        <v>11248.4</v>
      </c>
      <c r="Q298" s="338">
        <f t="shared" ref="Q298:Q305" si="678">+P298*$X$1</f>
        <v>11248.4</v>
      </c>
      <c r="R298" s="584">
        <f>F298+62</f>
        <v>11242.4</v>
      </c>
      <c r="S298" s="338">
        <f t="shared" ref="S298:S305" si="679">+R298*$X$1</f>
        <v>11242.4</v>
      </c>
      <c r="T298" s="584">
        <f>F298+55</f>
        <v>11235.4</v>
      </c>
      <c r="U298" s="338">
        <f t="shared" ref="U298:U305" si="680">+T298*$X$1</f>
        <v>11235.4</v>
      </c>
      <c r="V298" s="584">
        <f>F298+50</f>
        <v>11230.4</v>
      </c>
      <c r="W298" s="338">
        <f t="shared" ref="W298:W305" si="681">+V298*$X$1</f>
        <v>11230.4</v>
      </c>
      <c r="X298" s="193"/>
      <c r="Y298" s="196"/>
      <c r="Z298" s="196"/>
      <c r="AA298" s="195"/>
      <c r="AB298" s="208">
        <v>1075</v>
      </c>
    </row>
    <row r="299" spans="1:38" ht="12.6" customHeight="1" x14ac:dyDescent="0.2">
      <c r="A299" s="20"/>
      <c r="B299" s="708" t="s">
        <v>448</v>
      </c>
      <c r="C299" s="887"/>
      <c r="D299" s="887"/>
      <c r="E299" s="887"/>
      <c r="F299" s="472">
        <f>8.45*X2</f>
        <v>7807.7999999999993</v>
      </c>
      <c r="G299" s="337">
        <f>+F299*$X$1</f>
        <v>7807.7999999999993</v>
      </c>
      <c r="H299" s="75">
        <f t="shared" ref="H299:H300" si="682">F299+280</f>
        <v>8087.7999999999993</v>
      </c>
      <c r="I299" s="337">
        <f t="shared" si="676"/>
        <v>8087.7999999999993</v>
      </c>
      <c r="J299" s="375">
        <f t="shared" ref="J299:J304" si="683">F299+110</f>
        <v>7917.7999999999993</v>
      </c>
      <c r="K299" s="337">
        <f t="shared" ref="K299:K305" si="684">+J299*$X$1</f>
        <v>7917.7999999999993</v>
      </c>
      <c r="L299" s="375">
        <f t="shared" ref="L299:L304" si="685">F299+80</f>
        <v>7887.7999999999993</v>
      </c>
      <c r="M299" s="337">
        <f t="shared" ref="M299:M305" si="686">+L299*$X$1</f>
        <v>7887.7999999999993</v>
      </c>
      <c r="N299" s="375">
        <f t="shared" ref="N299:N304" si="687">F299+67</f>
        <v>7874.7999999999993</v>
      </c>
      <c r="O299" s="337">
        <f t="shared" si="677"/>
        <v>7874.7999999999993</v>
      </c>
      <c r="P299" s="375">
        <f t="shared" ref="P299:P304" si="688">F299+62</f>
        <v>7869.7999999999993</v>
      </c>
      <c r="Q299" s="337">
        <f t="shared" si="678"/>
        <v>7869.7999999999993</v>
      </c>
      <c r="R299" s="375">
        <f t="shared" ref="R299:R304" si="689">F299+58</f>
        <v>7865.7999999999993</v>
      </c>
      <c r="S299" s="337">
        <f t="shared" si="679"/>
        <v>7865.7999999999993</v>
      </c>
      <c r="T299" s="375">
        <f t="shared" ref="T299:T304" si="690">F299+53</f>
        <v>7860.7999999999993</v>
      </c>
      <c r="U299" s="337">
        <f t="shared" si="680"/>
        <v>7860.7999999999993</v>
      </c>
      <c r="V299" s="375">
        <f t="shared" ref="V299:V304" si="691">F299+47</f>
        <v>7854.7999999999993</v>
      </c>
      <c r="W299" s="337">
        <f t="shared" si="681"/>
        <v>7854.7999999999993</v>
      </c>
      <c r="X299" s="717"/>
      <c r="Y299" s="699"/>
      <c r="Z299" s="699"/>
      <c r="AA299" s="700"/>
      <c r="AB299" s="208">
        <v>1078</v>
      </c>
    </row>
    <row r="300" spans="1:38" ht="12.6" customHeight="1" x14ac:dyDescent="0.2">
      <c r="A300" s="20"/>
      <c r="B300" s="791" t="s">
        <v>451</v>
      </c>
      <c r="C300" s="792"/>
      <c r="D300" s="792"/>
      <c r="E300" s="792"/>
      <c r="F300" s="477">
        <f>6.52*X2</f>
        <v>6024.48</v>
      </c>
      <c r="G300" s="380">
        <f t="shared" ref="G300" si="692">+F300*$X$1</f>
        <v>6024.48</v>
      </c>
      <c r="H300" s="93">
        <f t="shared" si="682"/>
        <v>6304.48</v>
      </c>
      <c r="I300" s="338">
        <f t="shared" si="676"/>
        <v>6304.48</v>
      </c>
      <c r="J300" s="584"/>
      <c r="K300" s="338"/>
      <c r="L300" s="584"/>
      <c r="M300" s="338"/>
      <c r="N300" s="584"/>
      <c r="O300" s="338"/>
      <c r="P300" s="584"/>
      <c r="Q300" s="338"/>
      <c r="R300" s="584"/>
      <c r="S300" s="338"/>
      <c r="T300" s="584"/>
      <c r="U300" s="338"/>
      <c r="V300" s="584"/>
      <c r="W300" s="338"/>
      <c r="X300" s="699"/>
      <c r="Y300" s="699"/>
      <c r="Z300" s="699"/>
      <c r="AA300" s="700"/>
      <c r="AB300" s="208">
        <v>1079</v>
      </c>
    </row>
    <row r="301" spans="1:38" ht="12.6" customHeight="1" x14ac:dyDescent="0.2">
      <c r="A301" s="20"/>
      <c r="B301" s="708" t="s">
        <v>603</v>
      </c>
      <c r="C301" s="709"/>
      <c r="D301" s="709"/>
      <c r="E301" s="709"/>
      <c r="F301" s="337">
        <v>15552</v>
      </c>
      <c r="G301" s="337">
        <f>+F301*$X$1</f>
        <v>15552</v>
      </c>
      <c r="H301" s="75">
        <f>F301+300</f>
        <v>15852</v>
      </c>
      <c r="I301" s="337">
        <f t="shared" si="676"/>
        <v>15852</v>
      </c>
      <c r="J301" s="375">
        <f t="shared" si="683"/>
        <v>15662</v>
      </c>
      <c r="K301" s="337">
        <f t="shared" si="684"/>
        <v>15662</v>
      </c>
      <c r="L301" s="375">
        <f t="shared" si="685"/>
        <v>15632</v>
      </c>
      <c r="M301" s="337">
        <f t="shared" si="686"/>
        <v>15632</v>
      </c>
      <c r="N301" s="375">
        <f t="shared" si="687"/>
        <v>15619</v>
      </c>
      <c r="O301" s="337">
        <f t="shared" si="677"/>
        <v>15619</v>
      </c>
      <c r="P301" s="375">
        <f t="shared" si="688"/>
        <v>15614</v>
      </c>
      <c r="Q301" s="337">
        <f t="shared" si="678"/>
        <v>15614</v>
      </c>
      <c r="R301" s="375">
        <f t="shared" si="689"/>
        <v>15610</v>
      </c>
      <c r="S301" s="337">
        <f t="shared" si="679"/>
        <v>15610</v>
      </c>
      <c r="T301" s="375">
        <f t="shared" si="690"/>
        <v>15605</v>
      </c>
      <c r="U301" s="337">
        <f t="shared" si="680"/>
        <v>15605</v>
      </c>
      <c r="V301" s="375">
        <f t="shared" si="691"/>
        <v>15599</v>
      </c>
      <c r="W301" s="337">
        <f t="shared" si="681"/>
        <v>15599</v>
      </c>
      <c r="X301" s="699"/>
      <c r="Y301" s="699"/>
      <c r="Z301" s="699"/>
      <c r="AA301" s="700"/>
      <c r="AB301" s="208">
        <v>1080</v>
      </c>
      <c r="AC301" s="68"/>
    </row>
    <row r="302" spans="1:38" ht="12.6" customHeight="1" x14ac:dyDescent="0.2">
      <c r="A302" s="20"/>
      <c r="B302" s="701" t="s">
        <v>604</v>
      </c>
      <c r="C302" s="688"/>
      <c r="D302" s="688"/>
      <c r="E302" s="688"/>
      <c r="F302" s="338">
        <v>16454</v>
      </c>
      <c r="G302" s="338">
        <f>+F302*$X$1</f>
        <v>16454</v>
      </c>
      <c r="H302" s="93">
        <f>F302+300</f>
        <v>16754</v>
      </c>
      <c r="I302" s="338">
        <f t="shared" si="676"/>
        <v>16754</v>
      </c>
      <c r="J302" s="584">
        <f t="shared" si="683"/>
        <v>16564</v>
      </c>
      <c r="K302" s="338">
        <f t="shared" si="684"/>
        <v>16564</v>
      </c>
      <c r="L302" s="584">
        <f t="shared" si="685"/>
        <v>16534</v>
      </c>
      <c r="M302" s="338">
        <f t="shared" si="686"/>
        <v>16534</v>
      </c>
      <c r="N302" s="584">
        <f t="shared" si="687"/>
        <v>16521</v>
      </c>
      <c r="O302" s="338">
        <f t="shared" si="677"/>
        <v>16521</v>
      </c>
      <c r="P302" s="584">
        <f t="shared" si="688"/>
        <v>16516</v>
      </c>
      <c r="Q302" s="338">
        <f t="shared" si="678"/>
        <v>16516</v>
      </c>
      <c r="R302" s="584">
        <f t="shared" si="689"/>
        <v>16512</v>
      </c>
      <c r="S302" s="338">
        <f t="shared" si="679"/>
        <v>16512</v>
      </c>
      <c r="T302" s="584">
        <f t="shared" si="690"/>
        <v>16507</v>
      </c>
      <c r="U302" s="338">
        <f t="shared" si="680"/>
        <v>16507</v>
      </c>
      <c r="V302" s="584">
        <f t="shared" si="691"/>
        <v>16501</v>
      </c>
      <c r="W302" s="338">
        <f t="shared" si="681"/>
        <v>16501</v>
      </c>
      <c r="X302" s="699"/>
      <c r="Y302" s="699"/>
      <c r="Z302" s="699"/>
      <c r="AA302" s="700"/>
      <c r="AB302" s="208">
        <v>1081</v>
      </c>
      <c r="AC302" s="68"/>
    </row>
    <row r="303" spans="1:38" ht="12.6" customHeight="1" x14ac:dyDescent="0.2">
      <c r="A303" s="20"/>
      <c r="B303" s="708" t="s">
        <v>739</v>
      </c>
      <c r="C303" s="709"/>
      <c r="D303" s="709"/>
      <c r="E303" s="709"/>
      <c r="F303" s="337">
        <v>20570</v>
      </c>
      <c r="G303" s="337">
        <f>+F303*$X$1</f>
        <v>20570</v>
      </c>
      <c r="H303" s="75">
        <f>F303+300</f>
        <v>20870</v>
      </c>
      <c r="I303" s="337">
        <f t="shared" si="676"/>
        <v>20870</v>
      </c>
      <c r="J303" s="375">
        <f t="shared" si="683"/>
        <v>20680</v>
      </c>
      <c r="K303" s="337">
        <f t="shared" si="684"/>
        <v>20680</v>
      </c>
      <c r="L303" s="375">
        <f t="shared" si="685"/>
        <v>20650</v>
      </c>
      <c r="M303" s="337">
        <f t="shared" si="686"/>
        <v>20650</v>
      </c>
      <c r="N303" s="375">
        <f t="shared" si="687"/>
        <v>20637</v>
      </c>
      <c r="O303" s="337">
        <f t="shared" si="677"/>
        <v>20637</v>
      </c>
      <c r="P303" s="375">
        <f t="shared" si="688"/>
        <v>20632</v>
      </c>
      <c r="Q303" s="337">
        <f t="shared" si="678"/>
        <v>20632</v>
      </c>
      <c r="R303" s="375">
        <f t="shared" si="689"/>
        <v>20628</v>
      </c>
      <c r="S303" s="337">
        <f t="shared" si="679"/>
        <v>20628</v>
      </c>
      <c r="T303" s="375">
        <f t="shared" si="690"/>
        <v>20623</v>
      </c>
      <c r="U303" s="337">
        <f t="shared" si="680"/>
        <v>20623</v>
      </c>
      <c r="V303" s="375">
        <f t="shared" si="691"/>
        <v>20617</v>
      </c>
      <c r="W303" s="337">
        <f t="shared" si="681"/>
        <v>20617</v>
      </c>
      <c r="X303" s="699"/>
      <c r="Y303" s="699"/>
      <c r="Z303" s="699"/>
      <c r="AA303" s="700"/>
      <c r="AB303" s="208">
        <v>1082</v>
      </c>
      <c r="AC303" s="68"/>
    </row>
    <row r="304" spans="1:38" ht="12.6" customHeight="1" x14ac:dyDescent="0.2">
      <c r="A304" s="20"/>
      <c r="B304" s="701" t="s">
        <v>511</v>
      </c>
      <c r="C304" s="688"/>
      <c r="D304" s="688"/>
      <c r="E304" s="688"/>
      <c r="F304" s="338">
        <v>13455</v>
      </c>
      <c r="G304" s="338">
        <f>+F304*$X$1</f>
        <v>13455</v>
      </c>
      <c r="H304" s="93">
        <f>F304+300</f>
        <v>13755</v>
      </c>
      <c r="I304" s="338">
        <f t="shared" si="676"/>
        <v>13755</v>
      </c>
      <c r="J304" s="584">
        <f t="shared" si="683"/>
        <v>13565</v>
      </c>
      <c r="K304" s="338">
        <f t="shared" si="684"/>
        <v>13565</v>
      </c>
      <c r="L304" s="584">
        <f t="shared" si="685"/>
        <v>13535</v>
      </c>
      <c r="M304" s="338">
        <f t="shared" si="686"/>
        <v>13535</v>
      </c>
      <c r="N304" s="584">
        <f t="shared" si="687"/>
        <v>13522</v>
      </c>
      <c r="O304" s="338">
        <f t="shared" si="677"/>
        <v>13522</v>
      </c>
      <c r="P304" s="584">
        <f t="shared" si="688"/>
        <v>13517</v>
      </c>
      <c r="Q304" s="338">
        <f t="shared" si="678"/>
        <v>13517</v>
      </c>
      <c r="R304" s="584">
        <f t="shared" si="689"/>
        <v>13513</v>
      </c>
      <c r="S304" s="338">
        <f t="shared" si="679"/>
        <v>13513</v>
      </c>
      <c r="T304" s="584">
        <f t="shared" si="690"/>
        <v>13508</v>
      </c>
      <c r="U304" s="338">
        <f t="shared" si="680"/>
        <v>13508</v>
      </c>
      <c r="V304" s="584">
        <f t="shared" si="691"/>
        <v>13502</v>
      </c>
      <c r="W304" s="338">
        <f t="shared" si="681"/>
        <v>13502</v>
      </c>
      <c r="X304" s="699"/>
      <c r="Y304" s="699"/>
      <c r="Z304" s="699"/>
      <c r="AA304" s="700"/>
      <c r="AB304" s="208">
        <v>1083</v>
      </c>
      <c r="AC304" s="68"/>
    </row>
    <row r="305" spans="1:34" ht="12.6" customHeight="1" x14ac:dyDescent="0.2">
      <c r="A305" s="20"/>
      <c r="B305" s="718" t="s">
        <v>416</v>
      </c>
      <c r="C305" s="692"/>
      <c r="D305" s="692"/>
      <c r="E305" s="692"/>
      <c r="F305" s="472">
        <f>3.881*X2</f>
        <v>3586.0439999999999</v>
      </c>
      <c r="G305" s="337">
        <f t="shared" ref="G305" si="693">+F305*$X$1</f>
        <v>3586.0439999999999</v>
      </c>
      <c r="H305" s="375">
        <f>F305+290</f>
        <v>3876.0439999999999</v>
      </c>
      <c r="I305" s="337">
        <f>+H305*$X$1</f>
        <v>3876.0439999999999</v>
      </c>
      <c r="J305" s="75">
        <f>F305+120</f>
        <v>3706.0439999999999</v>
      </c>
      <c r="K305" s="337">
        <f t="shared" si="684"/>
        <v>3706.0439999999999</v>
      </c>
      <c r="L305" s="375">
        <f>F305+80</f>
        <v>3666.0439999999999</v>
      </c>
      <c r="M305" s="337">
        <f t="shared" si="686"/>
        <v>3666.0439999999999</v>
      </c>
      <c r="N305" s="375">
        <f>F305+50</f>
        <v>3636.0439999999999</v>
      </c>
      <c r="O305" s="337">
        <f t="shared" si="677"/>
        <v>3636.0439999999999</v>
      </c>
      <c r="P305" s="375">
        <f>F305+46</f>
        <v>3632.0439999999999</v>
      </c>
      <c r="Q305" s="337">
        <f t="shared" si="678"/>
        <v>3632.0439999999999</v>
      </c>
      <c r="R305" s="375">
        <f>F305+38</f>
        <v>3624.0439999999999</v>
      </c>
      <c r="S305" s="337">
        <f t="shared" si="679"/>
        <v>3624.0439999999999</v>
      </c>
      <c r="T305" s="375">
        <f>F305+32</f>
        <v>3618.0439999999999</v>
      </c>
      <c r="U305" s="337">
        <f t="shared" si="680"/>
        <v>3618.0439999999999</v>
      </c>
      <c r="V305" s="375">
        <f>F305+26</f>
        <v>3612.0439999999999</v>
      </c>
      <c r="W305" s="337">
        <f t="shared" si="681"/>
        <v>3612.0439999999999</v>
      </c>
      <c r="X305" s="1082"/>
      <c r="Y305" s="1148"/>
      <c r="Z305" s="1148"/>
      <c r="AA305" s="1149"/>
      <c r="AB305" s="522">
        <v>2131</v>
      </c>
      <c r="AC305" s="69"/>
    </row>
    <row r="306" spans="1:34" ht="12.6" customHeight="1" x14ac:dyDescent="0.2">
      <c r="A306" s="20"/>
      <c r="B306" s="795" t="s">
        <v>482</v>
      </c>
      <c r="C306" s="796"/>
      <c r="D306" s="796"/>
      <c r="E306" s="797"/>
      <c r="F306" s="473">
        <f>4.33*X2</f>
        <v>4000.92</v>
      </c>
      <c r="G306" s="338">
        <f t="shared" ref="G306" si="694">+F306*$X$1</f>
        <v>4000.92</v>
      </c>
      <c r="H306" s="606">
        <f>F306+290</f>
        <v>4290.92</v>
      </c>
      <c r="I306" s="338">
        <f>+H306*$X$1</f>
        <v>4290.92</v>
      </c>
      <c r="J306" s="93">
        <f>F306+120</f>
        <v>4120.92</v>
      </c>
      <c r="K306" s="338">
        <f t="shared" ref="K306" si="695">+J306*$X$1</f>
        <v>4120.92</v>
      </c>
      <c r="L306" s="584">
        <f>F306+80</f>
        <v>4080.92</v>
      </c>
      <c r="M306" s="338">
        <f t="shared" ref="M306:M307" si="696">+L306*$X$1</f>
        <v>4080.92</v>
      </c>
      <c r="N306" s="584">
        <f>F306+50</f>
        <v>4050.92</v>
      </c>
      <c r="O306" s="338">
        <f t="shared" ref="O306" si="697">+N306*$X$1</f>
        <v>4050.92</v>
      </c>
      <c r="P306" s="584">
        <f>F306+46</f>
        <v>4046.92</v>
      </c>
      <c r="Q306" s="338">
        <f t="shared" ref="Q306:Q307" si="698">+P306*$X$1</f>
        <v>4046.92</v>
      </c>
      <c r="R306" s="584">
        <f>F306+38</f>
        <v>4038.92</v>
      </c>
      <c r="S306" s="338">
        <f t="shared" ref="S306" si="699">+R306*$X$1</f>
        <v>4038.92</v>
      </c>
      <c r="T306" s="584">
        <f>F306+32</f>
        <v>4032.92</v>
      </c>
      <c r="U306" s="338">
        <f t="shared" ref="U306" si="700">+T306*$X$1</f>
        <v>4032.92</v>
      </c>
      <c r="V306" s="584">
        <f>F306+26</f>
        <v>4026.92</v>
      </c>
      <c r="W306" s="338">
        <f t="shared" ref="W306" si="701">+V306*$X$1</f>
        <v>4026.92</v>
      </c>
      <c r="X306" s="254"/>
      <c r="Y306" s="255"/>
      <c r="Z306" s="255"/>
      <c r="AA306" s="253"/>
      <c r="AB306" s="522">
        <v>2132</v>
      </c>
      <c r="AC306" s="69"/>
    </row>
    <row r="307" spans="1:34" ht="12.6" customHeight="1" x14ac:dyDescent="0.2">
      <c r="A307" s="111"/>
      <c r="B307" s="708" t="s">
        <v>229</v>
      </c>
      <c r="C307" s="709"/>
      <c r="D307" s="709"/>
      <c r="E307" s="709"/>
      <c r="F307" s="472">
        <f>0.445*X2</f>
        <v>411.18</v>
      </c>
      <c r="G307" s="337">
        <f t="shared" ref="G307:G308" si="702">+F307*$X$1</f>
        <v>411.18</v>
      </c>
      <c r="H307" s="328"/>
      <c r="I307" s="412"/>
      <c r="J307" s="375"/>
      <c r="K307" s="337"/>
      <c r="L307" s="375">
        <f t="shared" ref="L307" si="703">F307+70</f>
        <v>481.18</v>
      </c>
      <c r="M307" s="337">
        <f t="shared" si="696"/>
        <v>481.18</v>
      </c>
      <c r="N307" s="375">
        <f t="shared" ref="N307" si="704">F307+42</f>
        <v>453.18</v>
      </c>
      <c r="O307" s="337">
        <f t="shared" ref="O307:O308" si="705">+N307*$X$1</f>
        <v>453.18</v>
      </c>
      <c r="P307" s="375">
        <f t="shared" ref="P307" si="706">F307+38</f>
        <v>449.18</v>
      </c>
      <c r="Q307" s="337">
        <f t="shared" si="698"/>
        <v>449.18</v>
      </c>
      <c r="R307" s="375">
        <f t="shared" ref="R307" si="707">F307+29</f>
        <v>440.18</v>
      </c>
      <c r="S307" s="337">
        <f t="shared" ref="S307:S308" si="708">+R307*$X$1</f>
        <v>440.18</v>
      </c>
      <c r="T307" s="108">
        <f t="shared" ref="T307" si="709">F307+24</f>
        <v>435.18</v>
      </c>
      <c r="U307" s="299">
        <f t="shared" ref="U307:U308" si="710">+T307*$X$1</f>
        <v>435.18</v>
      </c>
      <c r="V307" s="108">
        <f t="shared" ref="V307" si="711">F307+19</f>
        <v>430.18</v>
      </c>
      <c r="W307" s="299">
        <f t="shared" ref="W307:W308" si="712">+V307*$X$1</f>
        <v>430.18</v>
      </c>
      <c r="X307" s="144"/>
      <c r="Y307" s="141"/>
      <c r="Z307" s="141"/>
      <c r="AA307" s="141"/>
      <c r="AB307" s="522">
        <v>2145</v>
      </c>
      <c r="AC307" s="69"/>
    </row>
    <row r="308" spans="1:34" ht="12.6" customHeight="1" x14ac:dyDescent="0.2">
      <c r="A308" s="20"/>
      <c r="B308" s="701" t="s">
        <v>230</v>
      </c>
      <c r="C308" s="688"/>
      <c r="D308" s="688"/>
      <c r="E308" s="688"/>
      <c r="F308" s="473">
        <v>48</v>
      </c>
      <c r="G308" s="338">
        <f t="shared" si="702"/>
        <v>48</v>
      </c>
      <c r="H308" s="327"/>
      <c r="I308" s="413"/>
      <c r="J308" s="614">
        <f>F308+115</f>
        <v>163</v>
      </c>
      <c r="K308" s="338">
        <f t="shared" ref="K308" si="713">+J308*$X$1</f>
        <v>163</v>
      </c>
      <c r="L308" s="614">
        <f t="shared" ref="L308" si="714">F308+70</f>
        <v>118</v>
      </c>
      <c r="M308" s="338">
        <f t="shared" ref="M308" si="715">+L308*$X$1</f>
        <v>118</v>
      </c>
      <c r="N308" s="614">
        <f t="shared" ref="N308" si="716">F308+42</f>
        <v>90</v>
      </c>
      <c r="O308" s="338">
        <f t="shared" si="705"/>
        <v>90</v>
      </c>
      <c r="P308" s="614">
        <f t="shared" ref="P308" si="717">F308+38</f>
        <v>86</v>
      </c>
      <c r="Q308" s="338">
        <f t="shared" ref="Q308" si="718">+P308*$X$1</f>
        <v>86</v>
      </c>
      <c r="R308" s="614">
        <f t="shared" ref="R308" si="719">F308+29</f>
        <v>77</v>
      </c>
      <c r="S308" s="338">
        <f t="shared" si="708"/>
        <v>77</v>
      </c>
      <c r="T308" s="107">
        <f t="shared" ref="T308" si="720">F308+24</f>
        <v>72</v>
      </c>
      <c r="U308" s="363">
        <f t="shared" si="710"/>
        <v>72</v>
      </c>
      <c r="V308" s="107">
        <f t="shared" ref="V308" si="721">F308+19</f>
        <v>67</v>
      </c>
      <c r="W308" s="363">
        <f t="shared" si="712"/>
        <v>67</v>
      </c>
      <c r="X308" s="141"/>
      <c r="Y308" s="141"/>
      <c r="Z308" s="141"/>
      <c r="AA308" s="141"/>
      <c r="AB308" s="522">
        <v>2149</v>
      </c>
    </row>
    <row r="309" spans="1:34" ht="12.6" customHeight="1" x14ac:dyDescent="0.25">
      <c r="A309" s="136"/>
      <c r="B309" s="708" t="s">
        <v>231</v>
      </c>
      <c r="C309" s="709"/>
      <c r="D309" s="709"/>
      <c r="E309" s="709"/>
      <c r="F309" s="472">
        <f>0.892*X2</f>
        <v>824.20799999999997</v>
      </c>
      <c r="G309" s="337">
        <f>+F309*$X$1</f>
        <v>824.20799999999997</v>
      </c>
      <c r="H309" s="328"/>
      <c r="I309" s="412"/>
      <c r="J309" s="618"/>
      <c r="K309" s="337"/>
      <c r="L309" s="619"/>
      <c r="M309" s="337"/>
      <c r="N309" s="619"/>
      <c r="O309" s="620"/>
      <c r="P309" s="328"/>
      <c r="Q309" s="412"/>
      <c r="R309" s="619"/>
      <c r="S309" s="620"/>
      <c r="T309" s="619"/>
      <c r="U309" s="620"/>
      <c r="V309" s="619"/>
      <c r="W309" s="620"/>
      <c r="X309" s="141"/>
      <c r="Y309" s="141"/>
      <c r="Z309" s="141"/>
      <c r="AA309" s="141"/>
      <c r="AB309" s="208">
        <v>2151</v>
      </c>
    </row>
    <row r="310" spans="1:34" ht="12.6" customHeight="1" x14ac:dyDescent="0.2">
      <c r="A310" s="20"/>
      <c r="B310" s="701" t="s">
        <v>232</v>
      </c>
      <c r="C310" s="702"/>
      <c r="D310" s="702"/>
      <c r="E310" s="702"/>
      <c r="F310" s="473">
        <f>0.685*X2</f>
        <v>632.94000000000005</v>
      </c>
      <c r="G310" s="338">
        <f>+F310*$X$1</f>
        <v>632.94000000000005</v>
      </c>
      <c r="H310" s="327"/>
      <c r="I310" s="413"/>
      <c r="J310" s="648"/>
      <c r="K310" s="338"/>
      <c r="L310" s="648">
        <f t="shared" ref="L310" si="722">F310+70</f>
        <v>702.94</v>
      </c>
      <c r="M310" s="338">
        <f t="shared" ref="M310" si="723">+L310*$X$1</f>
        <v>702.94</v>
      </c>
      <c r="N310" s="648">
        <f t="shared" ref="N310" si="724">F310+42</f>
        <v>674.94</v>
      </c>
      <c r="O310" s="338">
        <f t="shared" ref="O310" si="725">+N310*$X$1</f>
        <v>674.94</v>
      </c>
      <c r="P310" s="648">
        <f t="shared" ref="P310" si="726">F310+38</f>
        <v>670.94</v>
      </c>
      <c r="Q310" s="338">
        <f t="shared" ref="Q310" si="727">+P310*$X$1</f>
        <v>670.94</v>
      </c>
      <c r="R310" s="648">
        <f t="shared" ref="R310" si="728">F310+29</f>
        <v>661.94</v>
      </c>
      <c r="S310" s="338">
        <f t="shared" ref="S310" si="729">+R310*$X$1</f>
        <v>661.94</v>
      </c>
      <c r="T310" s="107">
        <f t="shared" ref="T310" si="730">F310+24</f>
        <v>656.94</v>
      </c>
      <c r="U310" s="363">
        <f t="shared" ref="U310" si="731">+T310*$X$1</f>
        <v>656.94</v>
      </c>
      <c r="V310" s="107">
        <f t="shared" ref="V310" si="732">F310+19</f>
        <v>651.94000000000005</v>
      </c>
      <c r="W310" s="363">
        <f t="shared" ref="W310" si="733">+V310*$X$1</f>
        <v>651.94000000000005</v>
      </c>
      <c r="X310" s="141"/>
      <c r="Y310" s="141"/>
      <c r="Z310" s="141"/>
      <c r="AA310" s="141"/>
      <c r="AB310" s="522">
        <v>2153</v>
      </c>
      <c r="AC310" s="69"/>
    </row>
    <row r="311" spans="1:34" ht="12.6" customHeight="1" x14ac:dyDescent="0.2">
      <c r="A311" s="20"/>
      <c r="B311" s="708" t="s">
        <v>441</v>
      </c>
      <c r="C311" s="709"/>
      <c r="D311" s="709"/>
      <c r="E311" s="709"/>
      <c r="F311" s="472">
        <f>0.519*X2</f>
        <v>479.55600000000004</v>
      </c>
      <c r="G311" s="337">
        <f>+F311*$X$1</f>
        <v>479.55600000000004</v>
      </c>
      <c r="H311" s="328"/>
      <c r="I311" s="412"/>
      <c r="J311" s="375"/>
      <c r="K311" s="337"/>
      <c r="L311" s="375">
        <f>F311+70</f>
        <v>549.55600000000004</v>
      </c>
      <c r="M311" s="337">
        <f t="shared" ref="M311" si="734">+L311*$X$1</f>
        <v>549.55600000000004</v>
      </c>
      <c r="N311" s="375">
        <f>F311+42</f>
        <v>521.55600000000004</v>
      </c>
      <c r="O311" s="337">
        <f>+N311*$X$1</f>
        <v>521.55600000000004</v>
      </c>
      <c r="P311" s="375">
        <f>F311+38</f>
        <v>517.55600000000004</v>
      </c>
      <c r="Q311" s="337">
        <f t="shared" ref="Q311" si="735">+P311*$X$1</f>
        <v>517.55600000000004</v>
      </c>
      <c r="R311" s="375">
        <f>F311+29</f>
        <v>508.55600000000004</v>
      </c>
      <c r="S311" s="337">
        <f>+R311*$X$1</f>
        <v>508.55600000000004</v>
      </c>
      <c r="T311" s="108">
        <f>F311+24</f>
        <v>503.55600000000004</v>
      </c>
      <c r="U311" s="299">
        <f>+T311*$X$1</f>
        <v>503.55600000000004</v>
      </c>
      <c r="V311" s="108">
        <f>F311+19</f>
        <v>498.55600000000004</v>
      </c>
      <c r="W311" s="299">
        <f>+V311*$X$1</f>
        <v>498.55600000000004</v>
      </c>
      <c r="X311" s="141"/>
      <c r="Y311" s="149"/>
      <c r="Z311" s="149"/>
      <c r="AA311" s="149"/>
      <c r="AB311" s="538">
        <v>2154</v>
      </c>
      <c r="AC311" s="24"/>
      <c r="AD311" s="24"/>
    </row>
    <row r="312" spans="1:34" ht="12.6" customHeight="1" x14ac:dyDescent="0.2">
      <c r="A312" s="20"/>
      <c r="B312" s="701" t="s">
        <v>442</v>
      </c>
      <c r="C312" s="688"/>
      <c r="D312" s="688"/>
      <c r="E312" s="688"/>
      <c r="F312" s="473">
        <f>0.611*X2</f>
        <v>564.56399999999996</v>
      </c>
      <c r="G312" s="338">
        <f>+F312*$X$1</f>
        <v>564.56399999999996</v>
      </c>
      <c r="H312" s="327"/>
      <c r="I312" s="413"/>
      <c r="J312" s="660"/>
      <c r="K312" s="338"/>
      <c r="L312" s="660">
        <f>F312+70</f>
        <v>634.56399999999996</v>
      </c>
      <c r="M312" s="338">
        <f>+L312*$X$1</f>
        <v>634.56399999999996</v>
      </c>
      <c r="N312" s="660">
        <f>F312+42</f>
        <v>606.56399999999996</v>
      </c>
      <c r="O312" s="338">
        <f>+N312*$X$1</f>
        <v>606.56399999999996</v>
      </c>
      <c r="P312" s="660">
        <f>F312+38</f>
        <v>602.56399999999996</v>
      </c>
      <c r="Q312" s="338">
        <f>+P312*$X$1</f>
        <v>602.56399999999996</v>
      </c>
      <c r="R312" s="660">
        <f>F312+29</f>
        <v>593.56399999999996</v>
      </c>
      <c r="S312" s="338">
        <f>+R312*$X$1</f>
        <v>593.56399999999996</v>
      </c>
      <c r="T312" s="107">
        <f>F312+24</f>
        <v>588.56399999999996</v>
      </c>
      <c r="U312" s="363">
        <f>+T312*$X$1</f>
        <v>588.56399999999996</v>
      </c>
      <c r="V312" s="107">
        <f>F312+19</f>
        <v>583.56399999999996</v>
      </c>
      <c r="W312" s="363">
        <f>+V312*$X$1</f>
        <v>583.56399999999996</v>
      </c>
      <c r="X312" s="164"/>
      <c r="Y312" s="141"/>
      <c r="Z312" s="149"/>
      <c r="AA312" s="149"/>
      <c r="AB312" s="538">
        <v>2156</v>
      </c>
      <c r="AC312" s="24"/>
      <c r="AD312" s="24"/>
    </row>
    <row r="313" spans="1:34" ht="12.6" customHeight="1" x14ac:dyDescent="0.2">
      <c r="A313" s="20"/>
      <c r="B313" s="703" t="s">
        <v>233</v>
      </c>
      <c r="C313" s="706"/>
      <c r="D313" s="706"/>
      <c r="E313" s="707"/>
      <c r="F313" s="472">
        <f>0.482*X2</f>
        <v>445.36799999999999</v>
      </c>
      <c r="G313" s="337">
        <f t="shared" ref="G313" si="736">+F313*$X$1</f>
        <v>445.36799999999999</v>
      </c>
      <c r="H313" s="328"/>
      <c r="I313" s="412"/>
      <c r="J313" s="375"/>
      <c r="K313" s="337"/>
      <c r="L313" s="375">
        <f>F313+70</f>
        <v>515.36799999999994</v>
      </c>
      <c r="M313" s="337">
        <f>+L313*$X$1</f>
        <v>515.36799999999994</v>
      </c>
      <c r="N313" s="375">
        <f>F313+42</f>
        <v>487.36799999999999</v>
      </c>
      <c r="O313" s="337">
        <f>+N313*$X$1</f>
        <v>487.36799999999999</v>
      </c>
      <c r="P313" s="375">
        <f>F313+38</f>
        <v>483.36799999999999</v>
      </c>
      <c r="Q313" s="337">
        <f>+P313*$X$1</f>
        <v>483.36799999999999</v>
      </c>
      <c r="R313" s="375">
        <f>F313+29</f>
        <v>474.36799999999999</v>
      </c>
      <c r="S313" s="337">
        <f>+R313*$X$1</f>
        <v>474.36799999999999</v>
      </c>
      <c r="T313" s="108">
        <f>F313+24</f>
        <v>469.36799999999999</v>
      </c>
      <c r="U313" s="299">
        <f>+T313*$X$1</f>
        <v>469.36799999999999</v>
      </c>
      <c r="V313" s="108">
        <f>F313+19</f>
        <v>464.36799999999999</v>
      </c>
      <c r="W313" s="299">
        <f>+V313*$X$1</f>
        <v>464.36799999999999</v>
      </c>
      <c r="X313" s="141"/>
      <c r="Y313" s="149"/>
      <c r="Z313" s="149"/>
      <c r="AA313" s="149"/>
      <c r="AB313" s="538">
        <v>2160</v>
      </c>
      <c r="AC313" s="24"/>
      <c r="AD313" s="24"/>
      <c r="AH313" s="68"/>
    </row>
    <row r="314" spans="1:34" ht="12.6" customHeight="1" x14ac:dyDescent="0.2">
      <c r="A314" s="101"/>
      <c r="B314" s="1129" t="s">
        <v>234</v>
      </c>
      <c r="C314" s="1130"/>
      <c r="D314" s="1130"/>
      <c r="E314" s="1131"/>
      <c r="F314" s="473">
        <f>0.648*X2</f>
        <v>598.75200000000007</v>
      </c>
      <c r="G314" s="363">
        <f>+F314*$X$1</f>
        <v>598.75200000000007</v>
      </c>
      <c r="H314" s="677"/>
      <c r="I314" s="677"/>
      <c r="J314" s="130"/>
      <c r="K314" s="338"/>
      <c r="L314" s="677">
        <f>F314+70</f>
        <v>668.75200000000007</v>
      </c>
      <c r="M314" s="338">
        <f>+L314*$X$1</f>
        <v>668.75200000000007</v>
      </c>
      <c r="N314" s="677">
        <f>F314+42</f>
        <v>640.75200000000007</v>
      </c>
      <c r="O314" s="338">
        <f>+N314*$X$1</f>
        <v>640.75200000000007</v>
      </c>
      <c r="P314" s="677">
        <f>F314+38</f>
        <v>636.75200000000007</v>
      </c>
      <c r="Q314" s="338">
        <f>+P314*$X$1</f>
        <v>636.75200000000007</v>
      </c>
      <c r="R314" s="677">
        <f>F314+29</f>
        <v>627.75200000000007</v>
      </c>
      <c r="S314" s="338">
        <f>+R314*$X$1</f>
        <v>627.75200000000007</v>
      </c>
      <c r="T314" s="107">
        <f>F314+24</f>
        <v>622.75200000000007</v>
      </c>
      <c r="U314" s="363">
        <f>+T314*$X$1</f>
        <v>622.75200000000007</v>
      </c>
      <c r="V314" s="107">
        <f>F314+19</f>
        <v>617.75200000000007</v>
      </c>
      <c r="W314" s="363">
        <f>+V314*$X$1</f>
        <v>617.75200000000007</v>
      </c>
      <c r="X314" s="141"/>
      <c r="Y314" s="149"/>
      <c r="Z314" s="149"/>
      <c r="AA314" s="149"/>
      <c r="AB314" s="522">
        <v>2174</v>
      </c>
      <c r="AC314" s="70"/>
      <c r="AD314" s="24"/>
    </row>
    <row r="315" spans="1:34" ht="12.6" customHeight="1" x14ac:dyDescent="0.2">
      <c r="A315" s="101"/>
      <c r="B315" s="920" t="s">
        <v>235</v>
      </c>
      <c r="C315" s="921"/>
      <c r="D315" s="921"/>
      <c r="E315" s="922"/>
      <c r="F315" s="472">
        <f>0.648*X2</f>
        <v>598.75200000000007</v>
      </c>
      <c r="G315" s="299">
        <f>+F315*$X$1</f>
        <v>598.75200000000007</v>
      </c>
      <c r="H315" s="375"/>
      <c r="I315" s="375"/>
      <c r="J315" s="131"/>
      <c r="K315" s="337"/>
      <c r="L315" s="375">
        <f>F315+70</f>
        <v>668.75200000000007</v>
      </c>
      <c r="M315" s="337">
        <f>+L315*$X$1</f>
        <v>668.75200000000007</v>
      </c>
      <c r="N315" s="375">
        <f>F315+42</f>
        <v>640.75200000000007</v>
      </c>
      <c r="O315" s="337">
        <f>+N315*$X$1</f>
        <v>640.75200000000007</v>
      </c>
      <c r="P315" s="375">
        <f>F315+38</f>
        <v>636.75200000000007</v>
      </c>
      <c r="Q315" s="337">
        <f>+P315*$X$1</f>
        <v>636.75200000000007</v>
      </c>
      <c r="R315" s="375">
        <f>F315+29</f>
        <v>627.75200000000007</v>
      </c>
      <c r="S315" s="337">
        <f>+R315*$X$1</f>
        <v>627.75200000000007</v>
      </c>
      <c r="T315" s="108">
        <f>F315+24</f>
        <v>622.75200000000007</v>
      </c>
      <c r="U315" s="299">
        <f>+T315*$X$1</f>
        <v>622.75200000000007</v>
      </c>
      <c r="V315" s="108">
        <f>F315+19</f>
        <v>617.75200000000007</v>
      </c>
      <c r="W315" s="299">
        <f>+V315*$X$1</f>
        <v>617.75200000000007</v>
      </c>
      <c r="X315" s="141"/>
      <c r="Y315" s="149"/>
      <c r="Z315" s="149"/>
      <c r="AA315" s="149"/>
      <c r="AB315" s="522" t="s">
        <v>390</v>
      </c>
      <c r="AC315" s="70"/>
      <c r="AD315" s="24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899" t="s">
        <v>11</v>
      </c>
      <c r="C319" s="734" t="s">
        <v>12</v>
      </c>
      <c r="D319" s="735"/>
      <c r="E319" s="735"/>
      <c r="F319" s="804" t="s">
        <v>13</v>
      </c>
      <c r="G319" s="804" t="s">
        <v>13</v>
      </c>
      <c r="H319" s="754" t="s">
        <v>14</v>
      </c>
      <c r="I319" s="754"/>
      <c r="J319" s="755"/>
      <c r="K319" s="755"/>
      <c r="L319" s="755"/>
      <c r="M319" s="755"/>
      <c r="N319" s="755"/>
      <c r="O319" s="755"/>
      <c r="P319" s="755"/>
      <c r="Q319" s="755"/>
      <c r="R319" s="755"/>
      <c r="S319" s="755"/>
      <c r="T319" s="755"/>
      <c r="U319" s="755"/>
      <c r="V319" s="755"/>
      <c r="W319" s="756"/>
      <c r="X319" s="745" t="s">
        <v>15</v>
      </c>
      <c r="Y319" s="746"/>
      <c r="Z319" s="746"/>
      <c r="AA319" s="746"/>
      <c r="AB319" s="743" t="s">
        <v>16</v>
      </c>
      <c r="AF319" s="741" t="s">
        <v>3</v>
      </c>
      <c r="AG319" s="742"/>
      <c r="AH319" s="742"/>
    </row>
    <row r="320" spans="1:34" ht="11.25" customHeight="1" thickBot="1" x14ac:dyDescent="0.25">
      <c r="A320" s="20"/>
      <c r="B320" s="900"/>
      <c r="C320" s="736"/>
      <c r="D320" s="736"/>
      <c r="E320" s="736"/>
      <c r="F320" s="805"/>
      <c r="G320" s="805"/>
      <c r="H320" s="291"/>
      <c r="I320" s="288" t="s">
        <v>310</v>
      </c>
      <c r="J320" s="292"/>
      <c r="K320" s="288" t="s">
        <v>18</v>
      </c>
      <c r="L320" s="293"/>
      <c r="M320" s="293" t="s">
        <v>19</v>
      </c>
      <c r="N320" s="293"/>
      <c r="O320" s="288" t="s">
        <v>20</v>
      </c>
      <c r="P320" s="293"/>
      <c r="Q320" s="293" t="s">
        <v>312</v>
      </c>
      <c r="R320" s="293"/>
      <c r="S320" s="293" t="s">
        <v>21</v>
      </c>
      <c r="T320" s="293"/>
      <c r="U320" s="293" t="s">
        <v>22</v>
      </c>
      <c r="V320" s="293"/>
      <c r="W320" s="295" t="s">
        <v>23</v>
      </c>
      <c r="X320" s="747"/>
      <c r="Y320" s="748"/>
      <c r="Z320" s="748"/>
      <c r="AA320" s="748"/>
      <c r="AB320" s="744"/>
    </row>
    <row r="321" spans="1:31" ht="12.6" customHeight="1" x14ac:dyDescent="0.2">
      <c r="A321" s="101" t="s">
        <v>414</v>
      </c>
      <c r="B321" s="920" t="s">
        <v>421</v>
      </c>
      <c r="C321" s="921"/>
      <c r="D321" s="921"/>
      <c r="E321" s="922"/>
      <c r="F321" s="472">
        <f>0.466*X2</f>
        <v>430.584</v>
      </c>
      <c r="G321" s="299">
        <f t="shared" ref="G321:G327" si="737">+F321*$X$1</f>
        <v>430.584</v>
      </c>
      <c r="H321" s="375"/>
      <c r="I321" s="375"/>
      <c r="J321" s="131"/>
      <c r="K321" s="337"/>
      <c r="L321" s="375">
        <f t="shared" ref="L321:L329" si="738">F321+70</f>
        <v>500.584</v>
      </c>
      <c r="M321" s="337">
        <f t="shared" ref="M321:M329" si="739">+L321*$X$1</f>
        <v>500.584</v>
      </c>
      <c r="N321" s="375">
        <f t="shared" ref="N321:N329" si="740">F321+42</f>
        <v>472.584</v>
      </c>
      <c r="O321" s="337">
        <f t="shared" ref="O321:O339" si="741">+N321*$X$1</f>
        <v>472.584</v>
      </c>
      <c r="P321" s="375">
        <f t="shared" ref="P321:P329" si="742">F321+38</f>
        <v>468.584</v>
      </c>
      <c r="Q321" s="337">
        <f t="shared" ref="Q321:Q329" si="743">+P321*$X$1</f>
        <v>468.584</v>
      </c>
      <c r="R321" s="375">
        <f t="shared" ref="R321:R329" si="744">F321+29</f>
        <v>459.584</v>
      </c>
      <c r="S321" s="337">
        <f t="shared" ref="S321:S339" si="745">+R321*$X$1</f>
        <v>459.584</v>
      </c>
      <c r="T321" s="108">
        <f t="shared" ref="T321:T329" si="746">F321+24</f>
        <v>454.584</v>
      </c>
      <c r="U321" s="299">
        <f t="shared" ref="U321:U339" si="747">+T321*$X$1</f>
        <v>454.584</v>
      </c>
      <c r="V321" s="108">
        <f t="shared" ref="V321:V329" si="748">F321+19</f>
        <v>449.584</v>
      </c>
      <c r="W321" s="299">
        <f t="shared" ref="W321:W339" si="749">+V321*$X$1</f>
        <v>449.584</v>
      </c>
      <c r="X321" s="141"/>
      <c r="Y321" s="149"/>
      <c r="Z321" s="149"/>
      <c r="AA321" s="149"/>
      <c r="AB321" s="522">
        <v>2176</v>
      </c>
      <c r="AC321" s="539"/>
      <c r="AD321" s="24"/>
    </row>
    <row r="322" spans="1:31" ht="12.6" customHeight="1" x14ac:dyDescent="0.2">
      <c r="A322" s="101"/>
      <c r="B322" s="701" t="s">
        <v>809</v>
      </c>
      <c r="C322" s="688"/>
      <c r="D322" s="688"/>
      <c r="E322" s="688"/>
      <c r="F322" s="473">
        <f>0.614*X2</f>
        <v>567.33600000000001</v>
      </c>
      <c r="G322" s="363">
        <f t="shared" si="737"/>
        <v>567.33600000000001</v>
      </c>
      <c r="H322" s="584"/>
      <c r="I322" s="584"/>
      <c r="J322" s="130"/>
      <c r="K322" s="338"/>
      <c r="L322" s="584">
        <f t="shared" si="738"/>
        <v>637.33600000000001</v>
      </c>
      <c r="M322" s="338">
        <f t="shared" si="739"/>
        <v>637.33600000000001</v>
      </c>
      <c r="N322" s="584">
        <f t="shared" si="740"/>
        <v>609.33600000000001</v>
      </c>
      <c r="O322" s="338">
        <f t="shared" si="741"/>
        <v>609.33600000000001</v>
      </c>
      <c r="P322" s="584">
        <f t="shared" si="742"/>
        <v>605.33600000000001</v>
      </c>
      <c r="Q322" s="338">
        <f t="shared" si="743"/>
        <v>605.33600000000001</v>
      </c>
      <c r="R322" s="584">
        <f t="shared" si="744"/>
        <v>596.33600000000001</v>
      </c>
      <c r="S322" s="338">
        <f t="shared" si="745"/>
        <v>596.33600000000001</v>
      </c>
      <c r="T322" s="107">
        <f t="shared" si="746"/>
        <v>591.33600000000001</v>
      </c>
      <c r="U322" s="363">
        <f t="shared" si="747"/>
        <v>591.33600000000001</v>
      </c>
      <c r="V322" s="107">
        <f t="shared" si="748"/>
        <v>586.33600000000001</v>
      </c>
      <c r="W322" s="363">
        <f t="shared" si="749"/>
        <v>586.33600000000001</v>
      </c>
      <c r="X322" s="141"/>
      <c r="Y322" s="149"/>
      <c r="Z322" s="149"/>
      <c r="AA322" s="149"/>
      <c r="AB322" s="522">
        <v>2180</v>
      </c>
      <c r="AC322" s="24"/>
      <c r="AD322" s="24"/>
    </row>
    <row r="323" spans="1:31" ht="12" customHeight="1" x14ac:dyDescent="0.2">
      <c r="A323" s="200"/>
      <c r="B323" s="703" t="s">
        <v>236</v>
      </c>
      <c r="C323" s="749"/>
      <c r="D323" s="749"/>
      <c r="E323" s="750"/>
      <c r="F323" s="472">
        <f>0.8*X2</f>
        <v>739.2</v>
      </c>
      <c r="G323" s="299">
        <f t="shared" si="737"/>
        <v>739.2</v>
      </c>
      <c r="H323" s="375"/>
      <c r="I323" s="375"/>
      <c r="J323" s="131"/>
      <c r="K323" s="337"/>
      <c r="L323" s="375">
        <f t="shared" si="738"/>
        <v>809.2</v>
      </c>
      <c r="M323" s="337">
        <f t="shared" si="739"/>
        <v>809.2</v>
      </c>
      <c r="N323" s="375">
        <f t="shared" si="740"/>
        <v>781.2</v>
      </c>
      <c r="O323" s="337">
        <f t="shared" si="741"/>
        <v>781.2</v>
      </c>
      <c r="P323" s="375"/>
      <c r="Q323" s="337"/>
      <c r="R323" s="375"/>
      <c r="S323" s="337"/>
      <c r="T323" s="108"/>
      <c r="U323" s="299"/>
      <c r="V323" s="108"/>
      <c r="W323" s="299"/>
      <c r="X323" s="141"/>
      <c r="Y323" s="141"/>
      <c r="Z323" s="141"/>
      <c r="AA323" s="141"/>
      <c r="AB323" s="522">
        <v>2184</v>
      </c>
    </row>
    <row r="324" spans="1:31" ht="12" customHeight="1" x14ac:dyDescent="0.2">
      <c r="A324" s="200"/>
      <c r="B324" s="795" t="s">
        <v>237</v>
      </c>
      <c r="C324" s="796"/>
      <c r="D324" s="796"/>
      <c r="E324" s="797"/>
      <c r="F324" s="473">
        <f>0.763*X2</f>
        <v>705.01200000000006</v>
      </c>
      <c r="G324" s="363">
        <f t="shared" si="737"/>
        <v>705.01200000000006</v>
      </c>
      <c r="H324" s="584"/>
      <c r="I324" s="584"/>
      <c r="J324" s="130"/>
      <c r="K324" s="338"/>
      <c r="L324" s="584">
        <f t="shared" si="738"/>
        <v>775.01200000000006</v>
      </c>
      <c r="M324" s="338">
        <f t="shared" si="739"/>
        <v>775.01200000000006</v>
      </c>
      <c r="N324" s="584">
        <f t="shared" si="740"/>
        <v>747.01200000000006</v>
      </c>
      <c r="O324" s="338">
        <f t="shared" si="741"/>
        <v>747.01200000000006</v>
      </c>
      <c r="P324" s="584">
        <f t="shared" si="742"/>
        <v>743.01200000000006</v>
      </c>
      <c r="Q324" s="338">
        <f t="shared" si="743"/>
        <v>743.01200000000006</v>
      </c>
      <c r="R324" s="584">
        <f t="shared" si="744"/>
        <v>734.01200000000006</v>
      </c>
      <c r="S324" s="338">
        <f t="shared" si="745"/>
        <v>734.01200000000006</v>
      </c>
      <c r="T324" s="107">
        <f t="shared" si="746"/>
        <v>729.01200000000006</v>
      </c>
      <c r="U324" s="363">
        <f t="shared" si="747"/>
        <v>729.01200000000006</v>
      </c>
      <c r="V324" s="107">
        <f t="shared" si="748"/>
        <v>724.01200000000006</v>
      </c>
      <c r="W324" s="363">
        <f t="shared" si="749"/>
        <v>724.01200000000006</v>
      </c>
      <c r="X324" s="141"/>
      <c r="Y324" s="141"/>
      <c r="Z324" s="141"/>
      <c r="AA324" s="141"/>
      <c r="AB324" s="522" t="s">
        <v>238</v>
      </c>
    </row>
    <row r="325" spans="1:31" ht="12" customHeight="1" x14ac:dyDescent="0.2">
      <c r="A325" s="101"/>
      <c r="B325" s="703" t="s">
        <v>239</v>
      </c>
      <c r="C325" s="706"/>
      <c r="D325" s="706"/>
      <c r="E325" s="707"/>
      <c r="F325" s="472">
        <f>0.372*X2</f>
        <v>343.72800000000001</v>
      </c>
      <c r="G325" s="299">
        <f t="shared" si="737"/>
        <v>343.72800000000001</v>
      </c>
      <c r="H325" s="375"/>
      <c r="I325" s="375"/>
      <c r="J325" s="131"/>
      <c r="K325" s="337"/>
      <c r="L325" s="375">
        <f t="shared" si="738"/>
        <v>413.72800000000001</v>
      </c>
      <c r="M325" s="337">
        <f t="shared" si="739"/>
        <v>413.72800000000001</v>
      </c>
      <c r="N325" s="375">
        <f t="shared" si="740"/>
        <v>385.72800000000001</v>
      </c>
      <c r="O325" s="337">
        <f t="shared" si="741"/>
        <v>385.72800000000001</v>
      </c>
      <c r="P325" s="375">
        <f t="shared" si="742"/>
        <v>381.72800000000001</v>
      </c>
      <c r="Q325" s="337">
        <f t="shared" si="743"/>
        <v>381.72800000000001</v>
      </c>
      <c r="R325" s="375">
        <f t="shared" si="744"/>
        <v>372.72800000000001</v>
      </c>
      <c r="S325" s="337">
        <f t="shared" si="745"/>
        <v>372.72800000000001</v>
      </c>
      <c r="T325" s="108">
        <f t="shared" si="746"/>
        <v>367.72800000000001</v>
      </c>
      <c r="U325" s="299">
        <f t="shared" si="747"/>
        <v>367.72800000000001</v>
      </c>
      <c r="V325" s="108">
        <f t="shared" si="748"/>
        <v>362.72800000000001</v>
      </c>
      <c r="W325" s="299">
        <f t="shared" si="749"/>
        <v>362.72800000000001</v>
      </c>
      <c r="X325" s="141"/>
      <c r="Y325" s="141"/>
      <c r="Z325" s="141"/>
      <c r="AA325" s="141"/>
      <c r="AB325" s="522">
        <v>2189</v>
      </c>
    </row>
    <row r="326" spans="1:31" ht="12.6" customHeight="1" x14ac:dyDescent="0.2">
      <c r="A326" s="101"/>
      <c r="B326" s="795" t="s">
        <v>240</v>
      </c>
      <c r="C326" s="796"/>
      <c r="D326" s="796"/>
      <c r="E326" s="797"/>
      <c r="F326" s="473">
        <f>0.652*X2</f>
        <v>602.44799999999998</v>
      </c>
      <c r="G326" s="363">
        <f t="shared" si="737"/>
        <v>602.44799999999998</v>
      </c>
      <c r="H326" s="584"/>
      <c r="I326" s="584"/>
      <c r="J326" s="130"/>
      <c r="K326" s="338"/>
      <c r="L326" s="584">
        <f t="shared" si="738"/>
        <v>672.44799999999998</v>
      </c>
      <c r="M326" s="338">
        <f t="shared" si="739"/>
        <v>672.44799999999998</v>
      </c>
      <c r="N326" s="584">
        <f t="shared" si="740"/>
        <v>644.44799999999998</v>
      </c>
      <c r="O326" s="338">
        <f t="shared" si="741"/>
        <v>644.44799999999998</v>
      </c>
      <c r="P326" s="584">
        <f t="shared" si="742"/>
        <v>640.44799999999998</v>
      </c>
      <c r="Q326" s="338">
        <f t="shared" si="743"/>
        <v>640.44799999999998</v>
      </c>
      <c r="R326" s="584">
        <f t="shared" si="744"/>
        <v>631.44799999999998</v>
      </c>
      <c r="S326" s="338">
        <f t="shared" si="745"/>
        <v>631.44799999999998</v>
      </c>
      <c r="T326" s="107">
        <f t="shared" si="746"/>
        <v>626.44799999999998</v>
      </c>
      <c r="U326" s="363">
        <f t="shared" si="747"/>
        <v>626.44799999999998</v>
      </c>
      <c r="V326" s="107">
        <f t="shared" si="748"/>
        <v>621.44799999999998</v>
      </c>
      <c r="W326" s="363">
        <f t="shared" si="749"/>
        <v>621.44799999999998</v>
      </c>
      <c r="X326" s="141"/>
      <c r="Y326" s="141"/>
      <c r="Z326" s="141"/>
      <c r="AA326" s="141"/>
      <c r="AB326" s="522">
        <v>2190</v>
      </c>
    </row>
    <row r="327" spans="1:31" ht="12.6" customHeight="1" x14ac:dyDescent="0.2">
      <c r="A327" s="20"/>
      <c r="B327" s="1251" t="s">
        <v>241</v>
      </c>
      <c r="C327" s="706"/>
      <c r="D327" s="706"/>
      <c r="E327" s="707"/>
      <c r="F327" s="472">
        <f>0.521*X2</f>
        <v>481.404</v>
      </c>
      <c r="G327" s="299">
        <f t="shared" si="737"/>
        <v>481.404</v>
      </c>
      <c r="H327" s="375"/>
      <c r="I327" s="375"/>
      <c r="J327" s="131"/>
      <c r="K327" s="337"/>
      <c r="L327" s="375">
        <f t="shared" si="738"/>
        <v>551.404</v>
      </c>
      <c r="M327" s="337">
        <f t="shared" si="739"/>
        <v>551.404</v>
      </c>
      <c r="N327" s="375">
        <f t="shared" si="740"/>
        <v>523.404</v>
      </c>
      <c r="O327" s="337">
        <f t="shared" si="741"/>
        <v>523.404</v>
      </c>
      <c r="P327" s="375">
        <f t="shared" si="742"/>
        <v>519.404</v>
      </c>
      <c r="Q327" s="337">
        <f t="shared" si="743"/>
        <v>519.404</v>
      </c>
      <c r="R327" s="375">
        <f t="shared" si="744"/>
        <v>510.404</v>
      </c>
      <c r="S327" s="337">
        <f t="shared" si="745"/>
        <v>510.404</v>
      </c>
      <c r="T327" s="108">
        <f t="shared" si="746"/>
        <v>505.404</v>
      </c>
      <c r="U327" s="299">
        <f t="shared" si="747"/>
        <v>505.404</v>
      </c>
      <c r="V327" s="108">
        <f t="shared" si="748"/>
        <v>500.404</v>
      </c>
      <c r="W327" s="299">
        <f t="shared" si="749"/>
        <v>500.404</v>
      </c>
      <c r="X327" s="197"/>
      <c r="Y327" s="198"/>
      <c r="Z327" s="198"/>
      <c r="AA327" s="197"/>
      <c r="AB327" s="522">
        <v>2193</v>
      </c>
    </row>
    <row r="328" spans="1:31" ht="12.6" customHeight="1" x14ac:dyDescent="0.2">
      <c r="A328" s="20"/>
      <c r="B328" s="701" t="s">
        <v>242</v>
      </c>
      <c r="C328" s="688"/>
      <c r="D328" s="688"/>
      <c r="E328" s="688"/>
      <c r="F328" s="473">
        <f>0.614*X2</f>
        <v>567.33600000000001</v>
      </c>
      <c r="G328" s="363">
        <f t="shared" ref="G328:G335" si="750">+F328*$X$1</f>
        <v>567.33600000000001</v>
      </c>
      <c r="H328" s="584"/>
      <c r="I328" s="584"/>
      <c r="J328" s="130"/>
      <c r="K328" s="338"/>
      <c r="L328" s="584">
        <f t="shared" si="738"/>
        <v>637.33600000000001</v>
      </c>
      <c r="M328" s="338">
        <f t="shared" si="739"/>
        <v>637.33600000000001</v>
      </c>
      <c r="N328" s="584">
        <f t="shared" si="740"/>
        <v>609.33600000000001</v>
      </c>
      <c r="O328" s="338">
        <f t="shared" si="741"/>
        <v>609.33600000000001</v>
      </c>
      <c r="P328" s="584">
        <f t="shared" si="742"/>
        <v>605.33600000000001</v>
      </c>
      <c r="Q328" s="338">
        <f t="shared" si="743"/>
        <v>605.33600000000001</v>
      </c>
      <c r="R328" s="584">
        <f t="shared" si="744"/>
        <v>596.33600000000001</v>
      </c>
      <c r="S328" s="338">
        <f t="shared" si="745"/>
        <v>596.33600000000001</v>
      </c>
      <c r="T328" s="107">
        <f t="shared" si="746"/>
        <v>591.33600000000001</v>
      </c>
      <c r="U328" s="363">
        <f t="shared" si="747"/>
        <v>591.33600000000001</v>
      </c>
      <c r="V328" s="107">
        <f t="shared" si="748"/>
        <v>586.33600000000001</v>
      </c>
      <c r="W328" s="363">
        <f t="shared" si="749"/>
        <v>586.33600000000001</v>
      </c>
      <c r="X328" s="141"/>
      <c r="Y328" s="141"/>
      <c r="Z328" s="141"/>
      <c r="AA328" s="141"/>
      <c r="AB328" s="522">
        <v>2194</v>
      </c>
    </row>
    <row r="329" spans="1:31" ht="12.6" customHeight="1" x14ac:dyDescent="0.2">
      <c r="A329" s="20"/>
      <c r="B329" s="1274" t="s">
        <v>243</v>
      </c>
      <c r="C329" s="1275"/>
      <c r="D329" s="1275"/>
      <c r="E329" s="1276"/>
      <c r="F329" s="472">
        <f>0.67*X2</f>
        <v>619.08000000000004</v>
      </c>
      <c r="G329" s="299">
        <f t="shared" si="750"/>
        <v>619.08000000000004</v>
      </c>
      <c r="H329" s="375"/>
      <c r="I329" s="375"/>
      <c r="J329" s="131"/>
      <c r="K329" s="337"/>
      <c r="L329" s="375">
        <f t="shared" si="738"/>
        <v>689.08</v>
      </c>
      <c r="M329" s="337">
        <f t="shared" si="739"/>
        <v>689.08</v>
      </c>
      <c r="N329" s="375">
        <f t="shared" si="740"/>
        <v>661.08</v>
      </c>
      <c r="O329" s="337">
        <f t="shared" si="741"/>
        <v>661.08</v>
      </c>
      <c r="P329" s="375">
        <f t="shared" si="742"/>
        <v>657.08</v>
      </c>
      <c r="Q329" s="337">
        <f t="shared" si="743"/>
        <v>657.08</v>
      </c>
      <c r="R329" s="375">
        <f t="shared" si="744"/>
        <v>648.08000000000004</v>
      </c>
      <c r="S329" s="337">
        <f t="shared" si="745"/>
        <v>648.08000000000004</v>
      </c>
      <c r="T329" s="108">
        <f t="shared" si="746"/>
        <v>643.08000000000004</v>
      </c>
      <c r="U329" s="299">
        <f t="shared" si="747"/>
        <v>643.08000000000004</v>
      </c>
      <c r="V329" s="108">
        <f t="shared" si="748"/>
        <v>638.08000000000004</v>
      </c>
      <c r="W329" s="299">
        <f t="shared" si="749"/>
        <v>638.08000000000004</v>
      </c>
      <c r="X329" s="141"/>
      <c r="Y329" s="141"/>
      <c r="Z329" s="141"/>
      <c r="AA329" s="141"/>
      <c r="AB329" s="522">
        <v>2195</v>
      </c>
    </row>
    <row r="330" spans="1:31" ht="12.6" customHeight="1" x14ac:dyDescent="0.2">
      <c r="A330" s="20"/>
      <c r="B330" s="701" t="s">
        <v>244</v>
      </c>
      <c r="C330" s="688"/>
      <c r="D330" s="688"/>
      <c r="E330" s="688"/>
      <c r="F330" s="473">
        <f>0.652*X2</f>
        <v>602.44799999999998</v>
      </c>
      <c r="G330" s="363">
        <f t="shared" si="750"/>
        <v>602.44799999999998</v>
      </c>
      <c r="H330" s="584"/>
      <c r="I330" s="584"/>
      <c r="J330" s="584"/>
      <c r="K330" s="338"/>
      <c r="L330" s="584">
        <f t="shared" ref="L330:L339" si="751">F330+70</f>
        <v>672.44799999999998</v>
      </c>
      <c r="M330" s="338">
        <f t="shared" ref="M330:M339" si="752">+L330*$X$1</f>
        <v>672.44799999999998</v>
      </c>
      <c r="N330" s="584">
        <f t="shared" ref="N330:N339" si="753">F330+42</f>
        <v>644.44799999999998</v>
      </c>
      <c r="O330" s="338">
        <f t="shared" si="741"/>
        <v>644.44799999999998</v>
      </c>
      <c r="P330" s="584">
        <f t="shared" ref="P330:P339" si="754">F330+38</f>
        <v>640.44799999999998</v>
      </c>
      <c r="Q330" s="338">
        <f t="shared" ref="Q330:Q339" si="755">+P330*$X$1</f>
        <v>640.44799999999998</v>
      </c>
      <c r="R330" s="584">
        <f t="shared" ref="R330:R339" si="756">F330+29</f>
        <v>631.44799999999998</v>
      </c>
      <c r="S330" s="338">
        <f t="shared" si="745"/>
        <v>631.44799999999998</v>
      </c>
      <c r="T330" s="107"/>
      <c r="U330" s="363"/>
      <c r="V330" s="107"/>
      <c r="W330" s="363"/>
      <c r="X330" s="141"/>
      <c r="Y330" s="141"/>
      <c r="Z330" s="141"/>
      <c r="AA330" s="141"/>
      <c r="AB330" s="522">
        <v>2198</v>
      </c>
    </row>
    <row r="331" spans="1:31" ht="12.6" customHeight="1" x14ac:dyDescent="0.2">
      <c r="A331" s="111"/>
      <c r="B331" s="708" t="s">
        <v>378</v>
      </c>
      <c r="C331" s="751"/>
      <c r="D331" s="751"/>
      <c r="E331" s="751"/>
      <c r="F331" s="472">
        <f>0.56*X2</f>
        <v>517.44000000000005</v>
      </c>
      <c r="G331" s="299">
        <f t="shared" si="750"/>
        <v>517.44000000000005</v>
      </c>
      <c r="H331" s="375"/>
      <c r="I331" s="375"/>
      <c r="J331" s="375"/>
      <c r="K331" s="337"/>
      <c r="L331" s="375">
        <f t="shared" si="751"/>
        <v>587.44000000000005</v>
      </c>
      <c r="M331" s="337">
        <f t="shared" si="752"/>
        <v>587.44000000000005</v>
      </c>
      <c r="N331" s="375">
        <f t="shared" si="753"/>
        <v>559.44000000000005</v>
      </c>
      <c r="O331" s="337">
        <f t="shared" si="741"/>
        <v>559.44000000000005</v>
      </c>
      <c r="P331" s="375">
        <f t="shared" si="754"/>
        <v>555.44000000000005</v>
      </c>
      <c r="Q331" s="337">
        <f t="shared" si="755"/>
        <v>555.44000000000005</v>
      </c>
      <c r="R331" s="375">
        <f t="shared" si="756"/>
        <v>546.44000000000005</v>
      </c>
      <c r="S331" s="337">
        <f t="shared" si="745"/>
        <v>546.44000000000005</v>
      </c>
      <c r="T331" s="108">
        <f t="shared" ref="T331:T339" si="757">F331+24</f>
        <v>541.44000000000005</v>
      </c>
      <c r="U331" s="299">
        <f t="shared" si="747"/>
        <v>541.44000000000005</v>
      </c>
      <c r="V331" s="108">
        <f t="shared" ref="V331:V339" si="758">F331+19</f>
        <v>536.44000000000005</v>
      </c>
      <c r="W331" s="299">
        <f t="shared" si="749"/>
        <v>536.44000000000005</v>
      </c>
      <c r="X331" s="166"/>
      <c r="Y331" s="141"/>
      <c r="Z331" s="141"/>
      <c r="AA331" s="141"/>
      <c r="AB331" s="522">
        <v>2202</v>
      </c>
    </row>
    <row r="332" spans="1:31" ht="12.6" customHeight="1" x14ac:dyDescent="0.2">
      <c r="A332" s="111"/>
      <c r="B332" s="701" t="s">
        <v>379</v>
      </c>
      <c r="C332" s="702"/>
      <c r="D332" s="702"/>
      <c r="E332" s="702"/>
      <c r="F332" s="473">
        <f>0.56*X2</f>
        <v>517.44000000000005</v>
      </c>
      <c r="G332" s="363">
        <f t="shared" si="750"/>
        <v>517.44000000000005</v>
      </c>
      <c r="H332" s="584"/>
      <c r="I332" s="584"/>
      <c r="J332" s="584"/>
      <c r="K332" s="338"/>
      <c r="L332" s="584">
        <f t="shared" si="751"/>
        <v>587.44000000000005</v>
      </c>
      <c r="M332" s="338">
        <f t="shared" si="752"/>
        <v>587.44000000000005</v>
      </c>
      <c r="N332" s="584">
        <f t="shared" si="753"/>
        <v>559.44000000000005</v>
      </c>
      <c r="O332" s="338">
        <f t="shared" si="741"/>
        <v>559.44000000000005</v>
      </c>
      <c r="P332" s="584">
        <f t="shared" si="754"/>
        <v>555.44000000000005</v>
      </c>
      <c r="Q332" s="338">
        <f t="shared" si="755"/>
        <v>555.44000000000005</v>
      </c>
      <c r="R332" s="584">
        <f t="shared" si="756"/>
        <v>546.44000000000005</v>
      </c>
      <c r="S332" s="338">
        <f t="shared" si="745"/>
        <v>546.44000000000005</v>
      </c>
      <c r="T332" s="107">
        <f t="shared" si="757"/>
        <v>541.44000000000005</v>
      </c>
      <c r="U332" s="363">
        <f t="shared" si="747"/>
        <v>541.44000000000005</v>
      </c>
      <c r="V332" s="107">
        <f t="shared" si="758"/>
        <v>536.44000000000005</v>
      </c>
      <c r="W332" s="363">
        <f t="shared" si="749"/>
        <v>536.44000000000005</v>
      </c>
      <c r="X332" s="141"/>
      <c r="Y332" s="141"/>
      <c r="Z332" s="141"/>
      <c r="AA332" s="141"/>
      <c r="AB332" s="522" t="s">
        <v>245</v>
      </c>
    </row>
    <row r="333" spans="1:31" ht="12.6" customHeight="1" x14ac:dyDescent="0.2">
      <c r="A333" s="111"/>
      <c r="B333" s="708" t="s">
        <v>380</v>
      </c>
      <c r="C333" s="751"/>
      <c r="D333" s="751"/>
      <c r="E333" s="751"/>
      <c r="F333" s="472">
        <f>0.58*X2</f>
        <v>535.91999999999996</v>
      </c>
      <c r="G333" s="299">
        <f t="shared" ref="G333:G336" si="759">+F333*$X$1</f>
        <v>535.91999999999996</v>
      </c>
      <c r="H333" s="375"/>
      <c r="I333" s="375"/>
      <c r="J333" s="375"/>
      <c r="K333" s="337"/>
      <c r="L333" s="375">
        <f t="shared" si="751"/>
        <v>605.91999999999996</v>
      </c>
      <c r="M333" s="337">
        <f t="shared" si="752"/>
        <v>605.91999999999996</v>
      </c>
      <c r="N333" s="375">
        <f t="shared" si="753"/>
        <v>577.91999999999996</v>
      </c>
      <c r="O333" s="337">
        <f t="shared" si="741"/>
        <v>577.91999999999996</v>
      </c>
      <c r="P333" s="375">
        <f t="shared" si="754"/>
        <v>573.91999999999996</v>
      </c>
      <c r="Q333" s="337">
        <f t="shared" si="755"/>
        <v>573.91999999999996</v>
      </c>
      <c r="R333" s="375">
        <f t="shared" si="756"/>
        <v>564.91999999999996</v>
      </c>
      <c r="S333" s="337">
        <f t="shared" si="745"/>
        <v>564.91999999999996</v>
      </c>
      <c r="T333" s="108">
        <f t="shared" si="757"/>
        <v>559.91999999999996</v>
      </c>
      <c r="U333" s="299">
        <f t="shared" si="747"/>
        <v>559.91999999999996</v>
      </c>
      <c r="V333" s="108">
        <f t="shared" si="758"/>
        <v>554.91999999999996</v>
      </c>
      <c r="W333" s="299">
        <f t="shared" si="749"/>
        <v>554.91999999999996</v>
      </c>
      <c r="X333" s="141"/>
      <c r="Y333" s="141"/>
      <c r="Z333" s="141"/>
      <c r="AA333" s="141"/>
      <c r="AB333" s="522" t="s">
        <v>246</v>
      </c>
    </row>
    <row r="334" spans="1:31" ht="12.6" customHeight="1" x14ac:dyDescent="0.2">
      <c r="A334" s="111"/>
      <c r="B334" s="1267" t="s">
        <v>745</v>
      </c>
      <c r="C334" s="1281"/>
      <c r="D334" s="1281"/>
      <c r="E334" s="1282"/>
      <c r="F334" s="473">
        <f>0.708*X2</f>
        <v>654.19200000000001</v>
      </c>
      <c r="G334" s="363">
        <f t="shared" si="759"/>
        <v>654.19200000000001</v>
      </c>
      <c r="H334" s="584"/>
      <c r="I334" s="584"/>
      <c r="J334" s="584"/>
      <c r="K334" s="338"/>
      <c r="L334" s="584">
        <f t="shared" si="751"/>
        <v>724.19200000000001</v>
      </c>
      <c r="M334" s="338">
        <f t="shared" si="752"/>
        <v>724.19200000000001</v>
      </c>
      <c r="N334" s="584">
        <f t="shared" si="753"/>
        <v>696.19200000000001</v>
      </c>
      <c r="O334" s="338">
        <f t="shared" si="741"/>
        <v>696.19200000000001</v>
      </c>
      <c r="P334" s="584">
        <f t="shared" si="754"/>
        <v>692.19200000000001</v>
      </c>
      <c r="Q334" s="338">
        <f t="shared" si="755"/>
        <v>692.19200000000001</v>
      </c>
      <c r="R334" s="584">
        <f t="shared" si="756"/>
        <v>683.19200000000001</v>
      </c>
      <c r="S334" s="338">
        <f t="shared" si="745"/>
        <v>683.19200000000001</v>
      </c>
      <c r="T334" s="107">
        <f t="shared" si="757"/>
        <v>678.19200000000001</v>
      </c>
      <c r="U334" s="363">
        <f t="shared" si="747"/>
        <v>678.19200000000001</v>
      </c>
      <c r="V334" s="107">
        <f t="shared" si="758"/>
        <v>673.19200000000001</v>
      </c>
      <c r="W334" s="363">
        <f t="shared" si="749"/>
        <v>673.19200000000001</v>
      </c>
      <c r="X334" s="724"/>
      <c r="Y334" s="724"/>
      <c r="Z334" s="724"/>
      <c r="AA334" s="695"/>
      <c r="AB334" s="522" t="s">
        <v>749</v>
      </c>
      <c r="AC334" s="69"/>
      <c r="AE334" s="91"/>
    </row>
    <row r="335" spans="1:31" ht="12.6" customHeight="1" x14ac:dyDescent="0.2">
      <c r="A335" s="111"/>
      <c r="B335" s="1046" t="s">
        <v>247</v>
      </c>
      <c r="C335" s="1279"/>
      <c r="D335" s="1279"/>
      <c r="E335" s="1280"/>
      <c r="F335" s="472">
        <f>0.8*X2</f>
        <v>739.2</v>
      </c>
      <c r="G335" s="299">
        <f t="shared" si="750"/>
        <v>739.2</v>
      </c>
      <c r="H335" s="375"/>
      <c r="I335" s="375"/>
      <c r="J335" s="375"/>
      <c r="K335" s="337"/>
      <c r="L335" s="375">
        <f t="shared" si="751"/>
        <v>809.2</v>
      </c>
      <c r="M335" s="337">
        <f t="shared" si="752"/>
        <v>809.2</v>
      </c>
      <c r="N335" s="375">
        <f t="shared" si="753"/>
        <v>781.2</v>
      </c>
      <c r="O335" s="337">
        <f t="shared" si="741"/>
        <v>781.2</v>
      </c>
      <c r="P335" s="375">
        <f t="shared" si="754"/>
        <v>777.2</v>
      </c>
      <c r="Q335" s="337">
        <f t="shared" si="755"/>
        <v>777.2</v>
      </c>
      <c r="R335" s="375">
        <f t="shared" si="756"/>
        <v>768.2</v>
      </c>
      <c r="S335" s="337">
        <f t="shared" si="745"/>
        <v>768.2</v>
      </c>
      <c r="T335" s="108">
        <f t="shared" si="757"/>
        <v>763.2</v>
      </c>
      <c r="U335" s="299">
        <f t="shared" si="747"/>
        <v>763.2</v>
      </c>
      <c r="V335" s="108">
        <f t="shared" si="758"/>
        <v>758.2</v>
      </c>
      <c r="W335" s="299">
        <f t="shared" si="749"/>
        <v>758.2</v>
      </c>
      <c r="X335" s="724"/>
      <c r="Y335" s="724"/>
      <c r="Z335" s="724"/>
      <c r="AA335" s="695"/>
      <c r="AB335" s="522" t="s">
        <v>248</v>
      </c>
      <c r="AC335" s="69"/>
      <c r="AE335" s="91"/>
    </row>
    <row r="336" spans="1:31" ht="12.6" customHeight="1" x14ac:dyDescent="0.2">
      <c r="A336" s="101"/>
      <c r="B336" s="757" t="s">
        <v>249</v>
      </c>
      <c r="C336" s="1293"/>
      <c r="D336" s="1293"/>
      <c r="E336" s="1294"/>
      <c r="F336" s="473">
        <f>0.782*X2</f>
        <v>722.56799999999998</v>
      </c>
      <c r="G336" s="363">
        <f t="shared" si="759"/>
        <v>722.56799999999998</v>
      </c>
      <c r="H336" s="584"/>
      <c r="I336" s="584"/>
      <c r="J336" s="584"/>
      <c r="K336" s="338"/>
      <c r="L336" s="584">
        <f t="shared" si="751"/>
        <v>792.56799999999998</v>
      </c>
      <c r="M336" s="338">
        <f t="shared" si="752"/>
        <v>792.56799999999998</v>
      </c>
      <c r="N336" s="584">
        <f t="shared" si="753"/>
        <v>764.56799999999998</v>
      </c>
      <c r="O336" s="338">
        <f t="shared" si="741"/>
        <v>764.56799999999998</v>
      </c>
      <c r="P336" s="584">
        <f t="shared" si="754"/>
        <v>760.56799999999998</v>
      </c>
      <c r="Q336" s="338">
        <f t="shared" si="755"/>
        <v>760.56799999999998</v>
      </c>
      <c r="R336" s="584">
        <f t="shared" si="756"/>
        <v>751.56799999999998</v>
      </c>
      <c r="S336" s="338">
        <f t="shared" si="745"/>
        <v>751.56799999999998</v>
      </c>
      <c r="T336" s="107">
        <f t="shared" si="757"/>
        <v>746.56799999999998</v>
      </c>
      <c r="U336" s="363">
        <f t="shared" si="747"/>
        <v>746.56799999999998</v>
      </c>
      <c r="V336" s="107">
        <f t="shared" si="758"/>
        <v>741.56799999999998</v>
      </c>
      <c r="W336" s="363">
        <f t="shared" si="749"/>
        <v>741.56799999999998</v>
      </c>
      <c r="X336" s="184"/>
      <c r="Y336" s="141"/>
      <c r="Z336" s="141"/>
      <c r="AA336" s="141"/>
      <c r="AB336" s="522">
        <v>2203</v>
      </c>
      <c r="AC336" s="245"/>
    </row>
    <row r="337" spans="1:29" ht="12.6" customHeight="1" x14ac:dyDescent="0.2">
      <c r="A337" s="101"/>
      <c r="B337" s="1101" t="s">
        <v>250</v>
      </c>
      <c r="C337" s="1270"/>
      <c r="D337" s="1270"/>
      <c r="E337" s="1270"/>
      <c r="F337" s="472">
        <f>0.838*X2</f>
        <v>774.31200000000001</v>
      </c>
      <c r="G337" s="299">
        <f>+F337*$X$1</f>
        <v>774.31200000000001</v>
      </c>
      <c r="H337" s="375"/>
      <c r="I337" s="375"/>
      <c r="J337" s="375"/>
      <c r="K337" s="337"/>
      <c r="L337" s="375">
        <f t="shared" si="751"/>
        <v>844.31200000000001</v>
      </c>
      <c r="M337" s="337">
        <f t="shared" si="752"/>
        <v>844.31200000000001</v>
      </c>
      <c r="N337" s="375">
        <f t="shared" si="753"/>
        <v>816.31200000000001</v>
      </c>
      <c r="O337" s="337">
        <f t="shared" si="741"/>
        <v>816.31200000000001</v>
      </c>
      <c r="P337" s="375">
        <f t="shared" si="754"/>
        <v>812.31200000000001</v>
      </c>
      <c r="Q337" s="337">
        <f t="shared" si="755"/>
        <v>812.31200000000001</v>
      </c>
      <c r="R337" s="375">
        <f t="shared" si="756"/>
        <v>803.31200000000001</v>
      </c>
      <c r="S337" s="337">
        <f t="shared" si="745"/>
        <v>803.31200000000001</v>
      </c>
      <c r="T337" s="108">
        <f t="shared" si="757"/>
        <v>798.31200000000001</v>
      </c>
      <c r="U337" s="299">
        <f t="shared" si="747"/>
        <v>798.31200000000001</v>
      </c>
      <c r="V337" s="108">
        <f t="shared" si="758"/>
        <v>793.31200000000001</v>
      </c>
      <c r="W337" s="299">
        <f t="shared" si="749"/>
        <v>793.31200000000001</v>
      </c>
      <c r="X337" s="185"/>
      <c r="Y337" s="145"/>
      <c r="Z337" s="145"/>
      <c r="AA337" s="148"/>
      <c r="AB337" s="522">
        <v>2205</v>
      </c>
      <c r="AC337" s="69"/>
    </row>
    <row r="338" spans="1:29" ht="12.6" customHeight="1" x14ac:dyDescent="0.2">
      <c r="A338" s="101"/>
      <c r="B338" s="701" t="s">
        <v>251</v>
      </c>
      <c r="C338" s="702"/>
      <c r="D338" s="702"/>
      <c r="E338" s="702"/>
      <c r="F338" s="473">
        <f>0.521*X2</f>
        <v>481.404</v>
      </c>
      <c r="G338" s="363">
        <f>+F338*$X$1</f>
        <v>481.404</v>
      </c>
      <c r="H338" s="584"/>
      <c r="I338" s="584"/>
      <c r="J338" s="584"/>
      <c r="K338" s="338"/>
      <c r="L338" s="584">
        <f t="shared" si="751"/>
        <v>551.404</v>
      </c>
      <c r="M338" s="338">
        <f t="shared" si="752"/>
        <v>551.404</v>
      </c>
      <c r="N338" s="584">
        <f t="shared" si="753"/>
        <v>523.404</v>
      </c>
      <c r="O338" s="338">
        <f t="shared" si="741"/>
        <v>523.404</v>
      </c>
      <c r="P338" s="584">
        <f t="shared" si="754"/>
        <v>519.404</v>
      </c>
      <c r="Q338" s="338">
        <f t="shared" si="755"/>
        <v>519.404</v>
      </c>
      <c r="R338" s="584">
        <f t="shared" si="756"/>
        <v>510.404</v>
      </c>
      <c r="S338" s="338">
        <f t="shared" si="745"/>
        <v>510.404</v>
      </c>
      <c r="T338" s="107">
        <f t="shared" si="757"/>
        <v>505.404</v>
      </c>
      <c r="U338" s="363">
        <f t="shared" si="747"/>
        <v>505.404</v>
      </c>
      <c r="V338" s="107">
        <f t="shared" si="758"/>
        <v>500.404</v>
      </c>
      <c r="W338" s="363">
        <f t="shared" si="749"/>
        <v>500.404</v>
      </c>
      <c r="X338" s="145"/>
      <c r="Y338" s="145"/>
      <c r="Z338" s="145"/>
      <c r="AA338" s="148"/>
      <c r="AB338" s="522">
        <v>2207</v>
      </c>
    </row>
    <row r="339" spans="1:29" ht="12.6" customHeight="1" x14ac:dyDescent="0.2">
      <c r="A339" s="101"/>
      <c r="B339" s="708" t="s">
        <v>252</v>
      </c>
      <c r="C339" s="751"/>
      <c r="D339" s="751"/>
      <c r="E339" s="751"/>
      <c r="F339" s="472">
        <f>0.42*X2</f>
        <v>388.08</v>
      </c>
      <c r="G339" s="609">
        <f>+F339*$X$1</f>
        <v>388.08</v>
      </c>
      <c r="H339" s="120"/>
      <c r="I339" s="120"/>
      <c r="J339" s="120"/>
      <c r="K339" s="339"/>
      <c r="L339" s="375">
        <f t="shared" si="751"/>
        <v>458.08</v>
      </c>
      <c r="M339" s="337">
        <f t="shared" si="752"/>
        <v>458.08</v>
      </c>
      <c r="N339" s="375">
        <f t="shared" si="753"/>
        <v>430.08</v>
      </c>
      <c r="O339" s="337">
        <f t="shared" si="741"/>
        <v>430.08</v>
      </c>
      <c r="P339" s="375">
        <f t="shared" si="754"/>
        <v>426.08</v>
      </c>
      <c r="Q339" s="337">
        <f t="shared" si="755"/>
        <v>426.08</v>
      </c>
      <c r="R339" s="375">
        <f t="shared" si="756"/>
        <v>417.08</v>
      </c>
      <c r="S339" s="337">
        <f t="shared" si="745"/>
        <v>417.08</v>
      </c>
      <c r="T339" s="108">
        <f t="shared" si="757"/>
        <v>412.08</v>
      </c>
      <c r="U339" s="299">
        <f t="shared" si="747"/>
        <v>412.08</v>
      </c>
      <c r="V339" s="108">
        <f t="shared" si="758"/>
        <v>407.08</v>
      </c>
      <c r="W339" s="299">
        <f t="shared" si="749"/>
        <v>407.08</v>
      </c>
      <c r="X339" s="145"/>
      <c r="Y339" s="145"/>
      <c r="Z339" s="145"/>
      <c r="AA339" s="148"/>
      <c r="AB339" s="522">
        <v>2209</v>
      </c>
    </row>
    <row r="340" spans="1:29" ht="12.6" customHeight="1" x14ac:dyDescent="0.2">
      <c r="A340" s="101"/>
      <c r="B340" s="1277" t="s">
        <v>253</v>
      </c>
      <c r="C340" s="1278"/>
      <c r="D340" s="1278"/>
      <c r="E340" s="1278"/>
      <c r="F340" s="473">
        <f>4.636*X2</f>
        <v>4283.6639999999998</v>
      </c>
      <c r="G340" s="338">
        <f t="shared" ref="G340" si="760">+F340*$X$1</f>
        <v>4283.6639999999998</v>
      </c>
      <c r="H340" s="584">
        <f>F340+250</f>
        <v>4533.6639999999998</v>
      </c>
      <c r="I340" s="338">
        <f>+H340*$X$1</f>
        <v>4533.6639999999998</v>
      </c>
      <c r="J340" s="584">
        <f>F340+80</f>
        <v>4363.6639999999998</v>
      </c>
      <c r="K340" s="338">
        <f t="shared" ref="K340" si="761">+J340*$X$1</f>
        <v>4363.6639999999998</v>
      </c>
      <c r="L340" s="584">
        <f>F340+60</f>
        <v>4343.6639999999998</v>
      </c>
      <c r="M340" s="338">
        <f t="shared" ref="M340" si="762">+L340*$X$1</f>
        <v>4343.6639999999998</v>
      </c>
      <c r="N340" s="584">
        <f>F340+40</f>
        <v>4323.6639999999998</v>
      </c>
      <c r="O340" s="338">
        <f t="shared" ref="O340" si="763">+N340*$X$1</f>
        <v>4323.6639999999998</v>
      </c>
      <c r="P340" s="584">
        <f>F340+37</f>
        <v>4320.6639999999998</v>
      </c>
      <c r="Q340" s="338">
        <f t="shared" ref="Q340" si="764">+P340*$X$1</f>
        <v>4320.6639999999998</v>
      </c>
      <c r="R340" s="584">
        <f>F340+33</f>
        <v>4316.6639999999998</v>
      </c>
      <c r="S340" s="338">
        <f t="shared" ref="S340" si="765">+R340*$X$1</f>
        <v>4316.6639999999998</v>
      </c>
      <c r="T340" s="584">
        <f>F340+29</f>
        <v>4312.6639999999998</v>
      </c>
      <c r="U340" s="338">
        <f t="shared" ref="U340" si="766">+T340*$X$1</f>
        <v>4312.6639999999998</v>
      </c>
      <c r="V340" s="584">
        <f>F340+25</f>
        <v>4308.6639999999998</v>
      </c>
      <c r="W340" s="338">
        <f t="shared" ref="W340" si="767">+V340*$X$1</f>
        <v>4308.6639999999998</v>
      </c>
      <c r="X340" s="693"/>
      <c r="Y340" s="724"/>
      <c r="Z340" s="724"/>
      <c r="AA340" s="695"/>
      <c r="AB340" s="522">
        <v>2216</v>
      </c>
      <c r="AC340" s="69"/>
    </row>
    <row r="341" spans="1:29" ht="12.6" customHeight="1" x14ac:dyDescent="0.2">
      <c r="A341" s="111"/>
      <c r="B341" s="930" t="s">
        <v>422</v>
      </c>
      <c r="C341" s="897"/>
      <c r="D341" s="897"/>
      <c r="E341" s="897"/>
      <c r="F341" s="476">
        <v>1350</v>
      </c>
      <c r="G341" s="402">
        <f>+F341*$X$1</f>
        <v>1350</v>
      </c>
      <c r="H341" s="585">
        <f>F341+250</f>
        <v>1600</v>
      </c>
      <c r="I341" s="402">
        <f>+H341*$X$1</f>
        <v>1600</v>
      </c>
      <c r="J341" s="585">
        <f>F341+80</f>
        <v>1430</v>
      </c>
      <c r="K341" s="402">
        <f t="shared" ref="K341" si="768">+J341*$X$1</f>
        <v>1430</v>
      </c>
      <c r="L341" s="585">
        <f>F341+60</f>
        <v>1410</v>
      </c>
      <c r="M341" s="402">
        <f t="shared" ref="M341:M345" si="769">+L341*$X$1</f>
        <v>1410</v>
      </c>
      <c r="N341" s="585">
        <f>F341+40</f>
        <v>1390</v>
      </c>
      <c r="O341" s="402">
        <f t="shared" ref="O341:O345" si="770">+N341*$X$1</f>
        <v>1390</v>
      </c>
      <c r="P341" s="109"/>
      <c r="Q341" s="1150" t="s">
        <v>155</v>
      </c>
      <c r="R341" s="1151"/>
      <c r="S341" s="1151"/>
      <c r="T341" s="1151"/>
      <c r="U341" s="1151"/>
      <c r="V341" s="1151"/>
      <c r="W341" s="1152"/>
      <c r="X341" s="693"/>
      <c r="Y341" s="724"/>
      <c r="Z341" s="724"/>
      <c r="AA341" s="695"/>
      <c r="AB341" s="522">
        <v>2222</v>
      </c>
    </row>
    <row r="342" spans="1:29" ht="12.6" customHeight="1" x14ac:dyDescent="0.2">
      <c r="A342" s="20"/>
      <c r="B342" s="1267" t="s">
        <v>816</v>
      </c>
      <c r="C342" s="1268"/>
      <c r="D342" s="1268"/>
      <c r="E342" s="1269"/>
      <c r="F342" s="477">
        <f>0.585*X2</f>
        <v>540.54</v>
      </c>
      <c r="G342" s="338">
        <f t="shared" ref="G342" si="771">+F342*$X$1</f>
        <v>540.54</v>
      </c>
      <c r="H342" s="327"/>
      <c r="I342" s="327"/>
      <c r="J342" s="596"/>
      <c r="K342" s="596"/>
      <c r="L342" s="596">
        <f t="shared" ref="L342" si="772">F342+70</f>
        <v>610.54</v>
      </c>
      <c r="M342" s="338">
        <f t="shared" si="769"/>
        <v>610.54</v>
      </c>
      <c r="N342" s="596">
        <f t="shared" ref="N342" si="773">F342+42</f>
        <v>582.54</v>
      </c>
      <c r="O342" s="338">
        <f t="shared" si="770"/>
        <v>582.54</v>
      </c>
      <c r="P342" s="596">
        <f t="shared" ref="P342" si="774">F342+38</f>
        <v>578.54</v>
      </c>
      <c r="Q342" s="338">
        <f t="shared" ref="Q342" si="775">+P342*$X$1</f>
        <v>578.54</v>
      </c>
      <c r="R342" s="596">
        <f t="shared" ref="R342" si="776">F342+29</f>
        <v>569.54</v>
      </c>
      <c r="S342" s="338">
        <f t="shared" ref="S342" si="777">+R342*$X$1</f>
        <v>569.54</v>
      </c>
      <c r="T342" s="107">
        <f t="shared" ref="T342" si="778">F342+24</f>
        <v>564.54</v>
      </c>
      <c r="U342" s="363">
        <f t="shared" ref="U342" si="779">+T342*$X$1</f>
        <v>564.54</v>
      </c>
      <c r="V342" s="107">
        <f t="shared" ref="V342" si="780">F342+19</f>
        <v>559.54</v>
      </c>
      <c r="W342" s="363">
        <f t="shared" ref="W342" si="781">+V342*$X$1</f>
        <v>559.54</v>
      </c>
      <c r="X342" s="595"/>
      <c r="Y342" s="594"/>
      <c r="Z342" s="594"/>
      <c r="AA342" s="595"/>
      <c r="AB342" s="522">
        <v>2231</v>
      </c>
      <c r="AC342" s="69"/>
    </row>
    <row r="343" spans="1:29" ht="12.6" customHeight="1" x14ac:dyDescent="0.2">
      <c r="A343" s="20"/>
      <c r="B343" s="1267" t="s">
        <v>829</v>
      </c>
      <c r="C343" s="1268"/>
      <c r="D343" s="1268"/>
      <c r="E343" s="1269"/>
      <c r="F343" s="478">
        <f>0.568*X2</f>
        <v>524.83199999999999</v>
      </c>
      <c r="G343" s="337">
        <f t="shared" ref="G343" si="782">+F343*$X$1</f>
        <v>524.83199999999999</v>
      </c>
      <c r="H343" s="328"/>
      <c r="I343" s="328"/>
      <c r="J343" s="375"/>
      <c r="K343" s="375"/>
      <c r="L343" s="375">
        <f t="shared" ref="L343" si="783">F343+70</f>
        <v>594.83199999999999</v>
      </c>
      <c r="M343" s="337">
        <f t="shared" ref="M343" si="784">+L343*$X$1</f>
        <v>594.83199999999999</v>
      </c>
      <c r="N343" s="375">
        <f t="shared" ref="N343" si="785">F343+42</f>
        <v>566.83199999999999</v>
      </c>
      <c r="O343" s="337">
        <f t="shared" ref="O343" si="786">+N343*$X$1</f>
        <v>566.83199999999999</v>
      </c>
      <c r="P343" s="375">
        <f t="shared" ref="P343" si="787">F343+38</f>
        <v>562.83199999999999</v>
      </c>
      <c r="Q343" s="337">
        <f t="shared" ref="Q343" si="788">+P343*$X$1</f>
        <v>562.83199999999999</v>
      </c>
      <c r="R343" s="375">
        <f t="shared" ref="R343" si="789">F343+29</f>
        <v>553.83199999999999</v>
      </c>
      <c r="S343" s="337">
        <f t="shared" ref="S343" si="790">+R343*$X$1</f>
        <v>553.83199999999999</v>
      </c>
      <c r="T343" s="108">
        <f t="shared" ref="T343" si="791">F343+24</f>
        <v>548.83199999999999</v>
      </c>
      <c r="U343" s="299">
        <f t="shared" ref="U343" si="792">+T343*$X$1</f>
        <v>548.83199999999999</v>
      </c>
      <c r="V343" s="108">
        <f t="shared" ref="V343" si="793">F343+19</f>
        <v>543.83199999999999</v>
      </c>
      <c r="W343" s="299">
        <f t="shared" ref="W343" si="794">+V343*$X$1</f>
        <v>543.83199999999999</v>
      </c>
      <c r="X343" s="604"/>
      <c r="Y343" s="603"/>
      <c r="Z343" s="603"/>
      <c r="AA343" s="604"/>
      <c r="AB343" s="522">
        <v>2232</v>
      </c>
      <c r="AC343" s="69"/>
    </row>
    <row r="344" spans="1:29" ht="12.6" customHeight="1" x14ac:dyDescent="0.2">
      <c r="A344" s="20"/>
      <c r="B344" s="1267" t="s">
        <v>916</v>
      </c>
      <c r="C344" s="1268"/>
      <c r="D344" s="1268"/>
      <c r="E344" s="1269"/>
      <c r="F344" s="477">
        <f>1*X2</f>
        <v>924</v>
      </c>
      <c r="G344" s="338">
        <f t="shared" ref="G344" si="795">+F344*$X$1</f>
        <v>924</v>
      </c>
      <c r="H344" s="327"/>
      <c r="I344" s="327"/>
      <c r="J344" s="605"/>
      <c r="K344" s="605"/>
      <c r="L344" s="605">
        <f t="shared" ref="L344" si="796">F344+70</f>
        <v>994</v>
      </c>
      <c r="M344" s="338">
        <f t="shared" ref="M344" si="797">+L344*$X$1</f>
        <v>994</v>
      </c>
      <c r="N344" s="605">
        <f t="shared" ref="N344" si="798">F344+42</f>
        <v>966</v>
      </c>
      <c r="O344" s="338">
        <f t="shared" ref="O344" si="799">+N344*$X$1</f>
        <v>966</v>
      </c>
      <c r="P344" s="605">
        <f t="shared" ref="P344" si="800">F344+38</f>
        <v>962</v>
      </c>
      <c r="Q344" s="338">
        <f t="shared" ref="Q344" si="801">+P344*$X$1</f>
        <v>962</v>
      </c>
      <c r="R344" s="605">
        <f t="shared" ref="R344" si="802">F344+29</f>
        <v>953</v>
      </c>
      <c r="S344" s="338">
        <f t="shared" ref="S344" si="803">+R344*$X$1</f>
        <v>953</v>
      </c>
      <c r="T344" s="107">
        <f t="shared" ref="T344" si="804">F344+24</f>
        <v>948</v>
      </c>
      <c r="U344" s="363">
        <f t="shared" ref="U344" si="805">+T344*$X$1</f>
        <v>948</v>
      </c>
      <c r="V344" s="107">
        <f t="shared" ref="V344" si="806">F344+19</f>
        <v>943</v>
      </c>
      <c r="W344" s="363">
        <f t="shared" ref="W344" si="807">+V344*$X$1</f>
        <v>943</v>
      </c>
      <c r="X344" s="604"/>
      <c r="Y344" s="603"/>
      <c r="Z344" s="603"/>
      <c r="AA344" s="604"/>
      <c r="AB344" s="522">
        <v>2233</v>
      </c>
      <c r="AC344" s="69"/>
    </row>
    <row r="345" spans="1:29" ht="12.6" customHeight="1" x14ac:dyDescent="0.2">
      <c r="A345" s="101"/>
      <c r="B345" s="930" t="s">
        <v>917</v>
      </c>
      <c r="C345" s="1297"/>
      <c r="D345" s="1297"/>
      <c r="E345" s="1297"/>
      <c r="F345" s="476">
        <f>0.4*X2</f>
        <v>369.6</v>
      </c>
      <c r="G345" s="402">
        <f t="shared" ref="G345:G349" si="808">+F345*$X$1</f>
        <v>369.6</v>
      </c>
      <c r="H345" s="585"/>
      <c r="I345" s="402"/>
      <c r="J345" s="585"/>
      <c r="K345" s="402"/>
      <c r="L345" s="585">
        <f>F345+110</f>
        <v>479.6</v>
      </c>
      <c r="M345" s="402">
        <f t="shared" si="769"/>
        <v>479.6</v>
      </c>
      <c r="N345" s="585">
        <f>F345+65</f>
        <v>434.6</v>
      </c>
      <c r="O345" s="402">
        <f t="shared" si="770"/>
        <v>434.6</v>
      </c>
      <c r="P345" s="585">
        <f>F345+60</f>
        <v>429.6</v>
      </c>
      <c r="Q345" s="402">
        <f t="shared" ref="Q345" si="809">+P345*$X$1</f>
        <v>429.6</v>
      </c>
      <c r="R345" s="585">
        <f>F345+45</f>
        <v>414.6</v>
      </c>
      <c r="S345" s="402">
        <f t="shared" ref="S345" si="810">+R345*$X$1</f>
        <v>414.6</v>
      </c>
      <c r="T345" s="585">
        <f>F345+36</f>
        <v>405.6</v>
      </c>
      <c r="U345" s="402">
        <f t="shared" ref="U345" si="811">+T345*$X$1</f>
        <v>405.6</v>
      </c>
      <c r="V345" s="335"/>
      <c r="W345" s="418"/>
      <c r="X345" s="149"/>
      <c r="Y345" s="145"/>
      <c r="Z345" s="145"/>
      <c r="AA345" s="148"/>
      <c r="AB345" s="522">
        <v>2234</v>
      </c>
    </row>
    <row r="346" spans="1:29" ht="12.6" customHeight="1" x14ac:dyDescent="0.2">
      <c r="A346" s="101"/>
      <c r="B346" s="701" t="s">
        <v>918</v>
      </c>
      <c r="C346" s="1244"/>
      <c r="D346" s="1244"/>
      <c r="E346" s="1244"/>
      <c r="F346" s="473">
        <f>0.614*X2</f>
        <v>567.33600000000001</v>
      </c>
      <c r="G346" s="338">
        <f t="shared" si="808"/>
        <v>567.33600000000001</v>
      </c>
      <c r="H346" s="327"/>
      <c r="I346" s="413"/>
      <c r="J346" s="584"/>
      <c r="K346" s="338"/>
      <c r="L346" s="584">
        <f>F346+110</f>
        <v>677.33600000000001</v>
      </c>
      <c r="M346" s="338">
        <f t="shared" ref="M346:M356" si="812">+L346*$X$1</f>
        <v>677.33600000000001</v>
      </c>
      <c r="N346" s="584">
        <f>F346+65</f>
        <v>632.33600000000001</v>
      </c>
      <c r="O346" s="338">
        <f t="shared" ref="O346:O356" si="813">+N346*$X$1</f>
        <v>632.33600000000001</v>
      </c>
      <c r="P346" s="584">
        <f>F346+60</f>
        <v>627.33600000000001</v>
      </c>
      <c r="Q346" s="338">
        <f t="shared" ref="Q346:Q355" si="814">+P346*$X$1</f>
        <v>627.33600000000001</v>
      </c>
      <c r="R346" s="584">
        <f>F346+45</f>
        <v>612.33600000000001</v>
      </c>
      <c r="S346" s="338">
        <f t="shared" ref="S346:S355" si="815">+R346*$X$1</f>
        <v>612.33600000000001</v>
      </c>
      <c r="T346" s="584">
        <f>F346+36</f>
        <v>603.33600000000001</v>
      </c>
      <c r="U346" s="338">
        <f t="shared" ref="U346:U355" si="816">+T346*$X$1</f>
        <v>603.33600000000001</v>
      </c>
      <c r="V346" s="584">
        <f>F346+29</f>
        <v>596.33600000000001</v>
      </c>
      <c r="W346" s="338">
        <f t="shared" ref="W346:W355" si="817">+V346*$X$1</f>
        <v>596.33600000000001</v>
      </c>
      <c r="X346" s="149"/>
      <c r="Y346" s="145"/>
      <c r="Z346" s="145"/>
      <c r="AA346" s="148"/>
      <c r="AB346" s="522" t="s">
        <v>254</v>
      </c>
    </row>
    <row r="347" spans="1:29" ht="12.6" customHeight="1" x14ac:dyDescent="0.2">
      <c r="A347" s="101"/>
      <c r="B347" s="708" t="s">
        <v>255</v>
      </c>
      <c r="C347" s="709"/>
      <c r="D347" s="709"/>
      <c r="E347" s="709"/>
      <c r="F347" s="472">
        <f>0.447*X2</f>
        <v>413.02800000000002</v>
      </c>
      <c r="G347" s="337">
        <f t="shared" si="808"/>
        <v>413.02800000000002</v>
      </c>
      <c r="H347" s="328"/>
      <c r="I347" s="412"/>
      <c r="J347" s="375"/>
      <c r="K347" s="337"/>
      <c r="L347" s="375">
        <f t="shared" ref="L347:L356" si="818">F347+70</f>
        <v>483.02800000000002</v>
      </c>
      <c r="M347" s="337">
        <f t="shared" si="812"/>
        <v>483.02800000000002</v>
      </c>
      <c r="N347" s="375">
        <f t="shared" ref="N347:N356" si="819">F347+42</f>
        <v>455.02800000000002</v>
      </c>
      <c r="O347" s="337">
        <f t="shared" si="813"/>
        <v>455.02800000000002</v>
      </c>
      <c r="P347" s="375">
        <f t="shared" ref="P347:P355" si="820">F347+38</f>
        <v>451.02800000000002</v>
      </c>
      <c r="Q347" s="337">
        <f t="shared" si="814"/>
        <v>451.02800000000002</v>
      </c>
      <c r="R347" s="375">
        <f t="shared" ref="R347:R355" si="821">F347+29</f>
        <v>442.02800000000002</v>
      </c>
      <c r="S347" s="337">
        <f t="shared" si="815"/>
        <v>442.02800000000002</v>
      </c>
      <c r="T347" s="108">
        <f t="shared" ref="T347:T355" si="822">F347+24</f>
        <v>437.02800000000002</v>
      </c>
      <c r="U347" s="299">
        <f t="shared" si="816"/>
        <v>437.02800000000002</v>
      </c>
      <c r="V347" s="108">
        <f>F347+19</f>
        <v>432.02800000000002</v>
      </c>
      <c r="W347" s="299">
        <f t="shared" si="817"/>
        <v>432.02800000000002</v>
      </c>
      <c r="X347" s="149"/>
      <c r="Y347" s="145"/>
      <c r="Z347" s="145"/>
      <c r="AA347" s="148"/>
      <c r="AB347" s="522">
        <v>2238</v>
      </c>
    </row>
    <row r="348" spans="1:29" ht="12.6" customHeight="1" x14ac:dyDescent="0.2">
      <c r="A348" s="111"/>
      <c r="B348" s="795" t="s">
        <v>256</v>
      </c>
      <c r="C348" s="796"/>
      <c r="D348" s="796"/>
      <c r="E348" s="797"/>
      <c r="F348" s="473">
        <f>0.428*X2</f>
        <v>395.47199999999998</v>
      </c>
      <c r="G348" s="338">
        <f t="shared" si="808"/>
        <v>395.47199999999998</v>
      </c>
      <c r="H348" s="327"/>
      <c r="I348" s="413"/>
      <c r="J348" s="584"/>
      <c r="K348" s="338"/>
      <c r="L348" s="584"/>
      <c r="M348" s="338"/>
      <c r="N348" s="584">
        <f t="shared" si="819"/>
        <v>437.47199999999998</v>
      </c>
      <c r="O348" s="338">
        <f t="shared" si="813"/>
        <v>437.47199999999998</v>
      </c>
      <c r="P348" s="584">
        <f t="shared" si="820"/>
        <v>433.47199999999998</v>
      </c>
      <c r="Q348" s="338">
        <f t="shared" si="814"/>
        <v>433.47199999999998</v>
      </c>
      <c r="R348" s="584">
        <f t="shared" si="821"/>
        <v>424.47199999999998</v>
      </c>
      <c r="S348" s="338">
        <f t="shared" si="815"/>
        <v>424.47199999999998</v>
      </c>
      <c r="T348" s="107">
        <f t="shared" si="822"/>
        <v>419.47199999999998</v>
      </c>
      <c r="U348" s="363">
        <f t="shared" si="816"/>
        <v>419.47199999999998</v>
      </c>
      <c r="V348" s="107">
        <f t="shared" ref="V348:V355" si="823">F348+19</f>
        <v>414.47199999999998</v>
      </c>
      <c r="W348" s="363">
        <f t="shared" si="817"/>
        <v>414.47199999999998</v>
      </c>
      <c r="X348" s="149"/>
      <c r="Y348" s="145"/>
      <c r="Z348" s="145"/>
      <c r="AA348" s="148"/>
      <c r="AB348" s="522">
        <v>2239</v>
      </c>
    </row>
    <row r="349" spans="1:29" ht="12.6" customHeight="1" x14ac:dyDescent="0.2">
      <c r="A349" s="101"/>
      <c r="B349" s="708" t="s">
        <v>257</v>
      </c>
      <c r="C349" s="709"/>
      <c r="D349" s="709"/>
      <c r="E349" s="709"/>
      <c r="F349" s="515">
        <f>0.35*X2</f>
        <v>323.39999999999998</v>
      </c>
      <c r="G349" s="337">
        <f t="shared" si="808"/>
        <v>323.39999999999998</v>
      </c>
      <c r="H349" s="328"/>
      <c r="I349" s="412"/>
      <c r="J349" s="375"/>
      <c r="K349" s="337"/>
      <c r="L349" s="375">
        <f t="shared" si="818"/>
        <v>393.4</v>
      </c>
      <c r="M349" s="337">
        <f t="shared" si="812"/>
        <v>393.4</v>
      </c>
      <c r="N349" s="375">
        <f t="shared" si="819"/>
        <v>365.4</v>
      </c>
      <c r="O349" s="337">
        <f t="shared" si="813"/>
        <v>365.4</v>
      </c>
      <c r="P349" s="375">
        <f t="shared" si="820"/>
        <v>361.4</v>
      </c>
      <c r="Q349" s="337">
        <f t="shared" si="814"/>
        <v>361.4</v>
      </c>
      <c r="R349" s="375">
        <f t="shared" si="821"/>
        <v>352.4</v>
      </c>
      <c r="S349" s="337">
        <f t="shared" si="815"/>
        <v>352.4</v>
      </c>
      <c r="T349" s="108">
        <f t="shared" si="822"/>
        <v>347.4</v>
      </c>
      <c r="U349" s="299">
        <f t="shared" si="816"/>
        <v>347.4</v>
      </c>
      <c r="V349" s="108"/>
      <c r="W349" s="299"/>
      <c r="X349" s="149"/>
      <c r="Y349" s="145"/>
      <c r="Z349" s="145"/>
      <c r="AA349" s="148"/>
      <c r="AB349" s="522">
        <v>2244</v>
      </c>
    </row>
    <row r="350" spans="1:29" ht="12.6" customHeight="1" x14ac:dyDescent="0.2">
      <c r="A350" s="20"/>
      <c r="B350" s="701" t="s">
        <v>375</v>
      </c>
      <c r="C350" s="688"/>
      <c r="D350" s="688"/>
      <c r="E350" s="688"/>
      <c r="F350" s="485">
        <f>0.29*X2</f>
        <v>267.95999999999998</v>
      </c>
      <c r="G350" s="338">
        <f t="shared" ref="G350" si="824">+F350*$X$1</f>
        <v>267.95999999999998</v>
      </c>
      <c r="H350" s="327"/>
      <c r="I350" s="413"/>
      <c r="J350" s="584"/>
      <c r="K350" s="338"/>
      <c r="L350" s="584">
        <f t="shared" si="818"/>
        <v>337.96</v>
      </c>
      <c r="M350" s="338">
        <f t="shared" si="812"/>
        <v>337.96</v>
      </c>
      <c r="N350" s="584">
        <f t="shared" si="819"/>
        <v>309.95999999999998</v>
      </c>
      <c r="O350" s="338">
        <f t="shared" si="813"/>
        <v>309.95999999999998</v>
      </c>
      <c r="P350" s="584">
        <f t="shared" si="820"/>
        <v>305.95999999999998</v>
      </c>
      <c r="Q350" s="338">
        <f t="shared" si="814"/>
        <v>305.95999999999998</v>
      </c>
      <c r="R350" s="584">
        <f t="shared" si="821"/>
        <v>296.95999999999998</v>
      </c>
      <c r="S350" s="338">
        <f t="shared" si="815"/>
        <v>296.95999999999998</v>
      </c>
      <c r="T350" s="107">
        <f t="shared" si="822"/>
        <v>291.95999999999998</v>
      </c>
      <c r="U350" s="363">
        <f t="shared" si="816"/>
        <v>291.95999999999998</v>
      </c>
      <c r="V350" s="107">
        <f t="shared" si="823"/>
        <v>286.95999999999998</v>
      </c>
      <c r="W350" s="363">
        <f t="shared" si="817"/>
        <v>286.95999999999998</v>
      </c>
      <c r="X350" s="149"/>
      <c r="Y350" s="145"/>
      <c r="Z350" s="145"/>
      <c r="AA350" s="148"/>
      <c r="AB350" s="522">
        <v>2245</v>
      </c>
    </row>
    <row r="351" spans="1:29" ht="12.6" customHeight="1" x14ac:dyDescent="0.2">
      <c r="A351" s="101"/>
      <c r="B351" s="708" t="s">
        <v>607</v>
      </c>
      <c r="C351" s="709"/>
      <c r="D351" s="709"/>
      <c r="E351" s="709"/>
      <c r="F351" s="337">
        <v>1246</v>
      </c>
      <c r="G351" s="337">
        <f>+F351*$X$1</f>
        <v>1246</v>
      </c>
      <c r="H351" s="328"/>
      <c r="I351" s="412"/>
      <c r="J351" s="375"/>
      <c r="K351" s="337"/>
      <c r="L351" s="375">
        <f t="shared" si="818"/>
        <v>1316</v>
      </c>
      <c r="M351" s="337">
        <f t="shared" si="812"/>
        <v>1316</v>
      </c>
      <c r="N351" s="375">
        <f t="shared" si="819"/>
        <v>1288</v>
      </c>
      <c r="O351" s="337">
        <f t="shared" si="813"/>
        <v>1288</v>
      </c>
      <c r="P351" s="375">
        <f t="shared" si="820"/>
        <v>1284</v>
      </c>
      <c r="Q351" s="337">
        <f t="shared" si="814"/>
        <v>1284</v>
      </c>
      <c r="R351" s="375">
        <f t="shared" si="821"/>
        <v>1275</v>
      </c>
      <c r="S351" s="337">
        <f t="shared" si="815"/>
        <v>1275</v>
      </c>
      <c r="T351" s="108">
        <f t="shared" si="822"/>
        <v>1270</v>
      </c>
      <c r="U351" s="299">
        <f t="shared" si="816"/>
        <v>1270</v>
      </c>
      <c r="V351" s="108">
        <f t="shared" si="823"/>
        <v>1265</v>
      </c>
      <c r="W351" s="299">
        <f t="shared" si="817"/>
        <v>1265</v>
      </c>
      <c r="X351" s="149"/>
      <c r="Y351" s="145"/>
      <c r="Z351" s="145"/>
      <c r="AA351" s="148"/>
      <c r="AB351" s="522">
        <v>2246</v>
      </c>
    </row>
    <row r="352" spans="1:29" ht="12.6" customHeight="1" x14ac:dyDescent="0.2">
      <c r="A352" s="20"/>
      <c r="B352" s="795" t="s">
        <v>553</v>
      </c>
      <c r="C352" s="907"/>
      <c r="D352" s="907"/>
      <c r="E352" s="908"/>
      <c r="F352" s="477">
        <f>0.47*X2</f>
        <v>434.28</v>
      </c>
      <c r="G352" s="338">
        <f t="shared" ref="G352:G357" si="825">+F352*$X$1</f>
        <v>434.28</v>
      </c>
      <c r="H352" s="327"/>
      <c r="I352" s="413"/>
      <c r="J352" s="584"/>
      <c r="K352" s="338"/>
      <c r="L352" s="584">
        <f t="shared" si="818"/>
        <v>504.28</v>
      </c>
      <c r="M352" s="338">
        <f t="shared" si="812"/>
        <v>504.28</v>
      </c>
      <c r="N352" s="584">
        <f t="shared" si="819"/>
        <v>476.28</v>
      </c>
      <c r="O352" s="338">
        <f t="shared" si="813"/>
        <v>476.28</v>
      </c>
      <c r="P352" s="584">
        <f t="shared" si="820"/>
        <v>472.28</v>
      </c>
      <c r="Q352" s="338">
        <f t="shared" si="814"/>
        <v>472.28</v>
      </c>
      <c r="R352" s="584">
        <f t="shared" si="821"/>
        <v>463.28</v>
      </c>
      <c r="S352" s="338">
        <f t="shared" si="815"/>
        <v>463.28</v>
      </c>
      <c r="T352" s="107">
        <f t="shared" si="822"/>
        <v>458.28</v>
      </c>
      <c r="U352" s="363">
        <f t="shared" si="816"/>
        <v>458.28</v>
      </c>
      <c r="V352" s="107">
        <f t="shared" si="823"/>
        <v>453.28</v>
      </c>
      <c r="W352" s="363">
        <f t="shared" si="817"/>
        <v>453.28</v>
      </c>
      <c r="X352" s="141"/>
      <c r="Y352" s="141"/>
      <c r="Z352" s="141"/>
      <c r="AA352" s="141"/>
      <c r="AB352" s="540">
        <v>2251</v>
      </c>
    </row>
    <row r="353" spans="1:29" ht="12.6" customHeight="1" x14ac:dyDescent="0.2">
      <c r="A353" s="20"/>
      <c r="B353" s="703" t="s">
        <v>808</v>
      </c>
      <c r="C353" s="752"/>
      <c r="D353" s="752"/>
      <c r="E353" s="753"/>
      <c r="F353" s="478">
        <f>0.47*X2</f>
        <v>434.28</v>
      </c>
      <c r="G353" s="337">
        <f t="shared" si="825"/>
        <v>434.28</v>
      </c>
      <c r="H353" s="328"/>
      <c r="I353" s="412"/>
      <c r="J353" s="375"/>
      <c r="K353" s="337"/>
      <c r="L353" s="375">
        <f t="shared" si="818"/>
        <v>504.28</v>
      </c>
      <c r="M353" s="337">
        <f t="shared" si="812"/>
        <v>504.28</v>
      </c>
      <c r="N353" s="375">
        <f t="shared" si="819"/>
        <v>476.28</v>
      </c>
      <c r="O353" s="337">
        <f t="shared" si="813"/>
        <v>476.28</v>
      </c>
      <c r="P353" s="375">
        <f t="shared" si="820"/>
        <v>472.28</v>
      </c>
      <c r="Q353" s="337">
        <f t="shared" si="814"/>
        <v>472.28</v>
      </c>
      <c r="R353" s="375">
        <f t="shared" si="821"/>
        <v>463.28</v>
      </c>
      <c r="S353" s="337">
        <f t="shared" si="815"/>
        <v>463.28</v>
      </c>
      <c r="T353" s="108">
        <f t="shared" si="822"/>
        <v>458.28</v>
      </c>
      <c r="U353" s="299">
        <f t="shared" si="816"/>
        <v>458.28</v>
      </c>
      <c r="V353" s="108">
        <f t="shared" si="823"/>
        <v>453.28</v>
      </c>
      <c r="W353" s="299">
        <f t="shared" si="817"/>
        <v>453.28</v>
      </c>
      <c r="X353" s="141"/>
      <c r="Y353" s="141"/>
      <c r="Z353" s="141"/>
      <c r="AA353" s="141"/>
      <c r="AB353" s="522">
        <v>2252</v>
      </c>
    </row>
    <row r="354" spans="1:29" ht="12.6" customHeight="1" x14ac:dyDescent="0.2">
      <c r="A354" s="111"/>
      <c r="B354" s="795" t="s">
        <v>258</v>
      </c>
      <c r="C354" s="904"/>
      <c r="D354" s="904"/>
      <c r="E354" s="905"/>
      <c r="F354" s="473">
        <f>0.372*X2</f>
        <v>343.72800000000001</v>
      </c>
      <c r="G354" s="338">
        <f t="shared" si="825"/>
        <v>343.72800000000001</v>
      </c>
      <c r="H354" s="327"/>
      <c r="I354" s="413"/>
      <c r="J354" s="584"/>
      <c r="K354" s="338"/>
      <c r="L354" s="584">
        <f t="shared" si="818"/>
        <v>413.72800000000001</v>
      </c>
      <c r="M354" s="338">
        <f t="shared" si="812"/>
        <v>413.72800000000001</v>
      </c>
      <c r="N354" s="584">
        <f t="shared" si="819"/>
        <v>385.72800000000001</v>
      </c>
      <c r="O354" s="338">
        <f t="shared" si="813"/>
        <v>385.72800000000001</v>
      </c>
      <c r="P354" s="584">
        <f t="shared" si="820"/>
        <v>381.72800000000001</v>
      </c>
      <c r="Q354" s="338">
        <f t="shared" si="814"/>
        <v>381.72800000000001</v>
      </c>
      <c r="R354" s="584">
        <f t="shared" si="821"/>
        <v>372.72800000000001</v>
      </c>
      <c r="S354" s="338">
        <f t="shared" si="815"/>
        <v>372.72800000000001</v>
      </c>
      <c r="T354" s="107">
        <f t="shared" si="822"/>
        <v>367.72800000000001</v>
      </c>
      <c r="U354" s="363">
        <f t="shared" si="816"/>
        <v>367.72800000000001</v>
      </c>
      <c r="V354" s="107">
        <f t="shared" si="823"/>
        <v>362.72800000000001</v>
      </c>
      <c r="W354" s="363">
        <f t="shared" si="817"/>
        <v>362.72800000000001</v>
      </c>
      <c r="X354" s="184"/>
      <c r="Y354" s="141"/>
      <c r="Z354" s="141"/>
      <c r="AA354" s="161"/>
      <c r="AB354" s="522">
        <v>2254</v>
      </c>
      <c r="AC354" s="69"/>
    </row>
    <row r="355" spans="1:29" ht="12.6" customHeight="1" x14ac:dyDescent="0.2">
      <c r="A355" s="111"/>
      <c r="B355" s="703" t="s">
        <v>566</v>
      </c>
      <c r="C355" s="749"/>
      <c r="D355" s="749"/>
      <c r="E355" s="750"/>
      <c r="F355" s="472">
        <f>0.429*X2</f>
        <v>396.39600000000002</v>
      </c>
      <c r="G355" s="337">
        <f t="shared" si="825"/>
        <v>396.39600000000002</v>
      </c>
      <c r="H355" s="328"/>
      <c r="I355" s="412"/>
      <c r="J355" s="375"/>
      <c r="K355" s="337"/>
      <c r="L355" s="375">
        <f t="shared" si="818"/>
        <v>466.39600000000002</v>
      </c>
      <c r="M355" s="337">
        <f t="shared" si="812"/>
        <v>466.39600000000002</v>
      </c>
      <c r="N355" s="375">
        <f t="shared" si="819"/>
        <v>438.39600000000002</v>
      </c>
      <c r="O355" s="337">
        <f t="shared" si="813"/>
        <v>438.39600000000002</v>
      </c>
      <c r="P355" s="375">
        <f t="shared" si="820"/>
        <v>434.39600000000002</v>
      </c>
      <c r="Q355" s="337">
        <f t="shared" si="814"/>
        <v>434.39600000000002</v>
      </c>
      <c r="R355" s="375">
        <f t="shared" si="821"/>
        <v>425.39600000000002</v>
      </c>
      <c r="S355" s="337">
        <f t="shared" si="815"/>
        <v>425.39600000000002</v>
      </c>
      <c r="T355" s="108">
        <f t="shared" si="822"/>
        <v>420.39600000000002</v>
      </c>
      <c r="U355" s="299">
        <f t="shared" si="816"/>
        <v>420.39600000000002</v>
      </c>
      <c r="V355" s="108">
        <f t="shared" si="823"/>
        <v>415.39600000000002</v>
      </c>
      <c r="W355" s="299">
        <f t="shared" si="817"/>
        <v>415.39600000000002</v>
      </c>
      <c r="X355" s="184"/>
      <c r="Y355" s="141"/>
      <c r="Z355" s="141"/>
      <c r="AA355" s="161"/>
      <c r="AB355" s="522" t="s">
        <v>597</v>
      </c>
      <c r="AC355" s="69"/>
    </row>
    <row r="356" spans="1:29" ht="12.6" customHeight="1" x14ac:dyDescent="0.2">
      <c r="A356" s="111"/>
      <c r="B356" s="795" t="s">
        <v>570</v>
      </c>
      <c r="C356" s="904"/>
      <c r="D356" s="904"/>
      <c r="E356" s="905"/>
      <c r="F356" s="473">
        <f>0.372*X2</f>
        <v>343.72800000000001</v>
      </c>
      <c r="G356" s="338">
        <f t="shared" si="825"/>
        <v>343.72800000000001</v>
      </c>
      <c r="H356" s="327"/>
      <c r="I356" s="413"/>
      <c r="J356" s="584"/>
      <c r="K356" s="338"/>
      <c r="L356" s="584">
        <f t="shared" si="818"/>
        <v>413.72800000000001</v>
      </c>
      <c r="M356" s="338">
        <f t="shared" si="812"/>
        <v>413.72800000000001</v>
      </c>
      <c r="N356" s="584">
        <f t="shared" si="819"/>
        <v>385.72800000000001</v>
      </c>
      <c r="O356" s="338">
        <f t="shared" si="813"/>
        <v>385.72800000000001</v>
      </c>
      <c r="P356" s="584"/>
      <c r="Q356" s="338"/>
      <c r="R356" s="584"/>
      <c r="S356" s="338"/>
      <c r="T356" s="107"/>
      <c r="U356" s="363"/>
      <c r="V356" s="107"/>
      <c r="W356" s="363"/>
      <c r="X356" s="184"/>
      <c r="Y356" s="141"/>
      <c r="Z356" s="141"/>
      <c r="AA356" s="161"/>
      <c r="AB356" s="522" t="s">
        <v>596</v>
      </c>
      <c r="AC356" s="69"/>
    </row>
    <row r="357" spans="1:29" ht="12.6" customHeight="1" x14ac:dyDescent="0.2">
      <c r="A357" s="111"/>
      <c r="B357" s="703" t="s">
        <v>259</v>
      </c>
      <c r="C357" s="706"/>
      <c r="D357" s="706"/>
      <c r="E357" s="707"/>
      <c r="F357" s="337">
        <v>577</v>
      </c>
      <c r="G357" s="337">
        <f t="shared" si="825"/>
        <v>577</v>
      </c>
      <c r="H357" s="328"/>
      <c r="I357" s="412"/>
      <c r="J357" s="375"/>
      <c r="K357" s="337"/>
      <c r="L357" s="375">
        <f t="shared" ref="L357" si="826">F357+70</f>
        <v>647</v>
      </c>
      <c r="M357" s="337">
        <f t="shared" ref="M357" si="827">+L357*$X$1</f>
        <v>647</v>
      </c>
      <c r="N357" s="375">
        <f t="shared" ref="N357" si="828">F357+42</f>
        <v>619</v>
      </c>
      <c r="O357" s="337">
        <f t="shared" ref="O357" si="829">+N357*$X$1</f>
        <v>619</v>
      </c>
      <c r="P357" s="375">
        <f t="shared" ref="P357" si="830">F357+38</f>
        <v>615</v>
      </c>
      <c r="Q357" s="337">
        <f t="shared" ref="Q357" si="831">+P357*$X$1</f>
        <v>615</v>
      </c>
      <c r="R357" s="375">
        <f t="shared" ref="R357" si="832">F357+29</f>
        <v>606</v>
      </c>
      <c r="S357" s="337">
        <f t="shared" ref="S357" si="833">+R357*$X$1</f>
        <v>606</v>
      </c>
      <c r="T357" s="108">
        <f t="shared" ref="T357" si="834">F357+24</f>
        <v>601</v>
      </c>
      <c r="U357" s="299">
        <f t="shared" ref="U357" si="835">+T357*$X$1</f>
        <v>601</v>
      </c>
      <c r="V357" s="108">
        <f t="shared" ref="V357" si="836">F357+19</f>
        <v>596</v>
      </c>
      <c r="W357" s="299">
        <f t="shared" ref="W357" si="837">+V357*$X$1</f>
        <v>596</v>
      </c>
      <c r="X357" s="184"/>
      <c r="Y357" s="141"/>
      <c r="Z357" s="141"/>
      <c r="AA357" s="141"/>
      <c r="AB357" s="522">
        <v>2255</v>
      </c>
      <c r="AC357" s="69"/>
    </row>
    <row r="358" spans="1:29" ht="12.6" customHeight="1" x14ac:dyDescent="0.2">
      <c r="A358" s="20"/>
      <c r="B358" s="1067" t="s">
        <v>646</v>
      </c>
      <c r="C358" s="1271"/>
      <c r="D358" s="1271"/>
      <c r="E358" s="1271"/>
      <c r="F358" s="392"/>
      <c r="G358" s="338"/>
      <c r="H358" s="584"/>
      <c r="I358" s="338"/>
      <c r="J358" s="584"/>
      <c r="K358" s="338"/>
      <c r="L358" s="584"/>
      <c r="M358" s="338"/>
      <c r="N358" s="584"/>
      <c r="O358" s="338"/>
      <c r="P358" s="584"/>
      <c r="Q358" s="338"/>
      <c r="R358" s="584"/>
      <c r="S358" s="338"/>
      <c r="T358" s="584"/>
      <c r="U358" s="338"/>
      <c r="V358" s="584"/>
      <c r="W358" s="338"/>
      <c r="X358" s="693"/>
      <c r="Y358" s="694"/>
      <c r="Z358" s="694"/>
      <c r="AA358" s="695"/>
      <c r="AB358" s="522">
        <v>2257</v>
      </c>
      <c r="AC358" s="69"/>
    </row>
    <row r="359" spans="1:29" ht="12.6" customHeight="1" x14ac:dyDescent="0.2">
      <c r="A359" s="20"/>
      <c r="B359" s="901" t="s">
        <v>787</v>
      </c>
      <c r="C359" s="902"/>
      <c r="D359" s="902"/>
      <c r="E359" s="902"/>
      <c r="F359" s="472">
        <f>0.702*X2</f>
        <v>648.64799999999991</v>
      </c>
      <c r="G359" s="337">
        <f t="shared" ref="G359" si="838">+F359*$X$1</f>
        <v>648.64799999999991</v>
      </c>
      <c r="H359" s="375"/>
      <c r="I359" s="337"/>
      <c r="J359" s="375"/>
      <c r="K359" s="337"/>
      <c r="L359" s="375">
        <f t="shared" ref="L359:L363" si="839">F359+70</f>
        <v>718.64799999999991</v>
      </c>
      <c r="M359" s="337">
        <f t="shared" ref="M359:M364" si="840">+L359*$X$1</f>
        <v>718.64799999999991</v>
      </c>
      <c r="N359" s="375">
        <f t="shared" ref="N359:N363" si="841">F359+42</f>
        <v>690.64799999999991</v>
      </c>
      <c r="O359" s="337">
        <f t="shared" ref="O359:O364" si="842">+N359*$X$1</f>
        <v>690.64799999999991</v>
      </c>
      <c r="P359" s="375">
        <f t="shared" ref="P359:P363" si="843">F359+38</f>
        <v>686.64799999999991</v>
      </c>
      <c r="Q359" s="337">
        <f t="shared" ref="Q359:Q364" si="844">+P359*$X$1</f>
        <v>686.64799999999991</v>
      </c>
      <c r="R359" s="375">
        <f t="shared" ref="R359:R363" si="845">F359+29</f>
        <v>677.64799999999991</v>
      </c>
      <c r="S359" s="337">
        <f t="shared" ref="S359:S364" si="846">+R359*$X$1</f>
        <v>677.64799999999991</v>
      </c>
      <c r="T359" s="108">
        <f t="shared" ref="T359:T363" si="847">F359+24</f>
        <v>672.64799999999991</v>
      </c>
      <c r="U359" s="299">
        <f t="shared" ref="U359:U364" si="848">+T359*$X$1</f>
        <v>672.64799999999991</v>
      </c>
      <c r="V359" s="108">
        <f t="shared" ref="V359:V363" si="849">F359+19</f>
        <v>667.64799999999991</v>
      </c>
      <c r="W359" s="299">
        <f t="shared" ref="W359:W364" si="850">+V359*$X$1</f>
        <v>667.64799999999991</v>
      </c>
      <c r="X359" s="693"/>
      <c r="Y359" s="694"/>
      <c r="Z359" s="694"/>
      <c r="AA359" s="695"/>
      <c r="AB359" s="522">
        <v>2260</v>
      </c>
      <c r="AC359" s="69"/>
    </row>
    <row r="360" spans="1:29" ht="12.6" customHeight="1" x14ac:dyDescent="0.2">
      <c r="A360" s="20"/>
      <c r="B360" s="901" t="s">
        <v>755</v>
      </c>
      <c r="C360" s="902"/>
      <c r="D360" s="902"/>
      <c r="E360" s="902"/>
      <c r="F360" s="473">
        <f>0.614*X2</f>
        <v>567.33600000000001</v>
      </c>
      <c r="G360" s="338">
        <f t="shared" ref="G360:G361" si="851">+F360*$X$1</f>
        <v>567.33600000000001</v>
      </c>
      <c r="H360" s="608"/>
      <c r="I360" s="338"/>
      <c r="J360" s="608"/>
      <c r="K360" s="338"/>
      <c r="L360" s="608">
        <f t="shared" si="839"/>
        <v>637.33600000000001</v>
      </c>
      <c r="M360" s="338">
        <f t="shared" si="840"/>
        <v>637.33600000000001</v>
      </c>
      <c r="N360" s="608">
        <f t="shared" si="841"/>
        <v>609.33600000000001</v>
      </c>
      <c r="O360" s="338">
        <f t="shared" si="842"/>
        <v>609.33600000000001</v>
      </c>
      <c r="P360" s="608">
        <f t="shared" si="843"/>
        <v>605.33600000000001</v>
      </c>
      <c r="Q360" s="338">
        <f t="shared" si="844"/>
        <v>605.33600000000001</v>
      </c>
      <c r="R360" s="608">
        <f t="shared" si="845"/>
        <v>596.33600000000001</v>
      </c>
      <c r="S360" s="338">
        <f t="shared" si="846"/>
        <v>596.33600000000001</v>
      </c>
      <c r="T360" s="107">
        <f t="shared" si="847"/>
        <v>591.33600000000001</v>
      </c>
      <c r="U360" s="363">
        <f t="shared" si="848"/>
        <v>591.33600000000001</v>
      </c>
      <c r="V360" s="107">
        <f t="shared" si="849"/>
        <v>586.33600000000001</v>
      </c>
      <c r="W360" s="363">
        <f t="shared" si="850"/>
        <v>586.33600000000001</v>
      </c>
      <c r="X360" s="693"/>
      <c r="Y360" s="694"/>
      <c r="Z360" s="694"/>
      <c r="AA360" s="695"/>
      <c r="AB360" s="522">
        <v>2261</v>
      </c>
      <c r="AC360" s="69"/>
    </row>
    <row r="361" spans="1:29" ht="12.6" customHeight="1" x14ac:dyDescent="0.2">
      <c r="A361" s="20"/>
      <c r="B361" s="901" t="s">
        <v>789</v>
      </c>
      <c r="C361" s="902"/>
      <c r="D361" s="902"/>
      <c r="E361" s="902"/>
      <c r="F361" s="472">
        <f>0.652*X2</f>
        <v>602.44799999999998</v>
      </c>
      <c r="G361" s="337">
        <f t="shared" si="851"/>
        <v>602.44799999999998</v>
      </c>
      <c r="H361" s="375"/>
      <c r="I361" s="337"/>
      <c r="J361" s="375"/>
      <c r="K361" s="337"/>
      <c r="L361" s="375">
        <f t="shared" si="839"/>
        <v>672.44799999999998</v>
      </c>
      <c r="M361" s="337">
        <f t="shared" si="840"/>
        <v>672.44799999999998</v>
      </c>
      <c r="N361" s="375">
        <f t="shared" si="841"/>
        <v>644.44799999999998</v>
      </c>
      <c r="O361" s="337">
        <f t="shared" si="842"/>
        <v>644.44799999999998</v>
      </c>
      <c r="P361" s="375">
        <f t="shared" si="843"/>
        <v>640.44799999999998</v>
      </c>
      <c r="Q361" s="337">
        <f t="shared" si="844"/>
        <v>640.44799999999998</v>
      </c>
      <c r="R361" s="375">
        <f t="shared" si="845"/>
        <v>631.44799999999998</v>
      </c>
      <c r="S361" s="337">
        <f t="shared" si="846"/>
        <v>631.44799999999998</v>
      </c>
      <c r="T361" s="108">
        <f t="shared" si="847"/>
        <v>626.44799999999998</v>
      </c>
      <c r="U361" s="299">
        <f t="shared" si="848"/>
        <v>626.44799999999998</v>
      </c>
      <c r="V361" s="108">
        <f t="shared" si="849"/>
        <v>621.44799999999998</v>
      </c>
      <c r="W361" s="299">
        <f t="shared" si="850"/>
        <v>621.44799999999998</v>
      </c>
      <c r="X361" s="693"/>
      <c r="Y361" s="694"/>
      <c r="Z361" s="694"/>
      <c r="AA361" s="695"/>
      <c r="AB361" s="522">
        <v>2262</v>
      </c>
      <c r="AC361" s="69"/>
    </row>
    <row r="362" spans="1:29" ht="12.6" customHeight="1" x14ac:dyDescent="0.2">
      <c r="A362" s="20"/>
      <c r="B362" s="901" t="s">
        <v>718</v>
      </c>
      <c r="C362" s="902"/>
      <c r="D362" s="902"/>
      <c r="E362" s="902"/>
      <c r="F362" s="473">
        <f>1.91*X2</f>
        <v>1764.84</v>
      </c>
      <c r="G362" s="338">
        <f t="shared" ref="G362" si="852">+F362*$X$1</f>
        <v>1764.84</v>
      </c>
      <c r="H362" s="608"/>
      <c r="I362" s="338"/>
      <c r="J362" s="608"/>
      <c r="K362" s="338"/>
      <c r="L362" s="608">
        <f t="shared" si="839"/>
        <v>1834.84</v>
      </c>
      <c r="M362" s="338">
        <f t="shared" si="840"/>
        <v>1834.84</v>
      </c>
      <c r="N362" s="608">
        <f t="shared" si="841"/>
        <v>1806.84</v>
      </c>
      <c r="O362" s="338">
        <f t="shared" si="842"/>
        <v>1806.84</v>
      </c>
      <c r="P362" s="608">
        <f t="shared" si="843"/>
        <v>1802.84</v>
      </c>
      <c r="Q362" s="338">
        <f t="shared" si="844"/>
        <v>1802.84</v>
      </c>
      <c r="R362" s="608">
        <f t="shared" si="845"/>
        <v>1793.84</v>
      </c>
      <c r="S362" s="338">
        <f t="shared" si="846"/>
        <v>1793.84</v>
      </c>
      <c r="T362" s="107">
        <f t="shared" si="847"/>
        <v>1788.84</v>
      </c>
      <c r="U362" s="363">
        <f t="shared" si="848"/>
        <v>1788.84</v>
      </c>
      <c r="V362" s="107">
        <f t="shared" si="849"/>
        <v>1783.84</v>
      </c>
      <c r="W362" s="363">
        <f t="shared" si="850"/>
        <v>1783.84</v>
      </c>
      <c r="X362" s="693"/>
      <c r="Y362" s="694"/>
      <c r="Z362" s="694"/>
      <c r="AA362" s="695"/>
      <c r="AB362" s="522">
        <v>2264</v>
      </c>
      <c r="AC362" s="69"/>
    </row>
    <row r="363" spans="1:29" ht="12.6" customHeight="1" x14ac:dyDescent="0.2">
      <c r="A363" s="20"/>
      <c r="B363" s="1101" t="s">
        <v>788</v>
      </c>
      <c r="C363" s="1272"/>
      <c r="D363" s="1272"/>
      <c r="E363" s="1272"/>
      <c r="F363" s="472">
        <f>0.838*X2</f>
        <v>774.31200000000001</v>
      </c>
      <c r="G363" s="337">
        <f t="shared" ref="G363" si="853">+F363*$X$1</f>
        <v>774.31200000000001</v>
      </c>
      <c r="H363" s="375"/>
      <c r="I363" s="337"/>
      <c r="J363" s="375"/>
      <c r="K363" s="337"/>
      <c r="L363" s="375">
        <f t="shared" si="839"/>
        <v>844.31200000000001</v>
      </c>
      <c r="M363" s="337">
        <f t="shared" si="840"/>
        <v>844.31200000000001</v>
      </c>
      <c r="N363" s="375">
        <f t="shared" si="841"/>
        <v>816.31200000000001</v>
      </c>
      <c r="O363" s="337">
        <f t="shared" si="842"/>
        <v>816.31200000000001</v>
      </c>
      <c r="P363" s="375">
        <f t="shared" si="843"/>
        <v>812.31200000000001</v>
      </c>
      <c r="Q363" s="337">
        <f t="shared" si="844"/>
        <v>812.31200000000001</v>
      </c>
      <c r="R363" s="375">
        <f t="shared" si="845"/>
        <v>803.31200000000001</v>
      </c>
      <c r="S363" s="337">
        <f t="shared" si="846"/>
        <v>803.31200000000001</v>
      </c>
      <c r="T363" s="108">
        <f t="shared" si="847"/>
        <v>798.31200000000001</v>
      </c>
      <c r="U363" s="299">
        <f t="shared" si="848"/>
        <v>798.31200000000001</v>
      </c>
      <c r="V363" s="108">
        <f t="shared" si="849"/>
        <v>793.31200000000001</v>
      </c>
      <c r="W363" s="299">
        <f t="shared" si="850"/>
        <v>793.31200000000001</v>
      </c>
      <c r="X363" s="693"/>
      <c r="Y363" s="694"/>
      <c r="Z363" s="694"/>
      <c r="AA363" s="695"/>
      <c r="AB363" s="522">
        <v>2266</v>
      </c>
      <c r="AC363" s="69"/>
    </row>
    <row r="364" spans="1:29" ht="12.6" customHeight="1" x14ac:dyDescent="0.2">
      <c r="A364" s="20"/>
      <c r="B364" s="1176" t="s">
        <v>260</v>
      </c>
      <c r="C364" s="1177"/>
      <c r="D364" s="1177"/>
      <c r="E364" s="1177"/>
      <c r="F364" s="479">
        <f>1.96*X2</f>
        <v>1811.04</v>
      </c>
      <c r="G364" s="338">
        <f t="shared" ref="G364:G365" si="854">+F364*$X$1</f>
        <v>1811.04</v>
      </c>
      <c r="H364" s="608">
        <f>F364+250</f>
        <v>2061.04</v>
      </c>
      <c r="I364" s="338">
        <f>+H364*$X$1</f>
        <v>2061.04</v>
      </c>
      <c r="J364" s="608">
        <f>F364+80</f>
        <v>1891.04</v>
      </c>
      <c r="K364" s="338">
        <f t="shared" ref="K364" si="855">+J364*$X$1</f>
        <v>1891.04</v>
      </c>
      <c r="L364" s="608">
        <f>F364+60</f>
        <v>1871.04</v>
      </c>
      <c r="M364" s="338">
        <f t="shared" si="840"/>
        <v>1871.04</v>
      </c>
      <c r="N364" s="608">
        <f>F364+40</f>
        <v>1851.04</v>
      </c>
      <c r="O364" s="338">
        <f t="shared" si="842"/>
        <v>1851.04</v>
      </c>
      <c r="P364" s="608">
        <f>F364+37</f>
        <v>1848.04</v>
      </c>
      <c r="Q364" s="338">
        <f t="shared" si="844"/>
        <v>1848.04</v>
      </c>
      <c r="R364" s="608">
        <f>F364+33</f>
        <v>1844.04</v>
      </c>
      <c r="S364" s="338">
        <f t="shared" si="846"/>
        <v>1844.04</v>
      </c>
      <c r="T364" s="608">
        <f>F364+29</f>
        <v>1840.04</v>
      </c>
      <c r="U364" s="338">
        <f t="shared" si="848"/>
        <v>1840.04</v>
      </c>
      <c r="V364" s="608">
        <f>F364+25</f>
        <v>1836.04</v>
      </c>
      <c r="W364" s="338">
        <f t="shared" si="850"/>
        <v>1836.04</v>
      </c>
      <c r="X364" s="724"/>
      <c r="Y364" s="694"/>
      <c r="Z364" s="694"/>
      <c r="AA364" s="695"/>
      <c r="AB364" s="522">
        <v>2268</v>
      </c>
      <c r="AC364" s="69"/>
    </row>
    <row r="365" spans="1:29" ht="12.6" customHeight="1" x14ac:dyDescent="0.2">
      <c r="A365" s="20"/>
      <c r="B365" s="1101" t="s">
        <v>261</v>
      </c>
      <c r="C365" s="1270"/>
      <c r="D365" s="1270"/>
      <c r="E365" s="1270"/>
      <c r="F365" s="472">
        <f>0.393*X2</f>
        <v>363.13200000000001</v>
      </c>
      <c r="G365" s="337">
        <f t="shared" si="854"/>
        <v>363.13200000000001</v>
      </c>
      <c r="H365" s="328"/>
      <c r="I365" s="328"/>
      <c r="J365" s="375"/>
      <c r="K365" s="375"/>
      <c r="L365" s="375">
        <f t="shared" ref="L365:L368" si="856">F365+70</f>
        <v>433.13200000000001</v>
      </c>
      <c r="M365" s="337">
        <f t="shared" ref="M365:M368" si="857">+L365*$X$1</f>
        <v>433.13200000000001</v>
      </c>
      <c r="N365" s="375">
        <f t="shared" ref="N365:N368" si="858">F365+42</f>
        <v>405.13200000000001</v>
      </c>
      <c r="O365" s="337">
        <f t="shared" ref="O365:O368" si="859">+N365*$X$1</f>
        <v>405.13200000000001</v>
      </c>
      <c r="P365" s="375">
        <f t="shared" ref="P365:P368" si="860">F365+38</f>
        <v>401.13200000000001</v>
      </c>
      <c r="Q365" s="337">
        <f t="shared" ref="Q365:Q368" si="861">+P365*$X$1</f>
        <v>401.13200000000001</v>
      </c>
      <c r="R365" s="375">
        <f t="shared" ref="R365:R368" si="862">F365+29</f>
        <v>392.13200000000001</v>
      </c>
      <c r="S365" s="337">
        <f t="shared" ref="S365:S368" si="863">+R365*$X$1</f>
        <v>392.13200000000001</v>
      </c>
      <c r="T365" s="108">
        <f t="shared" ref="T365:T368" si="864">F365+24</f>
        <v>387.13200000000001</v>
      </c>
      <c r="U365" s="299">
        <f t="shared" ref="U365:U368" si="865">+T365*$X$1</f>
        <v>387.13200000000001</v>
      </c>
      <c r="V365" s="108">
        <f t="shared" ref="V365:V368" si="866">F365+19</f>
        <v>382.13200000000001</v>
      </c>
      <c r="W365" s="299">
        <f t="shared" ref="W365:W368" si="867">+V365*$X$1</f>
        <v>382.13200000000001</v>
      </c>
      <c r="X365" s="190"/>
      <c r="Y365" s="192"/>
      <c r="Z365" s="192"/>
      <c r="AA365" s="190"/>
      <c r="AB365" s="522">
        <v>2270</v>
      </c>
      <c r="AC365" s="69"/>
    </row>
    <row r="366" spans="1:29" ht="12.6" customHeight="1" x14ac:dyDescent="0.2">
      <c r="A366" s="20"/>
      <c r="B366" s="1067" t="s">
        <v>262</v>
      </c>
      <c r="C366" s="1273"/>
      <c r="D366" s="1273"/>
      <c r="E366" s="1273"/>
      <c r="F366" s="473">
        <f>0.48*X2</f>
        <v>443.52</v>
      </c>
      <c r="G366" s="338">
        <f>+F366*$X$1</f>
        <v>443.52</v>
      </c>
      <c r="H366" s="327"/>
      <c r="I366" s="327"/>
      <c r="J366" s="608"/>
      <c r="K366" s="608"/>
      <c r="L366" s="608">
        <f t="shared" si="856"/>
        <v>513.52</v>
      </c>
      <c r="M366" s="338">
        <f t="shared" si="857"/>
        <v>513.52</v>
      </c>
      <c r="N366" s="608">
        <f t="shared" si="858"/>
        <v>485.52</v>
      </c>
      <c r="O366" s="338">
        <f t="shared" si="859"/>
        <v>485.52</v>
      </c>
      <c r="P366" s="608">
        <f t="shared" si="860"/>
        <v>481.52</v>
      </c>
      <c r="Q366" s="338">
        <f t="shared" si="861"/>
        <v>481.52</v>
      </c>
      <c r="R366" s="608">
        <f t="shared" si="862"/>
        <v>472.52</v>
      </c>
      <c r="S366" s="338">
        <f t="shared" si="863"/>
        <v>472.52</v>
      </c>
      <c r="T366" s="107">
        <f t="shared" si="864"/>
        <v>467.52</v>
      </c>
      <c r="U366" s="363">
        <f t="shared" si="865"/>
        <v>467.52</v>
      </c>
      <c r="V366" s="107">
        <f t="shared" si="866"/>
        <v>462.52</v>
      </c>
      <c r="W366" s="363">
        <f t="shared" si="867"/>
        <v>462.52</v>
      </c>
      <c r="X366" s="190"/>
      <c r="Y366" s="192"/>
      <c r="Z366" s="192"/>
      <c r="AA366" s="190"/>
      <c r="AB366" s="522">
        <v>2271</v>
      </c>
      <c r="AC366" s="69"/>
    </row>
    <row r="367" spans="1:29" ht="12.6" customHeight="1" x14ac:dyDescent="0.2">
      <c r="A367" s="20"/>
      <c r="B367" s="1101" t="s">
        <v>263</v>
      </c>
      <c r="C367" s="1270"/>
      <c r="D367" s="1270"/>
      <c r="E367" s="1270"/>
      <c r="F367" s="472">
        <f>0.725*X2</f>
        <v>669.9</v>
      </c>
      <c r="G367" s="337">
        <f t="shared" ref="G367" si="868">+F367*$X$1</f>
        <v>669.9</v>
      </c>
      <c r="H367" s="328"/>
      <c r="I367" s="328"/>
      <c r="J367" s="375"/>
      <c r="K367" s="375"/>
      <c r="L367" s="375">
        <f t="shared" si="856"/>
        <v>739.9</v>
      </c>
      <c r="M367" s="337">
        <f t="shared" si="857"/>
        <v>739.9</v>
      </c>
      <c r="N367" s="375">
        <f t="shared" si="858"/>
        <v>711.9</v>
      </c>
      <c r="O367" s="337">
        <f t="shared" si="859"/>
        <v>711.9</v>
      </c>
      <c r="P367" s="375">
        <f t="shared" si="860"/>
        <v>707.9</v>
      </c>
      <c r="Q367" s="337">
        <f t="shared" si="861"/>
        <v>707.9</v>
      </c>
      <c r="R367" s="375">
        <f t="shared" si="862"/>
        <v>698.9</v>
      </c>
      <c r="S367" s="337">
        <f t="shared" si="863"/>
        <v>698.9</v>
      </c>
      <c r="T367" s="108">
        <f t="shared" si="864"/>
        <v>693.9</v>
      </c>
      <c r="U367" s="299">
        <f t="shared" si="865"/>
        <v>693.9</v>
      </c>
      <c r="V367" s="108">
        <f t="shared" si="866"/>
        <v>688.9</v>
      </c>
      <c r="W367" s="299">
        <f t="shared" si="867"/>
        <v>688.9</v>
      </c>
      <c r="X367" s="190"/>
      <c r="Y367" s="192"/>
      <c r="Z367" s="192"/>
      <c r="AA367" s="190"/>
      <c r="AB367" s="522">
        <v>2272</v>
      </c>
      <c r="AC367" s="69"/>
    </row>
    <row r="368" spans="1:29" ht="12.6" customHeight="1" x14ac:dyDescent="0.2">
      <c r="A368" s="20"/>
      <c r="B368" s="1067" t="s">
        <v>264</v>
      </c>
      <c r="C368" s="1068"/>
      <c r="D368" s="1068"/>
      <c r="E368" s="1068"/>
      <c r="F368" s="473">
        <f>0.596*X2</f>
        <v>550.70399999999995</v>
      </c>
      <c r="G368" s="338">
        <f>+F368*$X$1</f>
        <v>550.70399999999995</v>
      </c>
      <c r="H368" s="327"/>
      <c r="I368" s="327"/>
      <c r="J368" s="608"/>
      <c r="K368" s="608"/>
      <c r="L368" s="608">
        <f t="shared" si="856"/>
        <v>620.70399999999995</v>
      </c>
      <c r="M368" s="338">
        <f t="shared" si="857"/>
        <v>620.70399999999995</v>
      </c>
      <c r="N368" s="608">
        <f t="shared" si="858"/>
        <v>592.70399999999995</v>
      </c>
      <c r="O368" s="338">
        <f t="shared" si="859"/>
        <v>592.70399999999995</v>
      </c>
      <c r="P368" s="608">
        <f t="shared" si="860"/>
        <v>588.70399999999995</v>
      </c>
      <c r="Q368" s="338">
        <f t="shared" si="861"/>
        <v>588.70399999999995</v>
      </c>
      <c r="R368" s="608">
        <f t="shared" si="862"/>
        <v>579.70399999999995</v>
      </c>
      <c r="S368" s="338">
        <f t="shared" si="863"/>
        <v>579.70399999999995</v>
      </c>
      <c r="T368" s="107">
        <f t="shared" si="864"/>
        <v>574.70399999999995</v>
      </c>
      <c r="U368" s="363">
        <f t="shared" si="865"/>
        <v>574.70399999999995</v>
      </c>
      <c r="V368" s="107">
        <f t="shared" si="866"/>
        <v>569.70399999999995</v>
      </c>
      <c r="W368" s="363">
        <f t="shared" si="867"/>
        <v>569.70399999999995</v>
      </c>
      <c r="X368" s="190"/>
      <c r="Y368" s="192"/>
      <c r="Z368" s="192"/>
      <c r="AA368" s="190"/>
      <c r="AB368" s="522">
        <v>2275</v>
      </c>
      <c r="AC368" s="69"/>
    </row>
    <row r="369" spans="1:29" ht="12.6" customHeight="1" x14ac:dyDescent="0.2">
      <c r="A369" s="20"/>
      <c r="B369" s="1101" t="s">
        <v>716</v>
      </c>
      <c r="C369" s="1102"/>
      <c r="D369" s="1102"/>
      <c r="E369" s="1102"/>
      <c r="F369" s="472">
        <f>0.82*X2</f>
        <v>757.68</v>
      </c>
      <c r="G369" s="337">
        <f t="shared" ref="G369:G370" si="869">+F369*$X$1</f>
        <v>757.68</v>
      </c>
      <c r="H369" s="328"/>
      <c r="I369" s="328"/>
      <c r="J369" s="375"/>
      <c r="K369" s="375"/>
      <c r="L369" s="375">
        <f t="shared" ref="L369:L370" si="870">F369+70</f>
        <v>827.68</v>
      </c>
      <c r="M369" s="337">
        <f t="shared" ref="M369:M370" si="871">+L369*$X$1</f>
        <v>827.68</v>
      </c>
      <c r="N369" s="375">
        <f t="shared" ref="N369:N371" si="872">F369+42</f>
        <v>799.68</v>
      </c>
      <c r="O369" s="337">
        <f t="shared" ref="O369:O371" si="873">+N369*$X$1</f>
        <v>799.68</v>
      </c>
      <c r="P369" s="375">
        <f t="shared" ref="P369:P371" si="874">F369+38</f>
        <v>795.68</v>
      </c>
      <c r="Q369" s="337">
        <f t="shared" ref="Q369:Q371" si="875">+P369*$X$1</f>
        <v>795.68</v>
      </c>
      <c r="R369" s="375">
        <f t="shared" ref="R369:R371" si="876">F369+29</f>
        <v>786.68</v>
      </c>
      <c r="S369" s="337">
        <f t="shared" ref="S369:S371" si="877">+R369*$X$1</f>
        <v>786.68</v>
      </c>
      <c r="T369" s="108">
        <f t="shared" ref="T369:T371" si="878">F369+24</f>
        <v>781.68</v>
      </c>
      <c r="U369" s="299">
        <f t="shared" ref="U369:U371" si="879">+T369*$X$1</f>
        <v>781.68</v>
      </c>
      <c r="V369" s="108">
        <f t="shared" ref="V369:V371" si="880">F369+19</f>
        <v>776.68</v>
      </c>
      <c r="W369" s="299">
        <f t="shared" ref="W369:W371" si="881">+V369*$X$1</f>
        <v>776.68</v>
      </c>
      <c r="X369" s="243"/>
      <c r="Y369" s="244"/>
      <c r="Z369" s="244"/>
      <c r="AA369" s="243"/>
      <c r="AB369" s="522">
        <v>2279</v>
      </c>
      <c r="AC369" s="69"/>
    </row>
    <row r="370" spans="1:29" ht="12.6" customHeight="1" x14ac:dyDescent="0.2">
      <c r="A370" s="20"/>
      <c r="B370" s="1067" t="s">
        <v>265</v>
      </c>
      <c r="C370" s="1068"/>
      <c r="D370" s="1068"/>
      <c r="E370" s="1068"/>
      <c r="F370" s="473">
        <f>0.484*X2</f>
        <v>447.21600000000001</v>
      </c>
      <c r="G370" s="338">
        <f t="shared" si="869"/>
        <v>447.21600000000001</v>
      </c>
      <c r="H370" s="327"/>
      <c r="I370" s="327"/>
      <c r="J370" s="608"/>
      <c r="K370" s="608"/>
      <c r="L370" s="608">
        <f t="shared" si="870"/>
        <v>517.21600000000001</v>
      </c>
      <c r="M370" s="338">
        <f t="shared" si="871"/>
        <v>517.21600000000001</v>
      </c>
      <c r="N370" s="608">
        <f t="shared" si="872"/>
        <v>489.21600000000001</v>
      </c>
      <c r="O370" s="338">
        <f t="shared" si="873"/>
        <v>489.21600000000001</v>
      </c>
      <c r="P370" s="608">
        <f t="shared" si="874"/>
        <v>485.21600000000001</v>
      </c>
      <c r="Q370" s="338">
        <f t="shared" si="875"/>
        <v>485.21600000000001</v>
      </c>
      <c r="R370" s="608">
        <f t="shared" si="876"/>
        <v>476.21600000000001</v>
      </c>
      <c r="S370" s="338">
        <f t="shared" si="877"/>
        <v>476.21600000000001</v>
      </c>
      <c r="T370" s="107">
        <f t="shared" si="878"/>
        <v>471.21600000000001</v>
      </c>
      <c r="U370" s="363">
        <f t="shared" si="879"/>
        <v>471.21600000000001</v>
      </c>
      <c r="V370" s="107">
        <f t="shared" si="880"/>
        <v>466.21600000000001</v>
      </c>
      <c r="W370" s="363">
        <f t="shared" si="881"/>
        <v>466.21600000000001</v>
      </c>
      <c r="X370" s="190"/>
      <c r="Y370" s="192"/>
      <c r="Z370" s="192"/>
      <c r="AA370" s="190"/>
      <c r="AB370" s="522">
        <v>2280</v>
      </c>
      <c r="AC370" s="69"/>
    </row>
    <row r="371" spans="1:29" ht="12.6" customHeight="1" x14ac:dyDescent="0.2">
      <c r="A371" s="20"/>
      <c r="B371" s="1101" t="s">
        <v>560</v>
      </c>
      <c r="C371" s="1102"/>
      <c r="D371" s="1102"/>
      <c r="E371" s="1102"/>
      <c r="F371" s="472">
        <f>0.55*X2</f>
        <v>508.20000000000005</v>
      </c>
      <c r="G371" s="337">
        <f t="shared" ref="G371:G373" si="882">+F371*$X$1</f>
        <v>508.20000000000005</v>
      </c>
      <c r="H371" s="328"/>
      <c r="I371" s="328"/>
      <c r="J371" s="375"/>
      <c r="K371" s="375"/>
      <c r="L371" s="375"/>
      <c r="M371" s="337"/>
      <c r="N371" s="375">
        <f t="shared" si="872"/>
        <v>550.20000000000005</v>
      </c>
      <c r="O371" s="337">
        <f t="shared" si="873"/>
        <v>550.20000000000005</v>
      </c>
      <c r="P371" s="375">
        <f t="shared" si="874"/>
        <v>546.20000000000005</v>
      </c>
      <c r="Q371" s="337">
        <f t="shared" si="875"/>
        <v>546.20000000000005</v>
      </c>
      <c r="R371" s="375">
        <f t="shared" si="876"/>
        <v>537.20000000000005</v>
      </c>
      <c r="S371" s="337">
        <f t="shared" si="877"/>
        <v>537.20000000000005</v>
      </c>
      <c r="T371" s="108">
        <f t="shared" si="878"/>
        <v>532.20000000000005</v>
      </c>
      <c r="U371" s="299">
        <f t="shared" si="879"/>
        <v>532.20000000000005</v>
      </c>
      <c r="V371" s="108">
        <f t="shared" si="880"/>
        <v>527.20000000000005</v>
      </c>
      <c r="W371" s="299">
        <f t="shared" si="881"/>
        <v>527.20000000000005</v>
      </c>
      <c r="X371" s="190"/>
      <c r="Y371" s="192"/>
      <c r="Z371" s="192"/>
      <c r="AA371" s="190"/>
      <c r="AB371" s="522">
        <v>2281</v>
      </c>
      <c r="AC371" s="69"/>
    </row>
    <row r="372" spans="1:29" ht="12.6" customHeight="1" x14ac:dyDescent="0.2">
      <c r="A372" s="20"/>
      <c r="B372" s="1067" t="s">
        <v>388</v>
      </c>
      <c r="C372" s="1068"/>
      <c r="D372" s="1068"/>
      <c r="E372" s="1068"/>
      <c r="F372" s="473">
        <f>0.745*X2</f>
        <v>688.38</v>
      </c>
      <c r="G372" s="338">
        <f t="shared" si="882"/>
        <v>688.38</v>
      </c>
      <c r="H372" s="327"/>
      <c r="I372" s="327"/>
      <c r="J372" s="608"/>
      <c r="K372" s="608"/>
      <c r="L372" s="608">
        <f t="shared" ref="L372:L384" si="883">F372+70</f>
        <v>758.38</v>
      </c>
      <c r="M372" s="338">
        <f t="shared" ref="M372:M384" si="884">+L372*$X$1</f>
        <v>758.38</v>
      </c>
      <c r="N372" s="608">
        <f t="shared" ref="N372:N384" si="885">F372+42</f>
        <v>730.38</v>
      </c>
      <c r="O372" s="338">
        <f t="shared" ref="O372:O384" si="886">+N372*$X$1</f>
        <v>730.38</v>
      </c>
      <c r="P372" s="608">
        <f t="shared" ref="P372:P384" si="887">F372+38</f>
        <v>726.38</v>
      </c>
      <c r="Q372" s="338">
        <f t="shared" ref="Q372:Q384" si="888">+P372*$X$1</f>
        <v>726.38</v>
      </c>
      <c r="R372" s="608">
        <f t="shared" ref="R372:R384" si="889">F372+29</f>
        <v>717.38</v>
      </c>
      <c r="S372" s="338">
        <f t="shared" ref="S372:S384" si="890">+R372*$X$1</f>
        <v>717.38</v>
      </c>
      <c r="T372" s="107">
        <f t="shared" ref="T372:T384" si="891">F372+24</f>
        <v>712.38</v>
      </c>
      <c r="U372" s="363">
        <f t="shared" ref="U372:U384" si="892">+T372*$X$1</f>
        <v>712.38</v>
      </c>
      <c r="V372" s="107">
        <f t="shared" ref="V372:V384" si="893">F372+19</f>
        <v>707.38</v>
      </c>
      <c r="W372" s="363">
        <f t="shared" ref="W372:W384" si="894">+V372*$X$1</f>
        <v>707.38</v>
      </c>
      <c r="X372" s="203"/>
      <c r="Y372" s="202"/>
      <c r="Z372" s="202"/>
      <c r="AA372" s="203"/>
      <c r="AB372" s="522">
        <v>2285</v>
      </c>
      <c r="AC372" s="69"/>
    </row>
    <row r="373" spans="1:29" ht="12.6" customHeight="1" x14ac:dyDescent="0.2">
      <c r="A373" s="20"/>
      <c r="B373" s="1101" t="s">
        <v>389</v>
      </c>
      <c r="C373" s="1102"/>
      <c r="D373" s="1102"/>
      <c r="E373" s="1102"/>
      <c r="F373" s="472">
        <f>0.373*X2</f>
        <v>344.65199999999999</v>
      </c>
      <c r="G373" s="337">
        <f t="shared" si="882"/>
        <v>344.65199999999999</v>
      </c>
      <c r="H373" s="328"/>
      <c r="I373" s="328"/>
      <c r="J373" s="375"/>
      <c r="K373" s="375"/>
      <c r="L373" s="375">
        <f t="shared" si="883"/>
        <v>414.65199999999999</v>
      </c>
      <c r="M373" s="337">
        <f t="shared" si="884"/>
        <v>414.65199999999999</v>
      </c>
      <c r="N373" s="375">
        <f t="shared" si="885"/>
        <v>386.65199999999999</v>
      </c>
      <c r="O373" s="337">
        <f t="shared" si="886"/>
        <v>386.65199999999999</v>
      </c>
      <c r="P373" s="375">
        <f t="shared" si="887"/>
        <v>382.65199999999999</v>
      </c>
      <c r="Q373" s="337">
        <f t="shared" si="888"/>
        <v>382.65199999999999</v>
      </c>
      <c r="R373" s="375">
        <f t="shared" si="889"/>
        <v>373.65199999999999</v>
      </c>
      <c r="S373" s="337">
        <f t="shared" si="890"/>
        <v>373.65199999999999</v>
      </c>
      <c r="T373" s="108">
        <f t="shared" si="891"/>
        <v>368.65199999999999</v>
      </c>
      <c r="U373" s="299">
        <f t="shared" si="892"/>
        <v>368.65199999999999</v>
      </c>
      <c r="V373" s="108">
        <f t="shared" si="893"/>
        <v>363.65199999999999</v>
      </c>
      <c r="W373" s="299">
        <f t="shared" si="894"/>
        <v>363.65199999999999</v>
      </c>
      <c r="X373" s="204"/>
      <c r="Y373" s="205"/>
      <c r="Z373" s="205"/>
      <c r="AA373" s="204"/>
      <c r="AB373" s="522">
        <v>2286</v>
      </c>
      <c r="AC373" s="69"/>
    </row>
    <row r="374" spans="1:29" ht="12.6" customHeight="1" x14ac:dyDescent="0.2">
      <c r="A374" s="20"/>
      <c r="B374" s="1174" t="s">
        <v>437</v>
      </c>
      <c r="C374" s="1175"/>
      <c r="D374" s="1175"/>
      <c r="E374" s="1175"/>
      <c r="F374" s="477">
        <f>0.521*X2</f>
        <v>481.404</v>
      </c>
      <c r="G374" s="380">
        <f t="shared" ref="G374:G376" si="895">+F374*$X$1</f>
        <v>481.404</v>
      </c>
      <c r="H374" s="355"/>
      <c r="I374" s="355"/>
      <c r="J374" s="107"/>
      <c r="K374" s="107"/>
      <c r="L374" s="608">
        <f t="shared" si="883"/>
        <v>551.404</v>
      </c>
      <c r="M374" s="338">
        <f t="shared" si="884"/>
        <v>551.404</v>
      </c>
      <c r="N374" s="608">
        <f t="shared" si="885"/>
        <v>523.404</v>
      </c>
      <c r="O374" s="338">
        <f t="shared" si="886"/>
        <v>523.404</v>
      </c>
      <c r="P374" s="608">
        <f t="shared" si="887"/>
        <v>519.404</v>
      </c>
      <c r="Q374" s="338">
        <f t="shared" si="888"/>
        <v>519.404</v>
      </c>
      <c r="R374" s="608">
        <f t="shared" si="889"/>
        <v>510.404</v>
      </c>
      <c r="S374" s="338">
        <f t="shared" si="890"/>
        <v>510.404</v>
      </c>
      <c r="T374" s="107">
        <f t="shared" si="891"/>
        <v>505.404</v>
      </c>
      <c r="U374" s="363">
        <f t="shared" si="892"/>
        <v>505.404</v>
      </c>
      <c r="V374" s="107">
        <f t="shared" si="893"/>
        <v>500.404</v>
      </c>
      <c r="W374" s="363">
        <f t="shared" si="894"/>
        <v>500.404</v>
      </c>
      <c r="X374" s="238"/>
      <c r="Y374" s="237"/>
      <c r="Z374" s="237"/>
      <c r="AA374" s="238"/>
      <c r="AB374" s="522">
        <v>2287</v>
      </c>
      <c r="AC374" s="69"/>
    </row>
    <row r="375" spans="1:29" ht="12.6" customHeight="1" x14ac:dyDescent="0.2">
      <c r="A375" s="20"/>
      <c r="B375" s="1156" t="s">
        <v>449</v>
      </c>
      <c r="C375" s="1157"/>
      <c r="D375" s="1157"/>
      <c r="E375" s="1158"/>
      <c r="F375" s="472">
        <f>1.19*X2</f>
        <v>1099.56</v>
      </c>
      <c r="G375" s="337">
        <f t="shared" si="895"/>
        <v>1099.56</v>
      </c>
      <c r="H375" s="328"/>
      <c r="I375" s="328"/>
      <c r="J375" s="375"/>
      <c r="K375" s="375"/>
      <c r="L375" s="375">
        <f t="shared" si="883"/>
        <v>1169.56</v>
      </c>
      <c r="M375" s="337">
        <f t="shared" si="884"/>
        <v>1169.56</v>
      </c>
      <c r="N375" s="375">
        <f t="shared" si="885"/>
        <v>1141.56</v>
      </c>
      <c r="O375" s="337">
        <f t="shared" si="886"/>
        <v>1141.56</v>
      </c>
      <c r="P375" s="375">
        <f t="shared" si="887"/>
        <v>1137.56</v>
      </c>
      <c r="Q375" s="337">
        <f t="shared" si="888"/>
        <v>1137.56</v>
      </c>
      <c r="R375" s="375">
        <f t="shared" si="889"/>
        <v>1128.56</v>
      </c>
      <c r="S375" s="337">
        <f t="shared" si="890"/>
        <v>1128.56</v>
      </c>
      <c r="T375" s="108">
        <f t="shared" si="891"/>
        <v>1123.56</v>
      </c>
      <c r="U375" s="299">
        <f t="shared" si="892"/>
        <v>1123.56</v>
      </c>
      <c r="V375" s="108">
        <f t="shared" si="893"/>
        <v>1118.56</v>
      </c>
      <c r="W375" s="299">
        <f t="shared" si="894"/>
        <v>1118.56</v>
      </c>
      <c r="X375" s="239"/>
      <c r="Y375" s="240"/>
      <c r="Z375" s="240"/>
      <c r="AA375" s="239"/>
      <c r="AB375" s="522">
        <v>2289</v>
      </c>
      <c r="AC375" s="69"/>
    </row>
    <row r="376" spans="1:29" ht="12.6" customHeight="1" x14ac:dyDescent="0.2">
      <c r="A376" s="20"/>
      <c r="B376" s="1267" t="s">
        <v>815</v>
      </c>
      <c r="C376" s="1268"/>
      <c r="D376" s="1268"/>
      <c r="E376" s="1269"/>
      <c r="F376" s="477">
        <f>0.785*X2</f>
        <v>725.34</v>
      </c>
      <c r="G376" s="338">
        <f t="shared" si="895"/>
        <v>725.34</v>
      </c>
      <c r="H376" s="327"/>
      <c r="I376" s="327"/>
      <c r="J376" s="608"/>
      <c r="K376" s="608"/>
      <c r="L376" s="608">
        <f t="shared" ref="L376" si="896">F376+70</f>
        <v>795.34</v>
      </c>
      <c r="M376" s="338">
        <f t="shared" ref="M376" si="897">+L376*$X$1</f>
        <v>795.34</v>
      </c>
      <c r="N376" s="608">
        <f t="shared" ref="N376" si="898">F376+42</f>
        <v>767.34</v>
      </c>
      <c r="O376" s="338">
        <f t="shared" ref="O376" si="899">+N376*$X$1</f>
        <v>767.34</v>
      </c>
      <c r="P376" s="608">
        <f t="shared" ref="P376" si="900">F376+38</f>
        <v>763.34</v>
      </c>
      <c r="Q376" s="338">
        <f t="shared" ref="Q376" si="901">+P376*$X$1</f>
        <v>763.34</v>
      </c>
      <c r="R376" s="608">
        <f t="shared" ref="R376" si="902">F376+29</f>
        <v>754.34</v>
      </c>
      <c r="S376" s="338">
        <f t="shared" ref="S376" si="903">+R376*$X$1</f>
        <v>754.34</v>
      </c>
      <c r="T376" s="107">
        <f t="shared" ref="T376" si="904">F376+24</f>
        <v>749.34</v>
      </c>
      <c r="U376" s="363">
        <f t="shared" ref="U376" si="905">+T376*$X$1</f>
        <v>749.34</v>
      </c>
      <c r="V376" s="107">
        <f t="shared" ref="V376" si="906">F376+19</f>
        <v>744.34</v>
      </c>
      <c r="W376" s="363">
        <f t="shared" ref="W376" si="907">+V376*$X$1</f>
        <v>744.34</v>
      </c>
      <c r="X376" s="592"/>
      <c r="Y376" s="593"/>
      <c r="Z376" s="593"/>
      <c r="AA376" s="592"/>
      <c r="AB376" s="522">
        <v>2290</v>
      </c>
      <c r="AC376" s="69"/>
    </row>
    <row r="377" spans="1:29" ht="12.6" customHeight="1" x14ac:dyDescent="0.2">
      <c r="A377" s="20"/>
      <c r="B377" s="1046" t="s">
        <v>558</v>
      </c>
      <c r="C377" s="1047"/>
      <c r="D377" s="1047"/>
      <c r="E377" s="1048"/>
      <c r="F377" s="478">
        <f>0.546*X2</f>
        <v>504.50400000000002</v>
      </c>
      <c r="G377" s="337">
        <f t="shared" ref="G377" si="908">+F377*$X$1</f>
        <v>504.50400000000002</v>
      </c>
      <c r="H377" s="328"/>
      <c r="I377" s="328"/>
      <c r="J377" s="375"/>
      <c r="K377" s="375"/>
      <c r="L377" s="375">
        <f t="shared" si="883"/>
        <v>574.50400000000002</v>
      </c>
      <c r="M377" s="337">
        <f t="shared" si="884"/>
        <v>574.50400000000002</v>
      </c>
      <c r="N377" s="375">
        <f t="shared" si="885"/>
        <v>546.50400000000002</v>
      </c>
      <c r="O377" s="337">
        <f t="shared" si="886"/>
        <v>546.50400000000002</v>
      </c>
      <c r="P377" s="375">
        <f t="shared" si="887"/>
        <v>542.50400000000002</v>
      </c>
      <c r="Q377" s="337">
        <f t="shared" si="888"/>
        <v>542.50400000000002</v>
      </c>
      <c r="R377" s="375">
        <f t="shared" si="889"/>
        <v>533.50400000000002</v>
      </c>
      <c r="S377" s="337">
        <f t="shared" si="890"/>
        <v>533.50400000000002</v>
      </c>
      <c r="T377" s="108">
        <f t="shared" si="891"/>
        <v>528.50400000000002</v>
      </c>
      <c r="U377" s="299">
        <f t="shared" si="892"/>
        <v>528.50400000000002</v>
      </c>
      <c r="V377" s="108">
        <f t="shared" si="893"/>
        <v>523.50400000000002</v>
      </c>
      <c r="W377" s="299">
        <f t="shared" si="894"/>
        <v>523.50400000000002</v>
      </c>
      <c r="X377" s="282"/>
      <c r="Y377" s="286"/>
      <c r="Z377" s="286"/>
      <c r="AA377" s="282"/>
      <c r="AB377" s="522">
        <v>2291</v>
      </c>
      <c r="AC377" s="69"/>
    </row>
    <row r="378" spans="1:29" ht="12.6" customHeight="1" x14ac:dyDescent="0.2">
      <c r="A378" s="20"/>
      <c r="B378" s="757" t="s">
        <v>717</v>
      </c>
      <c r="C378" s="758"/>
      <c r="D378" s="758"/>
      <c r="E378" s="759"/>
      <c r="F378" s="477">
        <f>0.549*X2</f>
        <v>507.27600000000007</v>
      </c>
      <c r="G378" s="338">
        <f t="shared" ref="G378" si="909">+F378*$X$1</f>
        <v>507.27600000000007</v>
      </c>
      <c r="H378" s="327"/>
      <c r="I378" s="327"/>
      <c r="J378" s="608"/>
      <c r="K378" s="608"/>
      <c r="L378" s="608">
        <f t="shared" si="883"/>
        <v>577.27600000000007</v>
      </c>
      <c r="M378" s="338">
        <f t="shared" si="884"/>
        <v>577.27600000000007</v>
      </c>
      <c r="N378" s="608">
        <f t="shared" si="885"/>
        <v>549.27600000000007</v>
      </c>
      <c r="O378" s="338">
        <f t="shared" si="886"/>
        <v>549.27600000000007</v>
      </c>
      <c r="P378" s="608">
        <f t="shared" si="887"/>
        <v>545.27600000000007</v>
      </c>
      <c r="Q378" s="338">
        <f t="shared" si="888"/>
        <v>545.27600000000007</v>
      </c>
      <c r="R378" s="608">
        <f t="shared" si="889"/>
        <v>536.27600000000007</v>
      </c>
      <c r="S378" s="338">
        <f t="shared" si="890"/>
        <v>536.27600000000007</v>
      </c>
      <c r="T378" s="107">
        <f t="shared" si="891"/>
        <v>531.27600000000007</v>
      </c>
      <c r="U378" s="363">
        <f t="shared" si="892"/>
        <v>531.27600000000007</v>
      </c>
      <c r="V378" s="107">
        <f t="shared" si="893"/>
        <v>526.27600000000007</v>
      </c>
      <c r="W378" s="363">
        <f t="shared" si="894"/>
        <v>526.27600000000007</v>
      </c>
      <c r="X378" s="297"/>
      <c r="Y378" s="298"/>
      <c r="Z378" s="298"/>
      <c r="AA378" s="297"/>
      <c r="AB378" s="522">
        <v>2292</v>
      </c>
      <c r="AC378" s="69"/>
    </row>
    <row r="379" spans="1:29" ht="12.6" customHeight="1" x14ac:dyDescent="0.2">
      <c r="A379" s="20"/>
      <c r="B379" s="1046" t="s">
        <v>579</v>
      </c>
      <c r="C379" s="1047"/>
      <c r="D379" s="1047"/>
      <c r="E379" s="1048"/>
      <c r="F379" s="478">
        <f>1.287*X2</f>
        <v>1189.1879999999999</v>
      </c>
      <c r="G379" s="337">
        <f t="shared" ref="G379" si="910">+F379*$X$1</f>
        <v>1189.1879999999999</v>
      </c>
      <c r="H379" s="328"/>
      <c r="I379" s="328"/>
      <c r="J379" s="375"/>
      <c r="K379" s="375"/>
      <c r="L379" s="375">
        <f t="shared" si="883"/>
        <v>1259.1879999999999</v>
      </c>
      <c r="M379" s="337">
        <f t="shared" si="884"/>
        <v>1259.1879999999999</v>
      </c>
      <c r="N379" s="375">
        <f t="shared" si="885"/>
        <v>1231.1879999999999</v>
      </c>
      <c r="O379" s="337">
        <f t="shared" si="886"/>
        <v>1231.1879999999999</v>
      </c>
      <c r="P379" s="375">
        <f t="shared" si="887"/>
        <v>1227.1879999999999</v>
      </c>
      <c r="Q379" s="337">
        <f t="shared" si="888"/>
        <v>1227.1879999999999</v>
      </c>
      <c r="R379" s="375">
        <f t="shared" si="889"/>
        <v>1218.1879999999999</v>
      </c>
      <c r="S379" s="337">
        <f t="shared" si="890"/>
        <v>1218.1879999999999</v>
      </c>
      <c r="T379" s="108">
        <f t="shared" si="891"/>
        <v>1213.1879999999999</v>
      </c>
      <c r="U379" s="299">
        <f t="shared" si="892"/>
        <v>1213.1879999999999</v>
      </c>
      <c r="V379" s="108">
        <f t="shared" si="893"/>
        <v>1208.1879999999999</v>
      </c>
      <c r="W379" s="299">
        <f t="shared" si="894"/>
        <v>1208.1879999999999</v>
      </c>
      <c r="X379" s="300"/>
      <c r="Y379" s="301"/>
      <c r="Z379" s="301"/>
      <c r="AA379" s="300"/>
      <c r="AB379" s="522">
        <v>2293</v>
      </c>
      <c r="AC379" s="69"/>
    </row>
    <row r="380" spans="1:29" ht="12.6" customHeight="1" x14ac:dyDescent="0.2">
      <c r="A380" s="20"/>
      <c r="B380" s="757" t="s">
        <v>648</v>
      </c>
      <c r="C380" s="758"/>
      <c r="D380" s="758"/>
      <c r="E380" s="759"/>
      <c r="F380" s="380">
        <v>377</v>
      </c>
      <c r="G380" s="338">
        <f t="shared" ref="G380" si="911">+F380*$X$1</f>
        <v>377</v>
      </c>
      <c r="H380" s="327"/>
      <c r="I380" s="327"/>
      <c r="J380" s="608"/>
      <c r="K380" s="608"/>
      <c r="L380" s="608">
        <f t="shared" si="883"/>
        <v>447</v>
      </c>
      <c r="M380" s="338">
        <f t="shared" si="884"/>
        <v>447</v>
      </c>
      <c r="N380" s="608">
        <f t="shared" si="885"/>
        <v>419</v>
      </c>
      <c r="O380" s="338">
        <f t="shared" si="886"/>
        <v>419</v>
      </c>
      <c r="P380" s="608">
        <f t="shared" si="887"/>
        <v>415</v>
      </c>
      <c r="Q380" s="338">
        <f t="shared" si="888"/>
        <v>415</v>
      </c>
      <c r="R380" s="608">
        <f t="shared" si="889"/>
        <v>406</v>
      </c>
      <c r="S380" s="338">
        <f t="shared" si="890"/>
        <v>406</v>
      </c>
      <c r="T380" s="107">
        <f t="shared" si="891"/>
        <v>401</v>
      </c>
      <c r="U380" s="363">
        <f t="shared" si="892"/>
        <v>401</v>
      </c>
      <c r="V380" s="107">
        <f t="shared" si="893"/>
        <v>396</v>
      </c>
      <c r="W380" s="363">
        <f t="shared" si="894"/>
        <v>396</v>
      </c>
      <c r="X380" s="390"/>
      <c r="Y380" s="391"/>
      <c r="Z380" s="391"/>
      <c r="AA380" s="390"/>
      <c r="AB380" s="522">
        <v>2294</v>
      </c>
      <c r="AC380" s="69"/>
    </row>
    <row r="381" spans="1:29" ht="12.6" customHeight="1" x14ac:dyDescent="0.2">
      <c r="A381" s="20"/>
      <c r="B381" s="1046" t="s">
        <v>514</v>
      </c>
      <c r="C381" s="1047"/>
      <c r="D381" s="1047"/>
      <c r="E381" s="1048"/>
      <c r="F381" s="478">
        <f>0.783*X2</f>
        <v>723.49200000000008</v>
      </c>
      <c r="G381" s="337">
        <f t="shared" ref="G381" si="912">+F381*$X$1</f>
        <v>723.49200000000008</v>
      </c>
      <c r="H381" s="328"/>
      <c r="I381" s="328"/>
      <c r="J381" s="375"/>
      <c r="K381" s="375"/>
      <c r="L381" s="375">
        <f t="shared" si="883"/>
        <v>793.49200000000008</v>
      </c>
      <c r="M381" s="337">
        <f t="shared" si="884"/>
        <v>793.49200000000008</v>
      </c>
      <c r="N381" s="375">
        <f t="shared" si="885"/>
        <v>765.49200000000008</v>
      </c>
      <c r="O381" s="337">
        <f t="shared" si="886"/>
        <v>765.49200000000008</v>
      </c>
      <c r="P381" s="375">
        <f t="shared" si="887"/>
        <v>761.49200000000008</v>
      </c>
      <c r="Q381" s="337">
        <f t="shared" si="888"/>
        <v>761.49200000000008</v>
      </c>
      <c r="R381" s="375">
        <f t="shared" si="889"/>
        <v>752.49200000000008</v>
      </c>
      <c r="S381" s="337">
        <f t="shared" si="890"/>
        <v>752.49200000000008</v>
      </c>
      <c r="T381" s="108">
        <f t="shared" si="891"/>
        <v>747.49200000000008</v>
      </c>
      <c r="U381" s="299">
        <f t="shared" si="892"/>
        <v>747.49200000000008</v>
      </c>
      <c r="V381" s="108">
        <f t="shared" si="893"/>
        <v>742.49200000000008</v>
      </c>
      <c r="W381" s="299">
        <f t="shared" si="894"/>
        <v>742.49200000000008</v>
      </c>
      <c r="X381" s="241"/>
      <c r="Y381" s="242"/>
      <c r="Z381" s="242"/>
      <c r="AA381" s="241"/>
      <c r="AB381" s="522">
        <v>2295</v>
      </c>
      <c r="AC381" s="69"/>
    </row>
    <row r="382" spans="1:29" ht="12.6" customHeight="1" x14ac:dyDescent="0.2">
      <c r="A382" s="20"/>
      <c r="B382" s="1290" t="s">
        <v>452</v>
      </c>
      <c r="C382" s="1291"/>
      <c r="D382" s="1291"/>
      <c r="E382" s="1292"/>
      <c r="F382" s="580">
        <f>0.52*X2</f>
        <v>480.48</v>
      </c>
      <c r="G382" s="402">
        <f t="shared" ref="G382" si="913">+F382*$X$1</f>
        <v>480.48</v>
      </c>
      <c r="H382" s="334"/>
      <c r="I382" s="334"/>
      <c r="J382" s="585"/>
      <c r="K382" s="585"/>
      <c r="L382" s="585">
        <f t="shared" si="883"/>
        <v>550.48</v>
      </c>
      <c r="M382" s="402">
        <f t="shared" si="884"/>
        <v>550.48</v>
      </c>
      <c r="N382" s="585">
        <f t="shared" si="885"/>
        <v>522.48</v>
      </c>
      <c r="O382" s="402">
        <f t="shared" si="886"/>
        <v>522.48</v>
      </c>
      <c r="P382" s="585">
        <f t="shared" si="887"/>
        <v>518.48</v>
      </c>
      <c r="Q382" s="402">
        <f t="shared" si="888"/>
        <v>518.48</v>
      </c>
      <c r="R382" s="585">
        <f t="shared" si="889"/>
        <v>509.48</v>
      </c>
      <c r="S382" s="402">
        <f t="shared" si="890"/>
        <v>509.48</v>
      </c>
      <c r="T382" s="122">
        <f t="shared" si="891"/>
        <v>504.48</v>
      </c>
      <c r="U382" s="470">
        <f t="shared" si="892"/>
        <v>504.48</v>
      </c>
      <c r="V382" s="122">
        <f t="shared" si="893"/>
        <v>499.48</v>
      </c>
      <c r="W382" s="470">
        <f t="shared" si="894"/>
        <v>499.48</v>
      </c>
      <c r="X382" s="241"/>
      <c r="Y382" s="242"/>
      <c r="Z382" s="242"/>
      <c r="AA382" s="241"/>
      <c r="AB382" s="522">
        <v>2296</v>
      </c>
      <c r="AC382" s="69"/>
    </row>
    <row r="383" spans="1:29" ht="12.6" customHeight="1" x14ac:dyDescent="0.2">
      <c r="A383" s="20"/>
      <c r="B383" s="1046" t="s">
        <v>487</v>
      </c>
      <c r="C383" s="1047"/>
      <c r="D383" s="1047"/>
      <c r="E383" s="1048"/>
      <c r="F383" s="478">
        <f>0.627*X2</f>
        <v>579.34799999999996</v>
      </c>
      <c r="G383" s="337">
        <f t="shared" ref="G383" si="914">+F383*$X$1</f>
        <v>579.34799999999996</v>
      </c>
      <c r="H383" s="328"/>
      <c r="I383" s="328"/>
      <c r="J383" s="375"/>
      <c r="K383" s="375"/>
      <c r="L383" s="375">
        <f t="shared" si="883"/>
        <v>649.34799999999996</v>
      </c>
      <c r="M383" s="337">
        <f t="shared" si="884"/>
        <v>649.34799999999996</v>
      </c>
      <c r="N383" s="375">
        <f t="shared" si="885"/>
        <v>621.34799999999996</v>
      </c>
      <c r="O383" s="337">
        <f t="shared" si="886"/>
        <v>621.34799999999996</v>
      </c>
      <c r="P383" s="375"/>
      <c r="Q383" s="337"/>
      <c r="R383" s="375"/>
      <c r="S383" s="337"/>
      <c r="T383" s="108"/>
      <c r="U383" s="299"/>
      <c r="V383" s="108"/>
      <c r="W383" s="299"/>
      <c r="X383" s="260"/>
      <c r="Y383" s="259"/>
      <c r="Z383" s="259"/>
      <c r="AA383" s="260"/>
      <c r="AB383" s="522">
        <v>2298</v>
      </c>
      <c r="AC383" s="69"/>
    </row>
    <row r="384" spans="1:29" ht="12.6" customHeight="1" x14ac:dyDescent="0.2">
      <c r="A384" s="20"/>
      <c r="B384" s="757" t="s">
        <v>628</v>
      </c>
      <c r="C384" s="758"/>
      <c r="D384" s="758"/>
      <c r="E384" s="759"/>
      <c r="F384" s="477">
        <f>0.686*X2</f>
        <v>633.86400000000003</v>
      </c>
      <c r="G384" s="338">
        <f t="shared" ref="G384" si="915">+F384*$X$1</f>
        <v>633.86400000000003</v>
      </c>
      <c r="H384" s="327"/>
      <c r="I384" s="327"/>
      <c r="J384" s="608"/>
      <c r="K384" s="338"/>
      <c r="L384" s="608">
        <f t="shared" si="883"/>
        <v>703.86400000000003</v>
      </c>
      <c r="M384" s="338">
        <f t="shared" si="884"/>
        <v>703.86400000000003</v>
      </c>
      <c r="N384" s="608">
        <f t="shared" si="885"/>
        <v>675.86400000000003</v>
      </c>
      <c r="O384" s="338">
        <f t="shared" si="886"/>
        <v>675.86400000000003</v>
      </c>
      <c r="P384" s="608">
        <f t="shared" si="887"/>
        <v>671.86400000000003</v>
      </c>
      <c r="Q384" s="338">
        <f t="shared" si="888"/>
        <v>671.86400000000003</v>
      </c>
      <c r="R384" s="608">
        <f t="shared" si="889"/>
        <v>662.86400000000003</v>
      </c>
      <c r="S384" s="338">
        <f t="shared" si="890"/>
        <v>662.86400000000003</v>
      </c>
      <c r="T384" s="107">
        <f t="shared" si="891"/>
        <v>657.86400000000003</v>
      </c>
      <c r="U384" s="363">
        <f t="shared" si="892"/>
        <v>657.86400000000003</v>
      </c>
      <c r="V384" s="107">
        <f t="shared" si="893"/>
        <v>652.86400000000003</v>
      </c>
      <c r="W384" s="363">
        <f t="shared" si="894"/>
        <v>652.86400000000003</v>
      </c>
      <c r="X384" s="372"/>
      <c r="Y384" s="373"/>
      <c r="Z384" s="373"/>
      <c r="AA384" s="372"/>
      <c r="AB384" s="522">
        <v>2299</v>
      </c>
      <c r="AC384" s="69"/>
    </row>
    <row r="385" spans="1:34" ht="12.6" customHeight="1" x14ac:dyDescent="0.2">
      <c r="A385" s="20"/>
      <c r="B385" s="1101" t="s">
        <v>266</v>
      </c>
      <c r="C385" s="1272"/>
      <c r="D385" s="1272"/>
      <c r="E385" s="1272"/>
      <c r="F385" s="472">
        <f>2.719*X2</f>
        <v>2512.3559999999998</v>
      </c>
      <c r="G385" s="337">
        <f t="shared" ref="G385:G386" si="916">+F385*$X$1</f>
        <v>2512.3559999999998</v>
      </c>
      <c r="H385" s="375">
        <f t="shared" ref="H385:H389" si="917">F385+250</f>
        <v>2762.3559999999998</v>
      </c>
      <c r="I385" s="337">
        <f t="shared" ref="I385:I389" si="918">+H385*$X$1</f>
        <v>2762.3559999999998</v>
      </c>
      <c r="J385" s="375">
        <f t="shared" ref="J385:J389" si="919">F385+80</f>
        <v>2592.3559999999998</v>
      </c>
      <c r="K385" s="337">
        <f t="shared" ref="K385" si="920">+J385*$X$1</f>
        <v>2592.3559999999998</v>
      </c>
      <c r="L385" s="375">
        <f t="shared" ref="L385:L389" si="921">F385+60</f>
        <v>2572.3559999999998</v>
      </c>
      <c r="M385" s="337">
        <f t="shared" ref="M385" si="922">+L385*$X$1</f>
        <v>2572.3559999999998</v>
      </c>
      <c r="N385" s="375"/>
      <c r="O385" s="337"/>
      <c r="P385" s="375"/>
      <c r="Q385" s="337"/>
      <c r="R385" s="375"/>
      <c r="S385" s="337"/>
      <c r="T385" s="375"/>
      <c r="U385" s="337"/>
      <c r="V385" s="375"/>
      <c r="W385" s="337"/>
      <c r="X385" s="693"/>
      <c r="Y385" s="694"/>
      <c r="Z385" s="694"/>
      <c r="AA385" s="695"/>
      <c r="AB385" s="522">
        <v>2321</v>
      </c>
      <c r="AC385" s="69"/>
    </row>
    <row r="386" spans="1:34" ht="12.6" customHeight="1" x14ac:dyDescent="0.2">
      <c r="A386" s="20"/>
      <c r="B386" s="1067" t="s">
        <v>502</v>
      </c>
      <c r="C386" s="1271"/>
      <c r="D386" s="1271"/>
      <c r="E386" s="1271"/>
      <c r="F386" s="473">
        <f>1.57*X2</f>
        <v>1450.68</v>
      </c>
      <c r="G386" s="338">
        <f t="shared" si="916"/>
        <v>1450.68</v>
      </c>
      <c r="H386" s="608">
        <f t="shared" si="917"/>
        <v>1700.68</v>
      </c>
      <c r="I386" s="338">
        <f t="shared" si="918"/>
        <v>1700.68</v>
      </c>
      <c r="J386" s="608">
        <f t="shared" si="919"/>
        <v>1530.68</v>
      </c>
      <c r="K386" s="338">
        <f t="shared" ref="K386" si="923">+J386*$X$1</f>
        <v>1530.68</v>
      </c>
      <c r="L386" s="608">
        <f t="shared" si="921"/>
        <v>1510.68</v>
      </c>
      <c r="M386" s="338">
        <f t="shared" ref="M386" si="924">+L386*$X$1</f>
        <v>1510.68</v>
      </c>
      <c r="N386" s="608">
        <f>F386+40</f>
        <v>1490.68</v>
      </c>
      <c r="O386" s="338">
        <f t="shared" ref="O386" si="925">+N386*$X$1</f>
        <v>1490.68</v>
      </c>
      <c r="P386" s="608">
        <f>F386+37</f>
        <v>1487.68</v>
      </c>
      <c r="Q386" s="338">
        <f t="shared" ref="Q386" si="926">+P386*$X$1</f>
        <v>1487.68</v>
      </c>
      <c r="R386" s="608">
        <f>F386+33</f>
        <v>1483.68</v>
      </c>
      <c r="S386" s="338">
        <f t="shared" ref="S386" si="927">+R386*$X$1</f>
        <v>1483.68</v>
      </c>
      <c r="T386" s="608">
        <f>F386+29</f>
        <v>1479.68</v>
      </c>
      <c r="U386" s="338">
        <f t="shared" ref="U386" si="928">+T386*$X$1</f>
        <v>1479.68</v>
      </c>
      <c r="V386" s="608">
        <f>F386+25</f>
        <v>1475.68</v>
      </c>
      <c r="W386" s="338">
        <f t="shared" ref="W386" si="929">+V386*$X$1</f>
        <v>1475.68</v>
      </c>
      <c r="X386" s="693"/>
      <c r="Y386" s="694"/>
      <c r="Z386" s="694"/>
      <c r="AA386" s="695"/>
      <c r="AB386" s="522">
        <v>2322</v>
      </c>
      <c r="AC386" s="69"/>
    </row>
    <row r="387" spans="1:34" ht="12.6" customHeight="1" x14ac:dyDescent="0.2">
      <c r="A387" s="20"/>
      <c r="B387" s="703" t="s">
        <v>267</v>
      </c>
      <c r="C387" s="749"/>
      <c r="D387" s="749"/>
      <c r="E387" s="750"/>
      <c r="F387" s="472">
        <f>3.407*X2</f>
        <v>3148.0680000000002</v>
      </c>
      <c r="G387" s="337">
        <f>+F387*$X$1</f>
        <v>3148.0680000000002</v>
      </c>
      <c r="H387" s="375">
        <f t="shared" si="917"/>
        <v>3398.0680000000002</v>
      </c>
      <c r="I387" s="337">
        <f t="shared" si="918"/>
        <v>3398.0680000000002</v>
      </c>
      <c r="J387" s="375">
        <f t="shared" si="919"/>
        <v>3228.0680000000002</v>
      </c>
      <c r="K387" s="337">
        <f t="shared" ref="K387:K389" si="930">+J387*$X$1</f>
        <v>3228.0680000000002</v>
      </c>
      <c r="L387" s="375">
        <f t="shared" si="921"/>
        <v>3208.0680000000002</v>
      </c>
      <c r="M387" s="337">
        <f t="shared" ref="M387:M389" si="931">+L387*$X$1</f>
        <v>3208.0680000000002</v>
      </c>
      <c r="N387" s="375">
        <f>F387+40</f>
        <v>3188.0680000000002</v>
      </c>
      <c r="O387" s="337">
        <f t="shared" ref="O387:O389" si="932">+N387*$X$1</f>
        <v>3188.0680000000002</v>
      </c>
      <c r="P387" s="375">
        <f>F387+37</f>
        <v>3185.0680000000002</v>
      </c>
      <c r="Q387" s="337">
        <f t="shared" ref="Q387:Q389" si="933">+P387*$X$1</f>
        <v>3185.0680000000002</v>
      </c>
      <c r="R387" s="375">
        <f>F387+33</f>
        <v>3181.0680000000002</v>
      </c>
      <c r="S387" s="337">
        <f t="shared" ref="S387:S389" si="934">+R387*$X$1</f>
        <v>3181.0680000000002</v>
      </c>
      <c r="T387" s="375">
        <f>F387+29</f>
        <v>3177.0680000000002</v>
      </c>
      <c r="U387" s="337">
        <f t="shared" ref="U387:U389" si="935">+T387*$X$1</f>
        <v>3177.0680000000002</v>
      </c>
      <c r="V387" s="375">
        <f>F387+25</f>
        <v>3173.0680000000002</v>
      </c>
      <c r="W387" s="337">
        <f t="shared" ref="W387:W389" si="936">+V387*$X$1</f>
        <v>3173.0680000000002</v>
      </c>
      <c r="X387" s="693"/>
      <c r="Y387" s="694"/>
      <c r="Z387" s="694"/>
      <c r="AA387" s="695"/>
      <c r="AB387" s="522">
        <v>2330</v>
      </c>
      <c r="AC387" s="69"/>
    </row>
    <row r="388" spans="1:34" ht="12.6" customHeight="1" x14ac:dyDescent="0.2">
      <c r="A388" s="111"/>
      <c r="B388" s="678" t="s">
        <v>837</v>
      </c>
      <c r="C388" s="679"/>
      <c r="D388" s="679"/>
      <c r="E388" s="680"/>
      <c r="F388" s="473">
        <f>5.39*X2</f>
        <v>4980.3599999999997</v>
      </c>
      <c r="G388" s="338">
        <f t="shared" ref="G388" si="937">+F388*$X$1</f>
        <v>4980.3599999999997</v>
      </c>
      <c r="H388" s="608">
        <f>F388+370</f>
        <v>5350.36</v>
      </c>
      <c r="I388" s="338">
        <f t="shared" si="918"/>
        <v>5350.36</v>
      </c>
      <c r="J388" s="608">
        <f>F388+120</f>
        <v>5100.3599999999997</v>
      </c>
      <c r="K388" s="338">
        <f t="shared" si="930"/>
        <v>5100.3599999999997</v>
      </c>
      <c r="L388" s="608">
        <f>F388+90</f>
        <v>5070.3599999999997</v>
      </c>
      <c r="M388" s="338">
        <f t="shared" si="931"/>
        <v>5070.3599999999997</v>
      </c>
      <c r="N388" s="608">
        <f>F388+60</f>
        <v>5040.3599999999997</v>
      </c>
      <c r="O388" s="338">
        <f>+N388*$X$1</f>
        <v>5040.3599999999997</v>
      </c>
      <c r="P388" s="608">
        <f>F388+55</f>
        <v>5035.3599999999997</v>
      </c>
      <c r="Q388" s="338">
        <f t="shared" si="933"/>
        <v>5035.3599999999997</v>
      </c>
      <c r="R388" s="608">
        <f>F388+49</f>
        <v>5029.3599999999997</v>
      </c>
      <c r="S388" s="338">
        <f>+R388*$X$1</f>
        <v>5029.3599999999997</v>
      </c>
      <c r="T388" s="608">
        <f>F388+44</f>
        <v>5024.3599999999997</v>
      </c>
      <c r="U388" s="338">
        <f t="shared" si="935"/>
        <v>5024.3599999999997</v>
      </c>
      <c r="V388" s="608">
        <f>F388+38</f>
        <v>5018.3599999999997</v>
      </c>
      <c r="W388" s="363">
        <f t="shared" si="936"/>
        <v>5018.3599999999997</v>
      </c>
      <c r="X388" s="693"/>
      <c r="Y388" s="694"/>
      <c r="Z388" s="694"/>
      <c r="AA388" s="695"/>
      <c r="AB388" s="522">
        <v>2332</v>
      </c>
      <c r="AC388" s="69"/>
    </row>
    <row r="389" spans="1:34" ht="12.6" customHeight="1" x14ac:dyDescent="0.2">
      <c r="A389" s="111"/>
      <c r="B389" s="703" t="s">
        <v>453</v>
      </c>
      <c r="C389" s="706"/>
      <c r="D389" s="706"/>
      <c r="E389" s="707"/>
      <c r="F389" s="472">
        <f>1.98*X2</f>
        <v>1829.52</v>
      </c>
      <c r="G389" s="393">
        <f t="shared" ref="G389" si="938">+F389*$X$1</f>
        <v>1829.52</v>
      </c>
      <c r="H389" s="375">
        <f t="shared" si="917"/>
        <v>2079.52</v>
      </c>
      <c r="I389" s="337">
        <f t="shared" si="918"/>
        <v>2079.52</v>
      </c>
      <c r="J389" s="375">
        <f t="shared" si="919"/>
        <v>1909.52</v>
      </c>
      <c r="K389" s="337">
        <f t="shared" si="930"/>
        <v>1909.52</v>
      </c>
      <c r="L389" s="375">
        <f t="shared" si="921"/>
        <v>1889.52</v>
      </c>
      <c r="M389" s="337">
        <f t="shared" si="931"/>
        <v>1889.52</v>
      </c>
      <c r="N389" s="375">
        <f>F389+40</f>
        <v>1869.52</v>
      </c>
      <c r="O389" s="337">
        <f t="shared" si="932"/>
        <v>1869.52</v>
      </c>
      <c r="P389" s="375">
        <f>F389+37</f>
        <v>1866.52</v>
      </c>
      <c r="Q389" s="337">
        <f t="shared" si="933"/>
        <v>1866.52</v>
      </c>
      <c r="R389" s="375">
        <f>F389+33</f>
        <v>1862.52</v>
      </c>
      <c r="S389" s="337">
        <f t="shared" si="934"/>
        <v>1862.52</v>
      </c>
      <c r="T389" s="375">
        <f>F389+29</f>
        <v>1858.52</v>
      </c>
      <c r="U389" s="337">
        <f t="shared" si="935"/>
        <v>1858.52</v>
      </c>
      <c r="V389" s="375">
        <f>F389+25</f>
        <v>1854.52</v>
      </c>
      <c r="W389" s="337">
        <f t="shared" si="936"/>
        <v>1854.52</v>
      </c>
      <c r="X389" s="693"/>
      <c r="Y389" s="694"/>
      <c r="Z389" s="694"/>
      <c r="AA389" s="695"/>
      <c r="AB389" s="522">
        <v>2334</v>
      </c>
      <c r="AC389" s="69"/>
    </row>
    <row r="390" spans="1:34" ht="12.6" customHeight="1" x14ac:dyDescent="0.2">
      <c r="A390" s="111"/>
      <c r="B390" s="795" t="s">
        <v>268</v>
      </c>
      <c r="C390" s="796"/>
      <c r="D390" s="796"/>
      <c r="E390" s="797"/>
      <c r="F390" s="473">
        <f>1.42*X2</f>
        <v>1312.08</v>
      </c>
      <c r="G390" s="338">
        <f t="shared" ref="G390" si="939">+F390*$X$1</f>
        <v>1312.08</v>
      </c>
      <c r="H390" s="648">
        <f>F390+250</f>
        <v>1562.08</v>
      </c>
      <c r="I390" s="338">
        <f>+H390*$X$1</f>
        <v>1562.08</v>
      </c>
      <c r="J390" s="648">
        <f>F390+80</f>
        <v>1392.08</v>
      </c>
      <c r="K390" s="338">
        <f>+J390*$X$1</f>
        <v>1392.08</v>
      </c>
      <c r="L390" s="648">
        <f>F390+60</f>
        <v>1372.08</v>
      </c>
      <c r="M390" s="338">
        <f>+L390*$X$1</f>
        <v>1372.08</v>
      </c>
      <c r="N390" s="648">
        <f>F390+40</f>
        <v>1352.08</v>
      </c>
      <c r="O390" s="338">
        <f>+N390*$X$1</f>
        <v>1352.08</v>
      </c>
      <c r="P390" s="648">
        <f>F390+37</f>
        <v>1349.08</v>
      </c>
      <c r="Q390" s="338">
        <f>+P390*$X$1</f>
        <v>1349.08</v>
      </c>
      <c r="R390" s="648">
        <f>F390+33</f>
        <v>1345.08</v>
      </c>
      <c r="S390" s="338">
        <f>+R390*$X$1</f>
        <v>1345.08</v>
      </c>
      <c r="T390" s="648">
        <f>F390+29</f>
        <v>1341.08</v>
      </c>
      <c r="U390" s="338">
        <f>+T390*$X$1</f>
        <v>1341.08</v>
      </c>
      <c r="V390" s="648">
        <f>F390+25</f>
        <v>1337.08</v>
      </c>
      <c r="W390" s="338">
        <f>+V390*$X$1</f>
        <v>1337.08</v>
      </c>
      <c r="X390" s="693"/>
      <c r="Y390" s="694"/>
      <c r="Z390" s="694"/>
      <c r="AA390" s="695"/>
      <c r="AB390" s="522">
        <v>2336</v>
      </c>
      <c r="AC390" s="69"/>
    </row>
    <row r="391" spans="1:34" ht="12.6" customHeight="1" x14ac:dyDescent="0.2">
      <c r="A391" s="20"/>
      <c r="B391" s="703" t="s">
        <v>269</v>
      </c>
      <c r="C391" s="706"/>
      <c r="D391" s="706"/>
      <c r="E391" s="707"/>
      <c r="F391" s="472">
        <f>1.48*X2</f>
        <v>1367.52</v>
      </c>
      <c r="G391" s="337">
        <f>+F391*$X$1</f>
        <v>1367.52</v>
      </c>
      <c r="H391" s="375">
        <f>F391+250</f>
        <v>1617.52</v>
      </c>
      <c r="I391" s="337">
        <f>+H391*$X$1</f>
        <v>1617.52</v>
      </c>
      <c r="J391" s="375">
        <f>F391+80</f>
        <v>1447.52</v>
      </c>
      <c r="K391" s="337">
        <f>+J391*$X$1</f>
        <v>1447.52</v>
      </c>
      <c r="L391" s="375">
        <f>F391+60</f>
        <v>1427.52</v>
      </c>
      <c r="M391" s="337">
        <f>+L391*$X$1</f>
        <v>1427.52</v>
      </c>
      <c r="N391" s="375">
        <f>F391+40</f>
        <v>1407.52</v>
      </c>
      <c r="O391" s="337">
        <f>+N391*$X$1</f>
        <v>1407.52</v>
      </c>
      <c r="P391" s="375">
        <f>F391+37</f>
        <v>1404.52</v>
      </c>
      <c r="Q391" s="337">
        <f>+P391*$X$1</f>
        <v>1404.52</v>
      </c>
      <c r="R391" s="375">
        <f>F391+33</f>
        <v>1400.52</v>
      </c>
      <c r="S391" s="337">
        <f>+R391*$X$1</f>
        <v>1400.52</v>
      </c>
      <c r="T391" s="375">
        <f>F391+29</f>
        <v>1396.52</v>
      </c>
      <c r="U391" s="337">
        <f>+T391*$X$1</f>
        <v>1396.52</v>
      </c>
      <c r="V391" s="375">
        <f>F391+25</f>
        <v>1392.52</v>
      </c>
      <c r="W391" s="337">
        <f>+V391*$X$1</f>
        <v>1392.52</v>
      </c>
      <c r="X391" s="693"/>
      <c r="Y391" s="694"/>
      <c r="Z391" s="694"/>
      <c r="AA391" s="695"/>
      <c r="AB391" s="522">
        <v>2337</v>
      </c>
      <c r="AC391" s="69"/>
    </row>
    <row r="392" spans="1:34" ht="12.6" customHeight="1" x14ac:dyDescent="0.2">
      <c r="A392" s="20"/>
      <c r="B392" s="795" t="s">
        <v>270</v>
      </c>
      <c r="C392" s="796"/>
      <c r="D392" s="796"/>
      <c r="E392" s="797"/>
      <c r="F392" s="473">
        <f>2.02*X2</f>
        <v>1866.48</v>
      </c>
      <c r="G392" s="338">
        <f t="shared" ref="G392" si="940">+F392*$X$1</f>
        <v>1866.48</v>
      </c>
      <c r="H392" s="660">
        <f>F392+250</f>
        <v>2116.48</v>
      </c>
      <c r="I392" s="338">
        <f>+H392*$X$1</f>
        <v>2116.48</v>
      </c>
      <c r="J392" s="660">
        <f>F392+80</f>
        <v>1946.48</v>
      </c>
      <c r="K392" s="338">
        <f>+J392*$X$1</f>
        <v>1946.48</v>
      </c>
      <c r="L392" s="660">
        <f>F392+60</f>
        <v>1926.48</v>
      </c>
      <c r="M392" s="338">
        <f>+L392*$X$1</f>
        <v>1926.48</v>
      </c>
      <c r="N392" s="660">
        <f>F392+40</f>
        <v>1906.48</v>
      </c>
      <c r="O392" s="338">
        <f>+N392*$X$1</f>
        <v>1906.48</v>
      </c>
      <c r="P392" s="660">
        <f>F392+37</f>
        <v>1903.48</v>
      </c>
      <c r="Q392" s="338">
        <f>+P392*$X$1</f>
        <v>1903.48</v>
      </c>
      <c r="R392" s="660">
        <f>F392+33</f>
        <v>1899.48</v>
      </c>
      <c r="S392" s="338">
        <f>+R392*$X$1</f>
        <v>1899.48</v>
      </c>
      <c r="T392" s="660">
        <f>F392+29</f>
        <v>1895.48</v>
      </c>
      <c r="U392" s="338">
        <f>+T392*$X$1</f>
        <v>1895.48</v>
      </c>
      <c r="V392" s="660">
        <f>F392+25</f>
        <v>1891.48</v>
      </c>
      <c r="W392" s="338">
        <f>+V392*$X$1</f>
        <v>1891.48</v>
      </c>
      <c r="X392" s="693"/>
      <c r="Y392" s="694"/>
      <c r="Z392" s="694"/>
      <c r="AA392" s="695"/>
      <c r="AB392" s="522">
        <v>2338</v>
      </c>
      <c r="AC392" s="69"/>
    </row>
    <row r="393" spans="1:34" ht="12.6" customHeight="1" x14ac:dyDescent="0.2">
      <c r="A393" s="20"/>
      <c r="B393" s="703" t="s">
        <v>374</v>
      </c>
      <c r="C393" s="706"/>
      <c r="D393" s="706"/>
      <c r="E393" s="707"/>
      <c r="F393" s="480">
        <f>1.607*X2</f>
        <v>1484.8679999999999</v>
      </c>
      <c r="G393" s="337">
        <f>+F393*$X$1</f>
        <v>1484.8679999999999</v>
      </c>
      <c r="H393" s="375">
        <f>F393+250</f>
        <v>1734.8679999999999</v>
      </c>
      <c r="I393" s="337">
        <f>+H393*$X$1</f>
        <v>1734.8679999999999</v>
      </c>
      <c r="J393" s="375">
        <f>F393+80</f>
        <v>1564.8679999999999</v>
      </c>
      <c r="K393" s="337">
        <f t="shared" ref="K393" si="941">+J393*$X$1</f>
        <v>1564.8679999999999</v>
      </c>
      <c r="L393" s="375">
        <f>F393+60</f>
        <v>1544.8679999999999</v>
      </c>
      <c r="M393" s="337">
        <f t="shared" ref="M393" si="942">+L393*$X$1</f>
        <v>1544.8679999999999</v>
      </c>
      <c r="N393" s="375">
        <f>F393+40</f>
        <v>1524.8679999999999</v>
      </c>
      <c r="O393" s="337">
        <f t="shared" ref="O393" si="943">+N393*$X$1</f>
        <v>1524.8679999999999</v>
      </c>
      <c r="P393" s="375">
        <f>F393+37</f>
        <v>1521.8679999999999</v>
      </c>
      <c r="Q393" s="337">
        <f t="shared" ref="Q393" si="944">+P393*$X$1</f>
        <v>1521.8679999999999</v>
      </c>
      <c r="R393" s="375">
        <f>F393+33</f>
        <v>1517.8679999999999</v>
      </c>
      <c r="S393" s="337">
        <f t="shared" ref="S393" si="945">+R393*$X$1</f>
        <v>1517.8679999999999</v>
      </c>
      <c r="T393" s="375">
        <f>F393+29</f>
        <v>1513.8679999999999</v>
      </c>
      <c r="U393" s="337">
        <f t="shared" ref="U393" si="946">+T393*$X$1</f>
        <v>1513.8679999999999</v>
      </c>
      <c r="V393" s="375">
        <f>F393+25</f>
        <v>1509.8679999999999</v>
      </c>
      <c r="W393" s="337">
        <f t="shared" ref="W393" si="947">+V393*$X$1</f>
        <v>1509.8679999999999</v>
      </c>
      <c r="X393" s="189"/>
      <c r="Y393" s="192"/>
      <c r="Z393" s="192"/>
      <c r="AA393" s="191"/>
      <c r="AB393" s="522">
        <v>2340</v>
      </c>
      <c r="AC393" s="69"/>
    </row>
    <row r="394" spans="1:34" ht="12.6" customHeight="1" x14ac:dyDescent="0.2">
      <c r="A394" s="20"/>
      <c r="B394" s="795" t="s">
        <v>373</v>
      </c>
      <c r="C394" s="796"/>
      <c r="D394" s="796"/>
      <c r="E394" s="797"/>
      <c r="F394" s="473">
        <f>6.958*X2</f>
        <v>6429.192</v>
      </c>
      <c r="G394" s="338">
        <f>+F394*$X$1</f>
        <v>6429.192</v>
      </c>
      <c r="H394" s="677">
        <f>F394+370</f>
        <v>6799.192</v>
      </c>
      <c r="I394" s="338">
        <f t="shared" ref="I394" si="948">+H394*$X$1</f>
        <v>6799.192</v>
      </c>
      <c r="J394" s="677">
        <f>F394+120</f>
        <v>6549.192</v>
      </c>
      <c r="K394" s="338">
        <f>+J394*$X$1</f>
        <v>6549.192</v>
      </c>
      <c r="L394" s="677">
        <f>F394+90</f>
        <v>6519.192</v>
      </c>
      <c r="M394" s="338">
        <f>+L394*$X$1</f>
        <v>6519.192</v>
      </c>
      <c r="N394" s="677">
        <f>F394+60</f>
        <v>6489.192</v>
      </c>
      <c r="O394" s="338">
        <f>+N394*$X$1</f>
        <v>6489.192</v>
      </c>
      <c r="P394" s="677">
        <f>F394+55</f>
        <v>6484.192</v>
      </c>
      <c r="Q394" s="338">
        <f>+P394*$X$1</f>
        <v>6484.192</v>
      </c>
      <c r="R394" s="677">
        <f>F394+49</f>
        <v>6478.192</v>
      </c>
      <c r="S394" s="338">
        <f>+R394*$X$1</f>
        <v>6478.192</v>
      </c>
      <c r="T394" s="677">
        <f>F394+44</f>
        <v>6473.192</v>
      </c>
      <c r="U394" s="338">
        <f>+T394*$X$1</f>
        <v>6473.192</v>
      </c>
      <c r="V394" s="677">
        <f>F394+38</f>
        <v>6467.192</v>
      </c>
      <c r="W394" s="363">
        <f>+V394*$X$1</f>
        <v>6467.192</v>
      </c>
      <c r="X394" s="189"/>
      <c r="Y394" s="192"/>
      <c r="Z394" s="192"/>
      <c r="AA394" s="191"/>
      <c r="AB394" s="522">
        <v>2341</v>
      </c>
      <c r="AC394" s="69"/>
    </row>
    <row r="395" spans="1:34" ht="12.6" customHeight="1" x14ac:dyDescent="0.2">
      <c r="A395" s="20"/>
      <c r="B395" s="703" t="s">
        <v>826</v>
      </c>
      <c r="C395" s="706"/>
      <c r="D395" s="706"/>
      <c r="E395" s="707"/>
      <c r="F395" s="472">
        <f>12.42*X2</f>
        <v>11476.08</v>
      </c>
      <c r="G395" s="337">
        <f t="shared" ref="G395" si="949">+F395*$X$1</f>
        <v>11476.08</v>
      </c>
      <c r="H395" s="375">
        <f>F395+250</f>
        <v>11726.08</v>
      </c>
      <c r="I395" s="337">
        <f>+H395*$X$1</f>
        <v>11726.08</v>
      </c>
      <c r="J395" s="375">
        <f>F395+80</f>
        <v>11556.08</v>
      </c>
      <c r="K395" s="337">
        <f t="shared" ref="K395" si="950">+J395*$X$1</f>
        <v>11556.08</v>
      </c>
      <c r="L395" s="375">
        <f>F395+60</f>
        <v>11536.08</v>
      </c>
      <c r="M395" s="337">
        <f t="shared" ref="M395" si="951">+L395*$X$1</f>
        <v>11536.08</v>
      </c>
      <c r="N395" s="375">
        <f>F395+40</f>
        <v>11516.08</v>
      </c>
      <c r="O395" s="337">
        <f t="shared" ref="O395" si="952">+N395*$X$1</f>
        <v>11516.08</v>
      </c>
      <c r="P395" s="375">
        <f>F395+37</f>
        <v>11513.08</v>
      </c>
      <c r="Q395" s="337">
        <f t="shared" ref="Q395" si="953">+P395*$X$1</f>
        <v>11513.08</v>
      </c>
      <c r="R395" s="375">
        <f>F395+33</f>
        <v>11509.08</v>
      </c>
      <c r="S395" s="337">
        <f t="shared" ref="S395" si="954">+R395*$X$1</f>
        <v>11509.08</v>
      </c>
      <c r="T395" s="375">
        <f t="shared" ref="T395" si="955">F395+29</f>
        <v>11505.08</v>
      </c>
      <c r="U395" s="337">
        <f t="shared" ref="U395" si="956">+T395*$X$1</f>
        <v>11505.08</v>
      </c>
      <c r="V395" s="375">
        <f>F395+25</f>
        <v>11501.08</v>
      </c>
      <c r="W395" s="337">
        <f t="shared" ref="W395" si="957">+V395*$X$1</f>
        <v>11501.08</v>
      </c>
      <c r="X395" s="598"/>
      <c r="Y395" s="599"/>
      <c r="Z395" s="599"/>
      <c r="AA395" s="600"/>
      <c r="AB395" s="522">
        <v>2342</v>
      </c>
      <c r="AC395" s="69"/>
    </row>
    <row r="396" spans="1:34" s="4" customFormat="1" ht="12.6" customHeight="1" x14ac:dyDescent="0.2">
      <c r="A396" s="21"/>
      <c r="B396" s="18"/>
      <c r="C396" s="14"/>
      <c r="D396" s="14"/>
      <c r="E396" s="14"/>
      <c r="F396" s="62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2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2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899" t="s">
        <v>11</v>
      </c>
      <c r="C399" s="734" t="s">
        <v>12</v>
      </c>
      <c r="D399" s="735"/>
      <c r="E399" s="735"/>
      <c r="F399" s="804" t="s">
        <v>13</v>
      </c>
      <c r="G399" s="804" t="s">
        <v>13</v>
      </c>
      <c r="H399" s="754" t="s">
        <v>14</v>
      </c>
      <c r="I399" s="754"/>
      <c r="J399" s="755"/>
      <c r="K399" s="755"/>
      <c r="L399" s="755"/>
      <c r="M399" s="755"/>
      <c r="N399" s="755"/>
      <c r="O399" s="755"/>
      <c r="P399" s="755"/>
      <c r="Q399" s="755"/>
      <c r="R399" s="755"/>
      <c r="S399" s="755"/>
      <c r="T399" s="755"/>
      <c r="U399" s="755"/>
      <c r="V399" s="755"/>
      <c r="W399" s="756"/>
      <c r="X399" s="745" t="s">
        <v>15</v>
      </c>
      <c r="Y399" s="746"/>
      <c r="Z399" s="746"/>
      <c r="AA399" s="746"/>
      <c r="AB399" s="743" t="s">
        <v>16</v>
      </c>
      <c r="AE399" s="68"/>
      <c r="AF399" s="741" t="s">
        <v>3</v>
      </c>
      <c r="AG399" s="742"/>
      <c r="AH399" s="742"/>
    </row>
    <row r="400" spans="1:34" ht="12" customHeight="1" thickBot="1" x14ac:dyDescent="0.25">
      <c r="A400" s="20"/>
      <c r="B400" s="900"/>
      <c r="C400" s="736"/>
      <c r="D400" s="736"/>
      <c r="E400" s="736"/>
      <c r="F400" s="805"/>
      <c r="G400" s="805"/>
      <c r="H400" s="291"/>
      <c r="I400" s="288" t="s">
        <v>310</v>
      </c>
      <c r="J400" s="292"/>
      <c r="K400" s="288" t="s">
        <v>18</v>
      </c>
      <c r="L400" s="293"/>
      <c r="M400" s="293" t="s">
        <v>19</v>
      </c>
      <c r="N400" s="293"/>
      <c r="O400" s="288" t="s">
        <v>20</v>
      </c>
      <c r="P400" s="293"/>
      <c r="Q400" s="293" t="s">
        <v>312</v>
      </c>
      <c r="R400" s="293"/>
      <c r="S400" s="293" t="s">
        <v>21</v>
      </c>
      <c r="T400" s="293"/>
      <c r="U400" s="293" t="s">
        <v>22</v>
      </c>
      <c r="V400" s="293"/>
      <c r="W400" s="295" t="s">
        <v>23</v>
      </c>
      <c r="X400" s="747"/>
      <c r="Y400" s="748"/>
      <c r="Z400" s="748"/>
      <c r="AA400" s="748"/>
      <c r="AB400" s="744"/>
    </row>
    <row r="401" spans="1:35" ht="12.6" customHeight="1" x14ac:dyDescent="0.2">
      <c r="A401" s="20"/>
      <c r="B401" s="703" t="s">
        <v>825</v>
      </c>
      <c r="C401" s="706"/>
      <c r="D401" s="706"/>
      <c r="E401" s="707"/>
      <c r="F401" s="472">
        <f>14.9*X2</f>
        <v>13767.6</v>
      </c>
      <c r="G401" s="337">
        <f t="shared" ref="G401" si="958">+F401*$X$1</f>
        <v>13767.6</v>
      </c>
      <c r="H401" s="375">
        <f t="shared" ref="H401:H407" si="959">F401+250</f>
        <v>14017.6</v>
      </c>
      <c r="I401" s="337">
        <f t="shared" ref="I401:I407" si="960">+H401*$X$1</f>
        <v>14017.6</v>
      </c>
      <c r="J401" s="375">
        <f t="shared" ref="J401:J407" si="961">F401+80</f>
        <v>13847.6</v>
      </c>
      <c r="K401" s="337">
        <f t="shared" ref="K401" si="962">+J401*$X$1</f>
        <v>13847.6</v>
      </c>
      <c r="L401" s="375">
        <f t="shared" ref="L401:L407" si="963">F401+60</f>
        <v>13827.6</v>
      </c>
      <c r="M401" s="337">
        <f t="shared" ref="M401" si="964">+L401*$X$1</f>
        <v>13827.6</v>
      </c>
      <c r="N401" s="375">
        <f t="shared" ref="N401:N407" si="965">F401+40</f>
        <v>13807.6</v>
      </c>
      <c r="O401" s="337">
        <f t="shared" ref="O401" si="966">+N401*$X$1</f>
        <v>13807.6</v>
      </c>
      <c r="P401" s="375">
        <f t="shared" ref="P401:P407" si="967">F401+37</f>
        <v>13804.6</v>
      </c>
      <c r="Q401" s="337">
        <f t="shared" ref="Q401" si="968">+P401*$X$1</f>
        <v>13804.6</v>
      </c>
      <c r="R401" s="375">
        <f t="shared" ref="R401:R407" si="969">F401+33</f>
        <v>13800.6</v>
      </c>
      <c r="S401" s="337">
        <f t="shared" ref="S401" si="970">+R401*$X$1</f>
        <v>13800.6</v>
      </c>
      <c r="T401" s="375">
        <f t="shared" ref="T401" si="971">F401+29</f>
        <v>13796.6</v>
      </c>
      <c r="U401" s="337">
        <f t="shared" ref="U401" si="972">+T401*$X$1</f>
        <v>13796.6</v>
      </c>
      <c r="V401" s="375">
        <f t="shared" ref="V401:V407" si="973">F401+25</f>
        <v>13792.6</v>
      </c>
      <c r="W401" s="337">
        <f t="shared" ref="W401" si="974">+V401*$X$1</f>
        <v>13792.6</v>
      </c>
      <c r="X401" s="598"/>
      <c r="Y401" s="599"/>
      <c r="Z401" s="599"/>
      <c r="AA401" s="600"/>
      <c r="AB401" s="522">
        <v>2343</v>
      </c>
      <c r="AC401" s="69"/>
    </row>
    <row r="402" spans="1:35" ht="12.6" customHeight="1" x14ac:dyDescent="0.2">
      <c r="A402" s="20"/>
      <c r="B402" s="795" t="s">
        <v>515</v>
      </c>
      <c r="C402" s="796"/>
      <c r="D402" s="796"/>
      <c r="E402" s="797"/>
      <c r="F402" s="473">
        <f>8.45*X2</f>
        <v>7807.7999999999993</v>
      </c>
      <c r="G402" s="338">
        <f t="shared" ref="G402" si="975">+F402*$X$1</f>
        <v>7807.7999999999993</v>
      </c>
      <c r="H402" s="602">
        <f t="shared" si="959"/>
        <v>8057.7999999999993</v>
      </c>
      <c r="I402" s="338">
        <f t="shared" si="960"/>
        <v>8057.7999999999993</v>
      </c>
      <c r="J402" s="602">
        <f t="shared" si="961"/>
        <v>7887.7999999999993</v>
      </c>
      <c r="K402" s="338">
        <f t="shared" ref="K402" si="976">+J402*$X$1</f>
        <v>7887.7999999999993</v>
      </c>
      <c r="L402" s="602">
        <f t="shared" si="963"/>
        <v>7867.7999999999993</v>
      </c>
      <c r="M402" s="338">
        <f t="shared" ref="M402" si="977">+L402*$X$1</f>
        <v>7867.7999999999993</v>
      </c>
      <c r="N402" s="602">
        <f t="shared" si="965"/>
        <v>7847.7999999999993</v>
      </c>
      <c r="O402" s="338">
        <f t="shared" ref="O402" si="978">+N402*$X$1</f>
        <v>7847.7999999999993</v>
      </c>
      <c r="P402" s="602">
        <f t="shared" si="967"/>
        <v>7844.7999999999993</v>
      </c>
      <c r="Q402" s="338">
        <f t="shared" ref="Q402" si="979">+P402*$X$1</f>
        <v>7844.7999999999993</v>
      </c>
      <c r="R402" s="602">
        <f t="shared" si="969"/>
        <v>7840.7999999999993</v>
      </c>
      <c r="S402" s="338">
        <f t="shared" ref="S402" si="980">+R402*$X$1</f>
        <v>7840.7999999999993</v>
      </c>
      <c r="T402" s="602">
        <f t="shared" ref="T402" si="981">F402+29</f>
        <v>7836.7999999999993</v>
      </c>
      <c r="U402" s="338">
        <f t="shared" ref="U402" si="982">+T402*$X$1</f>
        <v>7836.7999999999993</v>
      </c>
      <c r="V402" s="602">
        <f t="shared" si="973"/>
        <v>7832.7999999999993</v>
      </c>
      <c r="W402" s="338">
        <f t="shared" ref="W402" si="983">+V402*$X$1</f>
        <v>7832.7999999999993</v>
      </c>
      <c r="X402" s="269"/>
      <c r="Y402" s="267"/>
      <c r="Z402" s="267"/>
      <c r="AA402" s="268"/>
      <c r="AB402" s="522">
        <v>2346</v>
      </c>
      <c r="AC402" s="69"/>
    </row>
    <row r="403" spans="1:35" ht="12.6" customHeight="1" x14ac:dyDescent="0.2">
      <c r="A403" s="20"/>
      <c r="B403" s="703" t="s">
        <v>827</v>
      </c>
      <c r="C403" s="706"/>
      <c r="D403" s="706"/>
      <c r="E403" s="707"/>
      <c r="F403" s="472">
        <f>11.84*X2</f>
        <v>10940.16</v>
      </c>
      <c r="G403" s="337">
        <f t="shared" ref="G403" si="984">+F403*$X$1</f>
        <v>10940.16</v>
      </c>
      <c r="H403" s="375">
        <f t="shared" si="959"/>
        <v>11190.16</v>
      </c>
      <c r="I403" s="337">
        <f t="shared" si="960"/>
        <v>11190.16</v>
      </c>
      <c r="J403" s="375">
        <f t="shared" si="961"/>
        <v>11020.16</v>
      </c>
      <c r="K403" s="337">
        <f t="shared" ref="K403" si="985">+J403*$X$1</f>
        <v>11020.16</v>
      </c>
      <c r="L403" s="375">
        <f t="shared" si="963"/>
        <v>11000.16</v>
      </c>
      <c r="M403" s="337">
        <f t="shared" ref="M403" si="986">+L403*$X$1</f>
        <v>11000.16</v>
      </c>
      <c r="N403" s="375">
        <f t="shared" si="965"/>
        <v>10980.16</v>
      </c>
      <c r="O403" s="337">
        <f t="shared" ref="O403" si="987">+N403*$X$1</f>
        <v>10980.16</v>
      </c>
      <c r="P403" s="375">
        <f t="shared" si="967"/>
        <v>10977.16</v>
      </c>
      <c r="Q403" s="337">
        <f t="shared" ref="Q403" si="988">+P403*$X$1</f>
        <v>10977.16</v>
      </c>
      <c r="R403" s="375">
        <f t="shared" si="969"/>
        <v>10973.16</v>
      </c>
      <c r="S403" s="337">
        <f t="shared" ref="S403" si="989">+R403*$X$1</f>
        <v>10973.16</v>
      </c>
      <c r="T403" s="375">
        <f t="shared" ref="T403" si="990">F403+29</f>
        <v>10969.16</v>
      </c>
      <c r="U403" s="337">
        <f t="shared" ref="U403" si="991">+T403*$X$1</f>
        <v>10969.16</v>
      </c>
      <c r="V403" s="375">
        <f t="shared" si="973"/>
        <v>10965.16</v>
      </c>
      <c r="W403" s="337">
        <f t="shared" ref="W403" si="992">+V403*$X$1</f>
        <v>10965.16</v>
      </c>
      <c r="X403" s="598"/>
      <c r="Y403" s="599"/>
      <c r="Z403" s="599"/>
      <c r="AA403" s="600"/>
      <c r="AB403" s="522" t="s">
        <v>838</v>
      </c>
      <c r="AC403" s="69"/>
    </row>
    <row r="404" spans="1:35" ht="12.6" customHeight="1" x14ac:dyDescent="0.2">
      <c r="A404" s="20"/>
      <c r="B404" s="678" t="s">
        <v>828</v>
      </c>
      <c r="C404" s="679"/>
      <c r="D404" s="679"/>
      <c r="E404" s="680"/>
      <c r="F404" s="473">
        <f>12.63*X2</f>
        <v>11670.12</v>
      </c>
      <c r="G404" s="338">
        <f t="shared" ref="G404" si="993">+F404*$X$1</f>
        <v>11670.12</v>
      </c>
      <c r="H404" s="662">
        <f t="shared" ref="H404" si="994">F404+250</f>
        <v>11920.12</v>
      </c>
      <c r="I404" s="338">
        <f t="shared" ref="I404" si="995">+H404*$X$1</f>
        <v>11920.12</v>
      </c>
      <c r="J404" s="662">
        <f t="shared" ref="J404" si="996">F404+80</f>
        <v>11750.12</v>
      </c>
      <c r="K404" s="338">
        <f t="shared" ref="K404" si="997">+J404*$X$1</f>
        <v>11750.12</v>
      </c>
      <c r="L404" s="662">
        <f t="shared" ref="L404" si="998">F404+60</f>
        <v>11730.12</v>
      </c>
      <c r="M404" s="338">
        <f t="shared" ref="M404" si="999">+L404*$X$1</f>
        <v>11730.12</v>
      </c>
      <c r="N404" s="662">
        <f t="shared" ref="N404" si="1000">F404+40</f>
        <v>11710.12</v>
      </c>
      <c r="O404" s="338">
        <f t="shared" ref="O404" si="1001">+N404*$X$1</f>
        <v>11710.12</v>
      </c>
      <c r="P404" s="662">
        <f t="shared" ref="P404" si="1002">F404+37</f>
        <v>11707.12</v>
      </c>
      <c r="Q404" s="338">
        <f t="shared" ref="Q404" si="1003">+P404*$X$1</f>
        <v>11707.12</v>
      </c>
      <c r="R404" s="662">
        <f t="shared" ref="R404" si="1004">F404+33</f>
        <v>11703.12</v>
      </c>
      <c r="S404" s="338">
        <f t="shared" ref="S404" si="1005">+R404*$X$1</f>
        <v>11703.12</v>
      </c>
      <c r="T404" s="662">
        <f t="shared" ref="T404" si="1006">F404+29</f>
        <v>11699.12</v>
      </c>
      <c r="U404" s="338">
        <f t="shared" ref="U404" si="1007">+T404*$X$1</f>
        <v>11699.12</v>
      </c>
      <c r="V404" s="662">
        <f t="shared" ref="V404" si="1008">F404+25</f>
        <v>11695.12</v>
      </c>
      <c r="W404" s="338">
        <f t="shared" ref="W404" si="1009">+V404*$X$1</f>
        <v>11695.12</v>
      </c>
      <c r="X404" s="598"/>
      <c r="Y404" s="599"/>
      <c r="Z404" s="599"/>
      <c r="AA404" s="600"/>
      <c r="AB404" s="522" t="s">
        <v>898</v>
      </c>
      <c r="AC404" s="69"/>
    </row>
    <row r="405" spans="1:35" ht="12.6" customHeight="1" x14ac:dyDescent="0.2">
      <c r="A405" s="20"/>
      <c r="B405" s="703" t="s">
        <v>685</v>
      </c>
      <c r="C405" s="706"/>
      <c r="D405" s="706"/>
      <c r="E405" s="707"/>
      <c r="F405" s="472">
        <f>2.985*X2</f>
        <v>2758.14</v>
      </c>
      <c r="G405" s="337">
        <f t="shared" ref="G405" si="1010">+F405*$X$1</f>
        <v>2758.14</v>
      </c>
      <c r="H405" s="375">
        <f t="shared" si="959"/>
        <v>3008.14</v>
      </c>
      <c r="I405" s="337">
        <f t="shared" si="960"/>
        <v>3008.14</v>
      </c>
      <c r="J405" s="375">
        <f t="shared" si="961"/>
        <v>2838.14</v>
      </c>
      <c r="K405" s="337">
        <f t="shared" ref="K405:K408" si="1011">+J405*$X$1</f>
        <v>2838.14</v>
      </c>
      <c r="L405" s="375">
        <f t="shared" si="963"/>
        <v>2818.14</v>
      </c>
      <c r="M405" s="337">
        <f t="shared" ref="M405:M408" si="1012">+L405*$X$1</f>
        <v>2818.14</v>
      </c>
      <c r="N405" s="375">
        <f t="shared" si="965"/>
        <v>2798.14</v>
      </c>
      <c r="O405" s="337">
        <f t="shared" ref="O405:O408" si="1013">+N405*$X$1</f>
        <v>2798.14</v>
      </c>
      <c r="P405" s="375">
        <f t="shared" si="967"/>
        <v>2795.14</v>
      </c>
      <c r="Q405" s="337">
        <f t="shared" ref="Q405:Q408" si="1014">+P405*$X$1</f>
        <v>2795.14</v>
      </c>
      <c r="R405" s="375">
        <f t="shared" si="969"/>
        <v>2791.14</v>
      </c>
      <c r="S405" s="337">
        <f t="shared" ref="S405:S408" si="1015">+R405*$X$1</f>
        <v>2791.14</v>
      </c>
      <c r="T405" s="375">
        <f t="shared" ref="T405:T410" si="1016">F405+29</f>
        <v>2787.14</v>
      </c>
      <c r="U405" s="337">
        <f t="shared" ref="U405:U408" si="1017">+T405*$X$1</f>
        <v>2787.14</v>
      </c>
      <c r="V405" s="375">
        <f t="shared" si="973"/>
        <v>2783.14</v>
      </c>
      <c r="W405" s="337">
        <f t="shared" ref="W405:W408" si="1018">+V405*$X$1</f>
        <v>2783.14</v>
      </c>
      <c r="X405" s="461"/>
      <c r="Y405" s="462"/>
      <c r="Z405" s="462"/>
      <c r="AA405" s="463"/>
      <c r="AB405" s="522">
        <v>2350</v>
      </c>
      <c r="AC405" s="69"/>
    </row>
    <row r="406" spans="1:35" ht="12.6" customHeight="1" x14ac:dyDescent="0.2">
      <c r="A406" s="20"/>
      <c r="B406" s="678" t="s">
        <v>793</v>
      </c>
      <c r="C406" s="679"/>
      <c r="D406" s="679"/>
      <c r="E406" s="680"/>
      <c r="F406" s="473">
        <f>3.299*X2</f>
        <v>3048.2759999999998</v>
      </c>
      <c r="G406" s="338">
        <f t="shared" ref="G406" si="1019">+F406*$X$1</f>
        <v>3048.2759999999998</v>
      </c>
      <c r="H406" s="587">
        <f t="shared" si="959"/>
        <v>3298.2759999999998</v>
      </c>
      <c r="I406" s="338">
        <f t="shared" si="960"/>
        <v>3298.2759999999998</v>
      </c>
      <c r="J406" s="587">
        <f t="shared" si="961"/>
        <v>3128.2759999999998</v>
      </c>
      <c r="K406" s="338">
        <f t="shared" si="1011"/>
        <v>3128.2759999999998</v>
      </c>
      <c r="L406" s="587">
        <f t="shared" si="963"/>
        <v>3108.2759999999998</v>
      </c>
      <c r="M406" s="338">
        <f t="shared" si="1012"/>
        <v>3108.2759999999998</v>
      </c>
      <c r="N406" s="587">
        <f t="shared" si="965"/>
        <v>3088.2759999999998</v>
      </c>
      <c r="O406" s="338">
        <f t="shared" si="1013"/>
        <v>3088.2759999999998</v>
      </c>
      <c r="P406" s="587">
        <f t="shared" si="967"/>
        <v>3085.2759999999998</v>
      </c>
      <c r="Q406" s="338">
        <f t="shared" si="1014"/>
        <v>3085.2759999999998</v>
      </c>
      <c r="R406" s="587">
        <f t="shared" si="969"/>
        <v>3081.2759999999998</v>
      </c>
      <c r="S406" s="338">
        <f t="shared" si="1015"/>
        <v>3081.2759999999998</v>
      </c>
      <c r="T406" s="587">
        <f t="shared" si="1016"/>
        <v>3077.2759999999998</v>
      </c>
      <c r="U406" s="338">
        <f t="shared" si="1017"/>
        <v>3077.2759999999998</v>
      </c>
      <c r="V406" s="587">
        <f t="shared" si="973"/>
        <v>3073.2759999999998</v>
      </c>
      <c r="W406" s="338">
        <f t="shared" si="1018"/>
        <v>3073.2759999999998</v>
      </c>
      <c r="X406" s="567"/>
      <c r="Y406" s="568"/>
      <c r="Z406" s="568"/>
      <c r="AA406" s="569"/>
      <c r="AB406" s="522">
        <v>2351</v>
      </c>
      <c r="AC406" s="69"/>
    </row>
    <row r="407" spans="1:35" ht="12.6" customHeight="1" x14ac:dyDescent="0.2">
      <c r="A407" s="20"/>
      <c r="B407" s="678" t="s">
        <v>807</v>
      </c>
      <c r="C407" s="679"/>
      <c r="D407" s="679"/>
      <c r="E407" s="680"/>
      <c r="F407" s="472">
        <f>1.59*X2</f>
        <v>1469.16</v>
      </c>
      <c r="G407" s="337">
        <f t="shared" ref="G407" si="1020">+F407*$X$1</f>
        <v>1469.16</v>
      </c>
      <c r="H407" s="375">
        <f t="shared" si="959"/>
        <v>1719.16</v>
      </c>
      <c r="I407" s="337">
        <f t="shared" si="960"/>
        <v>1719.16</v>
      </c>
      <c r="J407" s="375">
        <f t="shared" si="961"/>
        <v>1549.16</v>
      </c>
      <c r="K407" s="337">
        <f t="shared" si="1011"/>
        <v>1549.16</v>
      </c>
      <c r="L407" s="375">
        <f t="shared" si="963"/>
        <v>1529.16</v>
      </c>
      <c r="M407" s="337">
        <f t="shared" si="1012"/>
        <v>1529.16</v>
      </c>
      <c r="N407" s="375">
        <f t="shared" si="965"/>
        <v>1509.16</v>
      </c>
      <c r="O407" s="337">
        <f t="shared" si="1013"/>
        <v>1509.16</v>
      </c>
      <c r="P407" s="375">
        <f t="shared" si="967"/>
        <v>1506.16</v>
      </c>
      <c r="Q407" s="337">
        <f t="shared" si="1014"/>
        <v>1506.16</v>
      </c>
      <c r="R407" s="375">
        <f t="shared" si="969"/>
        <v>1502.16</v>
      </c>
      <c r="S407" s="337">
        <f t="shared" si="1015"/>
        <v>1502.16</v>
      </c>
      <c r="T407" s="375">
        <f t="shared" si="1016"/>
        <v>1498.16</v>
      </c>
      <c r="U407" s="337">
        <f t="shared" si="1017"/>
        <v>1498.16</v>
      </c>
      <c r="V407" s="375">
        <f t="shared" si="973"/>
        <v>1494.16</v>
      </c>
      <c r="W407" s="337">
        <f t="shared" si="1018"/>
        <v>1494.16</v>
      </c>
      <c r="X407" s="576"/>
      <c r="Y407" s="577"/>
      <c r="Z407" s="577"/>
      <c r="AA407" s="578"/>
      <c r="AB407" s="522">
        <v>2352</v>
      </c>
      <c r="AC407" s="69"/>
    </row>
    <row r="408" spans="1:35" ht="12.6" customHeight="1" x14ac:dyDescent="0.2">
      <c r="A408" s="20"/>
      <c r="B408" s="795" t="s">
        <v>705</v>
      </c>
      <c r="C408" s="796"/>
      <c r="D408" s="796"/>
      <c r="E408" s="797"/>
      <c r="F408" s="473">
        <f>1*X2</f>
        <v>924</v>
      </c>
      <c r="G408" s="338">
        <f t="shared" ref="G408" si="1021">+F408*$X$1</f>
        <v>924</v>
      </c>
      <c r="H408" s="649">
        <f>F408+290</f>
        <v>1214</v>
      </c>
      <c r="I408" s="338">
        <f>+H408*$X$1</f>
        <v>1214</v>
      </c>
      <c r="J408" s="587">
        <f>F408+120</f>
        <v>1044</v>
      </c>
      <c r="K408" s="338">
        <f t="shared" si="1011"/>
        <v>1044</v>
      </c>
      <c r="L408" s="587">
        <f>F408+74</f>
        <v>998</v>
      </c>
      <c r="M408" s="338">
        <f t="shared" si="1012"/>
        <v>998</v>
      </c>
      <c r="N408" s="587">
        <f>F408+46</f>
        <v>970</v>
      </c>
      <c r="O408" s="338">
        <f t="shared" si="1013"/>
        <v>970</v>
      </c>
      <c r="P408" s="587">
        <f>F408+42</f>
        <v>966</v>
      </c>
      <c r="Q408" s="338">
        <f t="shared" si="1014"/>
        <v>966</v>
      </c>
      <c r="R408" s="587">
        <f>F408+35</f>
        <v>959</v>
      </c>
      <c r="S408" s="338">
        <f t="shared" si="1015"/>
        <v>959</v>
      </c>
      <c r="T408" s="107">
        <f t="shared" si="1016"/>
        <v>953</v>
      </c>
      <c r="U408" s="363">
        <f t="shared" si="1017"/>
        <v>953</v>
      </c>
      <c r="V408" s="107">
        <f>F408+24</f>
        <v>948</v>
      </c>
      <c r="W408" s="363">
        <f t="shared" si="1018"/>
        <v>948</v>
      </c>
      <c r="X408" s="693"/>
      <c r="Y408" s="724"/>
      <c r="Z408" s="724"/>
      <c r="AA408" s="695"/>
      <c r="AB408" s="522">
        <v>2504</v>
      </c>
    </row>
    <row r="409" spans="1:35" ht="12.6" customHeight="1" x14ac:dyDescent="0.2">
      <c r="A409" s="20"/>
      <c r="B409" s="703" t="s">
        <v>791</v>
      </c>
      <c r="C409" s="706"/>
      <c r="D409" s="706"/>
      <c r="E409" s="707"/>
      <c r="F409" s="472">
        <f>3.13*X2</f>
        <v>2892.12</v>
      </c>
      <c r="G409" s="337">
        <f t="shared" ref="G409" si="1022">+F409*$X$1</f>
        <v>2892.12</v>
      </c>
      <c r="H409" s="375">
        <f>F409+290</f>
        <v>3182.12</v>
      </c>
      <c r="I409" s="337">
        <f>+H409*$X$1</f>
        <v>3182.12</v>
      </c>
      <c r="J409" s="375">
        <f>F409+120</f>
        <v>3012.12</v>
      </c>
      <c r="K409" s="337">
        <f t="shared" ref="K409" si="1023">+J409*$X$1</f>
        <v>3012.12</v>
      </c>
      <c r="L409" s="375">
        <f>F409+74</f>
        <v>2966.12</v>
      </c>
      <c r="M409" s="337">
        <f t="shared" ref="M409" si="1024">+L409*$X$1</f>
        <v>2966.12</v>
      </c>
      <c r="N409" s="375">
        <f>F409+46</f>
        <v>2938.12</v>
      </c>
      <c r="O409" s="337">
        <f t="shared" ref="O409" si="1025">+N409*$X$1</f>
        <v>2938.12</v>
      </c>
      <c r="P409" s="375">
        <f>F409+42</f>
        <v>2934.12</v>
      </c>
      <c r="Q409" s="337">
        <f t="shared" ref="Q409" si="1026">+P409*$X$1</f>
        <v>2934.12</v>
      </c>
      <c r="R409" s="375">
        <f>F409+35</f>
        <v>2927.12</v>
      </c>
      <c r="S409" s="337">
        <f t="shared" ref="S409" si="1027">+R409*$X$1</f>
        <v>2927.12</v>
      </c>
      <c r="T409" s="108">
        <f t="shared" si="1016"/>
        <v>2921.12</v>
      </c>
      <c r="U409" s="299">
        <f t="shared" ref="U409" si="1028">+T409*$X$1</f>
        <v>2921.12</v>
      </c>
      <c r="V409" s="108">
        <f>F409+24</f>
        <v>2916.12</v>
      </c>
      <c r="W409" s="299">
        <f t="shared" ref="W409" si="1029">+V409*$X$1</f>
        <v>2916.12</v>
      </c>
      <c r="X409" s="693"/>
      <c r="Y409" s="724"/>
      <c r="Z409" s="724"/>
      <c r="AA409" s="695"/>
      <c r="AB409" s="522">
        <v>2505</v>
      </c>
    </row>
    <row r="410" spans="1:35" ht="12.6" customHeight="1" x14ac:dyDescent="0.2">
      <c r="A410" s="20"/>
      <c r="B410" s="795" t="s">
        <v>567</v>
      </c>
      <c r="C410" s="904"/>
      <c r="D410" s="904"/>
      <c r="E410" s="905"/>
      <c r="F410" s="473">
        <f>3.88*X2</f>
        <v>3585.12</v>
      </c>
      <c r="G410" s="338">
        <f t="shared" ref="G410" si="1030">+F410*$X$1</f>
        <v>3585.12</v>
      </c>
      <c r="H410" s="327"/>
      <c r="I410" s="413"/>
      <c r="J410" s="587">
        <f>F410+120</f>
        <v>3705.12</v>
      </c>
      <c r="K410" s="338">
        <f t="shared" ref="K410" si="1031">+J410*$X$1</f>
        <v>3705.12</v>
      </c>
      <c r="L410" s="587">
        <f>F410+74</f>
        <v>3659.12</v>
      </c>
      <c r="M410" s="338">
        <f t="shared" ref="M410" si="1032">+L410*$X$1</f>
        <v>3659.12</v>
      </c>
      <c r="N410" s="587">
        <f>F410+46</f>
        <v>3631.12</v>
      </c>
      <c r="O410" s="338">
        <f t="shared" ref="O410" si="1033">+N410*$X$1</f>
        <v>3631.12</v>
      </c>
      <c r="P410" s="587">
        <f>F410+42</f>
        <v>3627.12</v>
      </c>
      <c r="Q410" s="338">
        <f t="shared" ref="Q410" si="1034">+P410*$X$1</f>
        <v>3627.12</v>
      </c>
      <c r="R410" s="587">
        <f>F410+35</f>
        <v>3620.12</v>
      </c>
      <c r="S410" s="338">
        <f t="shared" ref="S410" si="1035">+R410*$X$1</f>
        <v>3620.12</v>
      </c>
      <c r="T410" s="107">
        <f t="shared" si="1016"/>
        <v>3614.12</v>
      </c>
      <c r="U410" s="363">
        <f t="shared" ref="U410" si="1036">+T410*$X$1</f>
        <v>3614.12</v>
      </c>
      <c r="V410" s="107">
        <f>F410+24</f>
        <v>3609.12</v>
      </c>
      <c r="W410" s="363">
        <f t="shared" ref="W410" si="1037">+V410*$X$1</f>
        <v>3609.12</v>
      </c>
      <c r="X410" s="176"/>
      <c r="Y410" s="145"/>
      <c r="Z410" s="145"/>
      <c r="AA410" s="148"/>
      <c r="AB410" s="534">
        <v>3001</v>
      </c>
    </row>
    <row r="411" spans="1:35" ht="12.6" customHeight="1" x14ac:dyDescent="0.2">
      <c r="A411" s="111"/>
      <c r="B411" s="1101" t="s">
        <v>622</v>
      </c>
      <c r="C411" s="1102"/>
      <c r="D411" s="1102"/>
      <c r="E411" s="1102"/>
      <c r="F411" s="337">
        <v>3705</v>
      </c>
      <c r="G411" s="337">
        <f t="shared" ref="G411" si="1038">+F411*$X$1</f>
        <v>3705</v>
      </c>
      <c r="H411" s="328"/>
      <c r="I411" s="412"/>
      <c r="J411" s="375"/>
      <c r="K411" s="337"/>
      <c r="L411" s="375">
        <f>F411+805</f>
        <v>4510</v>
      </c>
      <c r="M411" s="337">
        <f>+L411*$X$1</f>
        <v>4510</v>
      </c>
      <c r="N411" s="375">
        <f>F411+720</f>
        <v>4425</v>
      </c>
      <c r="O411" s="337">
        <f t="shared" ref="O411:O412" si="1039">+N411*$X$1</f>
        <v>4425</v>
      </c>
      <c r="P411" s="375">
        <f>F411+695</f>
        <v>4400</v>
      </c>
      <c r="Q411" s="337">
        <f t="shared" ref="Q411:Q412" si="1040">+P411*$X$1</f>
        <v>4400</v>
      </c>
      <c r="R411" s="375">
        <f>F411+655</f>
        <v>4360</v>
      </c>
      <c r="S411" s="337">
        <f>+R411*$X$1</f>
        <v>4360</v>
      </c>
      <c r="T411" s="375">
        <f>F411+665</f>
        <v>4370</v>
      </c>
      <c r="U411" s="337">
        <f>+T411*$X$1</f>
        <v>4370</v>
      </c>
      <c r="V411" s="375"/>
      <c r="W411" s="337"/>
      <c r="X411" s="231"/>
      <c r="Y411" s="233"/>
      <c r="Z411" s="233"/>
      <c r="AA411" s="232"/>
      <c r="AB411" s="522">
        <v>5003</v>
      </c>
      <c r="AC411" s="69"/>
    </row>
    <row r="412" spans="1:35" ht="12.6" customHeight="1" x14ac:dyDescent="0.2">
      <c r="A412" s="111"/>
      <c r="B412" s="901" t="s">
        <v>795</v>
      </c>
      <c r="C412" s="906"/>
      <c r="D412" s="906"/>
      <c r="E412" s="906"/>
      <c r="F412" s="338">
        <v>3705</v>
      </c>
      <c r="G412" s="338">
        <f t="shared" ref="G412" si="1041">+F412*$X$1</f>
        <v>3705</v>
      </c>
      <c r="H412" s="597">
        <f>F412+500</f>
        <v>4205</v>
      </c>
      <c r="I412" s="338">
        <f>+H412*$X$1</f>
        <v>4205</v>
      </c>
      <c r="J412" s="93">
        <f>F412+180</f>
        <v>3885</v>
      </c>
      <c r="K412" s="338">
        <f t="shared" ref="K412" si="1042">+J412*$X$1</f>
        <v>3885</v>
      </c>
      <c r="L412" s="587">
        <f>F412+120</f>
        <v>3825</v>
      </c>
      <c r="M412" s="338">
        <f t="shared" ref="M412" si="1043">+L412*$X$1</f>
        <v>3825</v>
      </c>
      <c r="N412" s="587">
        <f>F412+80</f>
        <v>3785</v>
      </c>
      <c r="O412" s="338">
        <f t="shared" si="1039"/>
        <v>3785</v>
      </c>
      <c r="P412" s="587">
        <f>F412+70</f>
        <v>3775</v>
      </c>
      <c r="Q412" s="338">
        <f t="shared" si="1040"/>
        <v>3775</v>
      </c>
      <c r="R412" s="587">
        <f>F412+55</f>
        <v>3760</v>
      </c>
      <c r="S412" s="338">
        <f t="shared" ref="S412" si="1044">+R412*$X$1</f>
        <v>3760</v>
      </c>
      <c r="T412" s="587">
        <f>F412+49</f>
        <v>3754</v>
      </c>
      <c r="U412" s="338">
        <f t="shared" ref="U412" si="1045">+T412*$X$1</f>
        <v>3754</v>
      </c>
      <c r="V412" s="587"/>
      <c r="W412" s="338"/>
      <c r="X412" s="574"/>
      <c r="Y412" s="572"/>
      <c r="Z412" s="572"/>
      <c r="AA412" s="573"/>
      <c r="AB412" s="522" t="s">
        <v>820</v>
      </c>
      <c r="AC412" s="69"/>
    </row>
    <row r="413" spans="1:35" ht="12.6" customHeight="1" x14ac:dyDescent="0.2">
      <c r="A413" s="20"/>
      <c r="B413" s="708" t="s">
        <v>618</v>
      </c>
      <c r="C413" s="709"/>
      <c r="D413" s="709"/>
      <c r="E413" s="709"/>
      <c r="F413" s="337">
        <v>4992</v>
      </c>
      <c r="G413" s="337">
        <f t="shared" ref="G413:G421" si="1046">+F413*$X$1</f>
        <v>4992</v>
      </c>
      <c r="H413" s="328"/>
      <c r="I413" s="412"/>
      <c r="J413" s="375"/>
      <c r="K413" s="337"/>
      <c r="L413" s="375">
        <f>F413+770</f>
        <v>5762</v>
      </c>
      <c r="M413" s="337">
        <f t="shared" ref="M413" si="1047">+L413*$X$1</f>
        <v>5762</v>
      </c>
      <c r="N413" s="375">
        <f>F413+580</f>
        <v>5572</v>
      </c>
      <c r="O413" s="337">
        <f t="shared" ref="O413" si="1048">+N413*$X$1</f>
        <v>5572</v>
      </c>
      <c r="P413" s="375">
        <f>F413+520</f>
        <v>5512</v>
      </c>
      <c r="Q413" s="337">
        <f t="shared" ref="Q413" si="1049">+P413*$X$1</f>
        <v>5512</v>
      </c>
      <c r="R413" s="375">
        <f>F413+500</f>
        <v>5492</v>
      </c>
      <c r="S413" s="337">
        <f>+R413*$X$1</f>
        <v>5492</v>
      </c>
      <c r="T413" s="375">
        <f>F413+486</f>
        <v>5478</v>
      </c>
      <c r="U413" s="337">
        <f>+T413*$X$1</f>
        <v>5478</v>
      </c>
      <c r="V413" s="375"/>
      <c r="W413" s="337"/>
      <c r="X413" s="1241"/>
      <c r="Y413" s="1242"/>
      <c r="Z413" s="1242"/>
      <c r="AA413" s="1243"/>
      <c r="AB413" s="208">
        <v>5008</v>
      </c>
      <c r="AC413" s="42"/>
      <c r="AD413" s="42"/>
      <c r="AE413" s="42"/>
      <c r="AF413" s="42"/>
      <c r="AG413" s="42"/>
      <c r="AH413" s="42"/>
      <c r="AI413" s="42"/>
    </row>
    <row r="414" spans="1:35" ht="12.6" customHeight="1" x14ac:dyDescent="0.2">
      <c r="A414" s="20"/>
      <c r="B414" s="795" t="s">
        <v>619</v>
      </c>
      <c r="C414" s="796"/>
      <c r="D414" s="796"/>
      <c r="E414" s="797"/>
      <c r="F414" s="338">
        <v>6786</v>
      </c>
      <c r="G414" s="338">
        <f t="shared" si="1046"/>
        <v>6786</v>
      </c>
      <c r="H414" s="327"/>
      <c r="I414" s="413"/>
      <c r="J414" s="587"/>
      <c r="K414" s="338"/>
      <c r="L414" s="587">
        <f>F414+770</f>
        <v>7556</v>
      </c>
      <c r="M414" s="338">
        <f t="shared" ref="M414:M417" si="1050">+L414*$X$1</f>
        <v>7556</v>
      </c>
      <c r="N414" s="587">
        <f>F414+580</f>
        <v>7366</v>
      </c>
      <c r="O414" s="338">
        <f t="shared" ref="O414:O416" si="1051">+N414*$X$1</f>
        <v>7366</v>
      </c>
      <c r="P414" s="587">
        <f>F414+520</f>
        <v>7306</v>
      </c>
      <c r="Q414" s="338">
        <f t="shared" ref="Q414:Q416" si="1052">+P414*$X$1</f>
        <v>7306</v>
      </c>
      <c r="R414" s="587">
        <f>F414+500</f>
        <v>7286</v>
      </c>
      <c r="S414" s="338">
        <f>+R414*$X$1</f>
        <v>7286</v>
      </c>
      <c r="T414" s="587">
        <f>F414+486</f>
        <v>7272</v>
      </c>
      <c r="U414" s="338">
        <f>+T414*$X$1</f>
        <v>7272</v>
      </c>
      <c r="V414" s="587"/>
      <c r="W414" s="338"/>
      <c r="X414" s="1241"/>
      <c r="Y414" s="1242"/>
      <c r="Z414" s="1242"/>
      <c r="AA414" s="1243"/>
      <c r="AB414" s="534">
        <v>5010</v>
      </c>
      <c r="AC414" s="42"/>
      <c r="AD414" s="42"/>
      <c r="AE414" s="42"/>
      <c r="AF414" s="42"/>
      <c r="AG414" s="42"/>
      <c r="AH414" s="42"/>
      <c r="AI414" s="42"/>
    </row>
    <row r="415" spans="1:35" ht="12.6" customHeight="1" x14ac:dyDescent="0.2">
      <c r="A415" s="20"/>
      <c r="B415" s="703" t="s">
        <v>620</v>
      </c>
      <c r="C415" s="706"/>
      <c r="D415" s="706"/>
      <c r="E415" s="707"/>
      <c r="F415" s="337">
        <v>3783</v>
      </c>
      <c r="G415" s="337">
        <f t="shared" ref="G415" si="1053">+F415*$X$1</f>
        <v>3783</v>
      </c>
      <c r="H415" s="328"/>
      <c r="I415" s="412"/>
      <c r="J415" s="375"/>
      <c r="K415" s="337"/>
      <c r="L415" s="375">
        <f>F415+770</f>
        <v>4553</v>
      </c>
      <c r="M415" s="337">
        <f t="shared" si="1050"/>
        <v>4553</v>
      </c>
      <c r="N415" s="375">
        <f>F415+580</f>
        <v>4363</v>
      </c>
      <c r="O415" s="337">
        <f t="shared" si="1051"/>
        <v>4363</v>
      </c>
      <c r="P415" s="375">
        <f>F415+520</f>
        <v>4303</v>
      </c>
      <c r="Q415" s="337">
        <f t="shared" si="1052"/>
        <v>4303</v>
      </c>
      <c r="R415" s="375">
        <f>F415+500</f>
        <v>4283</v>
      </c>
      <c r="S415" s="337">
        <f>+R415*$X$1</f>
        <v>4283</v>
      </c>
      <c r="T415" s="375">
        <f>F415+486</f>
        <v>4269</v>
      </c>
      <c r="U415" s="337">
        <f>+T415*$X$1</f>
        <v>4269</v>
      </c>
      <c r="V415" s="375"/>
      <c r="W415" s="337"/>
      <c r="X415" s="1241"/>
      <c r="Y415" s="1242"/>
      <c r="Z415" s="1242"/>
      <c r="AA415" s="1243"/>
      <c r="AB415" s="534"/>
      <c r="AC415" s="42"/>
      <c r="AD415" s="42"/>
      <c r="AE415" s="42"/>
      <c r="AF415" s="42"/>
      <c r="AG415" s="42"/>
      <c r="AH415" s="42"/>
      <c r="AI415" s="42"/>
    </row>
    <row r="416" spans="1:35" ht="12.6" customHeight="1" x14ac:dyDescent="0.2">
      <c r="A416" s="20"/>
      <c r="B416" s="795" t="s">
        <v>621</v>
      </c>
      <c r="C416" s="796"/>
      <c r="D416" s="796"/>
      <c r="E416" s="797"/>
      <c r="F416" s="338">
        <v>5616</v>
      </c>
      <c r="G416" s="338">
        <f t="shared" ref="G416" si="1054">+F416*$X$1</f>
        <v>5616</v>
      </c>
      <c r="H416" s="327"/>
      <c r="I416" s="413"/>
      <c r="J416" s="587"/>
      <c r="K416" s="338"/>
      <c r="L416" s="587">
        <f>F416+770</f>
        <v>6386</v>
      </c>
      <c r="M416" s="338">
        <f t="shared" si="1050"/>
        <v>6386</v>
      </c>
      <c r="N416" s="587">
        <f>F416+580</f>
        <v>6196</v>
      </c>
      <c r="O416" s="338">
        <f t="shared" si="1051"/>
        <v>6196</v>
      </c>
      <c r="P416" s="587">
        <f>F416+520</f>
        <v>6136</v>
      </c>
      <c r="Q416" s="338">
        <f t="shared" si="1052"/>
        <v>6136</v>
      </c>
      <c r="R416" s="587">
        <f>F416+500</f>
        <v>6116</v>
      </c>
      <c r="S416" s="338">
        <f>+R416*$X$1</f>
        <v>6116</v>
      </c>
      <c r="T416" s="587">
        <f>F416+486</f>
        <v>6102</v>
      </c>
      <c r="U416" s="338">
        <f>+T416*$X$1</f>
        <v>6102</v>
      </c>
      <c r="V416" s="587"/>
      <c r="W416" s="338"/>
      <c r="X416" s="1241"/>
      <c r="Y416" s="1242"/>
      <c r="Z416" s="1242"/>
      <c r="AA416" s="1243"/>
      <c r="AB416" s="534"/>
      <c r="AC416" s="42"/>
      <c r="AD416" s="42"/>
      <c r="AE416" s="42"/>
      <c r="AF416" s="42"/>
      <c r="AG416" s="42"/>
      <c r="AH416" s="42"/>
      <c r="AI416" s="42"/>
    </row>
    <row r="417" spans="1:29" ht="12.6" customHeight="1" x14ac:dyDescent="0.2">
      <c r="A417" s="20"/>
      <c r="B417" s="708" t="s">
        <v>616</v>
      </c>
      <c r="C417" s="751"/>
      <c r="D417" s="751"/>
      <c r="E417" s="751"/>
      <c r="F417" s="337">
        <v>1410</v>
      </c>
      <c r="G417" s="337">
        <f t="shared" si="1046"/>
        <v>1410</v>
      </c>
      <c r="H417" s="328"/>
      <c r="I417" s="412"/>
      <c r="J417" s="75">
        <f>F417+130</f>
        <v>1540</v>
      </c>
      <c r="K417" s="337">
        <f t="shared" ref="K417" si="1055">+J417*$X$1</f>
        <v>1540</v>
      </c>
      <c r="L417" s="375">
        <f>F417+85</f>
        <v>1495</v>
      </c>
      <c r="M417" s="337">
        <f t="shared" si="1050"/>
        <v>1495</v>
      </c>
      <c r="N417" s="375"/>
      <c r="O417" s="337"/>
      <c r="P417" s="375"/>
      <c r="Q417" s="337"/>
      <c r="R417" s="375"/>
      <c r="S417" s="337"/>
      <c r="T417" s="375"/>
      <c r="U417" s="337"/>
      <c r="V417" s="375"/>
      <c r="W417" s="337"/>
      <c r="X417" s="1238"/>
      <c r="Y417" s="1239"/>
      <c r="Z417" s="1239"/>
      <c r="AA417" s="1240"/>
      <c r="AB417" s="534">
        <v>11604</v>
      </c>
    </row>
    <row r="418" spans="1:29" ht="12.6" customHeight="1" x14ac:dyDescent="0.2">
      <c r="A418" s="20"/>
      <c r="B418" s="701" t="s">
        <v>617</v>
      </c>
      <c r="C418" s="702"/>
      <c r="D418" s="702"/>
      <c r="E418" s="702"/>
      <c r="F418" s="575"/>
      <c r="G418" s="587"/>
      <c r="H418" s="327"/>
      <c r="I418" s="413"/>
      <c r="J418" s="93">
        <f>F417+200</f>
        <v>1610</v>
      </c>
      <c r="K418" s="338">
        <f t="shared" ref="K418" si="1056">+J418*$X$1</f>
        <v>1610</v>
      </c>
      <c r="L418" s="587">
        <f>F417+150</f>
        <v>1560</v>
      </c>
      <c r="M418" s="338">
        <f t="shared" ref="M418" si="1057">+L418*$X$1</f>
        <v>1560</v>
      </c>
      <c r="N418" s="587"/>
      <c r="O418" s="338"/>
      <c r="P418" s="587"/>
      <c r="Q418" s="338"/>
      <c r="R418" s="587"/>
      <c r="S418" s="338"/>
      <c r="T418" s="587"/>
      <c r="U418" s="338"/>
      <c r="V418" s="587"/>
      <c r="W418" s="338"/>
      <c r="X418" s="1238"/>
      <c r="Y418" s="1239"/>
      <c r="Z418" s="1239"/>
      <c r="AA418" s="1240"/>
      <c r="AB418" s="534">
        <v>11605</v>
      </c>
    </row>
    <row r="419" spans="1:29" ht="12.6" customHeight="1" x14ac:dyDescent="0.2">
      <c r="A419" s="20"/>
      <c r="B419" s="1153" t="s">
        <v>611</v>
      </c>
      <c r="C419" s="1154"/>
      <c r="D419" s="1154"/>
      <c r="E419" s="1154"/>
      <c r="F419" s="337">
        <v>321</v>
      </c>
      <c r="G419" s="337">
        <f t="shared" si="1046"/>
        <v>321</v>
      </c>
      <c r="H419" s="328"/>
      <c r="I419" s="328"/>
      <c r="J419" s="375"/>
      <c r="K419" s="375"/>
      <c r="L419" s="375"/>
      <c r="M419" s="375"/>
      <c r="N419" s="375"/>
      <c r="O419" s="375"/>
      <c r="P419" s="328"/>
      <c r="Q419" s="328"/>
      <c r="R419" s="375"/>
      <c r="S419" s="375"/>
      <c r="T419" s="375"/>
      <c r="U419" s="375"/>
      <c r="V419" s="375"/>
      <c r="W419" s="375"/>
      <c r="X419" s="1238"/>
      <c r="Y419" s="1239"/>
      <c r="Z419" s="1239"/>
      <c r="AA419" s="1240"/>
      <c r="AB419" s="541"/>
    </row>
    <row r="420" spans="1:29" ht="12.6" customHeight="1" x14ac:dyDescent="0.2">
      <c r="A420" s="20"/>
      <c r="B420" s="701" t="s">
        <v>271</v>
      </c>
      <c r="C420" s="702"/>
      <c r="D420" s="702"/>
      <c r="E420" s="702"/>
      <c r="F420" s="338">
        <v>1067</v>
      </c>
      <c r="G420" s="338">
        <f t="shared" si="1046"/>
        <v>1067</v>
      </c>
      <c r="H420" s="327"/>
      <c r="I420" s="327"/>
      <c r="J420" s="587">
        <f>F420+120</f>
        <v>1187</v>
      </c>
      <c r="K420" s="338">
        <f t="shared" ref="K420" si="1058">+J420*$X$1</f>
        <v>1187</v>
      </c>
      <c r="L420" s="587">
        <f>F420+74</f>
        <v>1141</v>
      </c>
      <c r="M420" s="338">
        <f t="shared" ref="M420" si="1059">+L420*$X$1</f>
        <v>1141</v>
      </c>
      <c r="N420" s="587">
        <f>F420+46</f>
        <v>1113</v>
      </c>
      <c r="O420" s="338">
        <f t="shared" ref="O420" si="1060">+N420*$X$1</f>
        <v>1113</v>
      </c>
      <c r="P420" s="587">
        <f>F420+42</f>
        <v>1109</v>
      </c>
      <c r="Q420" s="338">
        <f t="shared" ref="Q420" si="1061">+P420*$X$1</f>
        <v>1109</v>
      </c>
      <c r="R420" s="587">
        <f>F420+35</f>
        <v>1102</v>
      </c>
      <c r="S420" s="338">
        <f t="shared" ref="S420" si="1062">+R420*$X$1</f>
        <v>1102</v>
      </c>
      <c r="T420" s="107">
        <f>F420+29</f>
        <v>1096</v>
      </c>
      <c r="U420" s="363">
        <f t="shared" ref="U420" si="1063">+T420*$X$1</f>
        <v>1096</v>
      </c>
      <c r="V420" s="107">
        <f>F420+24</f>
        <v>1091</v>
      </c>
      <c r="W420" s="363">
        <f t="shared" ref="W420" si="1064">+V420*$X$1</f>
        <v>1091</v>
      </c>
      <c r="X420" s="164"/>
      <c r="Y420" s="141"/>
      <c r="Z420" s="141"/>
      <c r="AA420" s="141"/>
      <c r="AB420" s="542"/>
    </row>
    <row r="421" spans="1:29" ht="12.6" customHeight="1" x14ac:dyDescent="0.2">
      <c r="A421" s="111"/>
      <c r="B421" s="930" t="s">
        <v>272</v>
      </c>
      <c r="C421" s="1178"/>
      <c r="D421" s="1178"/>
      <c r="E421" s="1178"/>
      <c r="F421" s="402">
        <v>25</v>
      </c>
      <c r="G421" s="402">
        <f t="shared" si="1046"/>
        <v>25</v>
      </c>
      <c r="H421" s="121"/>
      <c r="I421" s="121"/>
      <c r="J421" s="121"/>
      <c r="K421" s="121"/>
      <c r="L421" s="121"/>
      <c r="M421" s="121"/>
      <c r="N421" s="121"/>
      <c r="O421" s="402"/>
      <c r="P421" s="121"/>
      <c r="Q421" s="402"/>
      <c r="R421" s="121"/>
      <c r="S421" s="402"/>
      <c r="T421" s="121"/>
      <c r="U421" s="402"/>
      <c r="V421" s="121"/>
      <c r="W421" s="402"/>
      <c r="X421" s="164"/>
      <c r="Y421" s="141"/>
      <c r="Z421" s="141"/>
      <c r="AA421" s="141"/>
      <c r="AB421" s="208">
        <v>11612</v>
      </c>
    </row>
    <row r="422" spans="1:29" ht="12.6" customHeight="1" x14ac:dyDescent="0.2">
      <c r="A422" s="20"/>
      <c r="B422" s="795" t="s">
        <v>568</v>
      </c>
      <c r="C422" s="796"/>
      <c r="D422" s="796"/>
      <c r="E422" s="797"/>
      <c r="F422" s="473">
        <f>1.77*X2</f>
        <v>1635.48</v>
      </c>
      <c r="G422" s="338">
        <f t="shared" ref="G422" si="1065">+F422*$X$1</f>
        <v>1635.48</v>
      </c>
      <c r="H422" s="677">
        <f>F422+250</f>
        <v>1885.48</v>
      </c>
      <c r="I422" s="338">
        <f t="shared" ref="I422" si="1066">+H422*$X$1</f>
        <v>1885.48</v>
      </c>
      <c r="J422" s="677">
        <f>F422+100</f>
        <v>1735.48</v>
      </c>
      <c r="K422" s="338">
        <f t="shared" ref="K422" si="1067">+J422*$X$1</f>
        <v>1735.48</v>
      </c>
      <c r="L422" s="677">
        <f>F422+70</f>
        <v>1705.48</v>
      </c>
      <c r="M422" s="338">
        <f t="shared" ref="M422" si="1068">+L422*$X$1</f>
        <v>1705.48</v>
      </c>
      <c r="N422" s="677">
        <f>F422+52</f>
        <v>1687.48</v>
      </c>
      <c r="O422" s="338">
        <f>+N422*$X$1</f>
        <v>1687.48</v>
      </c>
      <c r="P422" s="677">
        <f>F422+46</f>
        <v>1681.48</v>
      </c>
      <c r="Q422" s="338">
        <f t="shared" ref="Q422" si="1069">+P422*$X$1</f>
        <v>1681.48</v>
      </c>
      <c r="R422" s="677">
        <f>F422+41</f>
        <v>1676.48</v>
      </c>
      <c r="S422" s="338">
        <f>+R422*$X$1</f>
        <v>1676.48</v>
      </c>
      <c r="T422" s="677">
        <f>F422+36</f>
        <v>1671.48</v>
      </c>
      <c r="U422" s="338">
        <f>+T422*$X$1</f>
        <v>1671.48</v>
      </c>
      <c r="V422" s="677">
        <f>F422+32</f>
        <v>1667.48</v>
      </c>
      <c r="W422" s="338">
        <f>+V422*$X$1</f>
        <v>1667.48</v>
      </c>
      <c r="X422" s="724"/>
      <c r="Y422" s="694"/>
      <c r="Z422" s="694"/>
      <c r="AA422" s="695"/>
      <c r="AB422" s="208" t="s">
        <v>600</v>
      </c>
    </row>
    <row r="423" spans="1:29" ht="12.6" customHeight="1" x14ac:dyDescent="0.2">
      <c r="A423" s="111"/>
      <c r="B423" s="1101" t="s">
        <v>774</v>
      </c>
      <c r="C423" s="1102"/>
      <c r="D423" s="1102"/>
      <c r="E423" s="1102"/>
      <c r="F423" s="472"/>
      <c r="G423" s="337"/>
      <c r="H423" s="375"/>
      <c r="I423" s="337"/>
      <c r="J423" s="375"/>
      <c r="K423" s="337"/>
      <c r="L423" s="375"/>
      <c r="M423" s="337"/>
      <c r="N423" s="375"/>
      <c r="O423" s="337"/>
      <c r="P423" s="375"/>
      <c r="Q423" s="337"/>
      <c r="R423" s="375"/>
      <c r="S423" s="337"/>
      <c r="T423" s="375"/>
      <c r="U423" s="337"/>
      <c r="V423" s="375"/>
      <c r="W423" s="337"/>
      <c r="X423" s="724"/>
      <c r="Y423" s="724"/>
      <c r="Z423" s="724"/>
      <c r="AA423" s="724"/>
      <c r="AB423" s="522" t="s">
        <v>775</v>
      </c>
      <c r="AC423" s="69"/>
    </row>
    <row r="424" spans="1:29" ht="12.6" customHeight="1" x14ac:dyDescent="0.2">
      <c r="A424" s="111"/>
      <c r="B424" s="1067" t="s">
        <v>770</v>
      </c>
      <c r="C424" s="1068"/>
      <c r="D424" s="1068"/>
      <c r="E424" s="1068"/>
      <c r="F424" s="473">
        <f>4.75*X2</f>
        <v>4389</v>
      </c>
      <c r="G424" s="338">
        <f t="shared" ref="G424" si="1070">+F424*$X$1</f>
        <v>4389</v>
      </c>
      <c r="H424" s="677">
        <f>F424+250</f>
        <v>4639</v>
      </c>
      <c r="I424" s="338">
        <f t="shared" ref="I424:I427" si="1071">+H424*$X$1</f>
        <v>4639</v>
      </c>
      <c r="J424" s="677">
        <f>F424+100</f>
        <v>4489</v>
      </c>
      <c r="K424" s="338">
        <f t="shared" ref="K424:K427" si="1072">+J424*$X$1</f>
        <v>4489</v>
      </c>
      <c r="L424" s="677">
        <f>F424+70</f>
        <v>4459</v>
      </c>
      <c r="M424" s="338">
        <f t="shared" ref="M424:M427" si="1073">+L424*$X$1</f>
        <v>4459</v>
      </c>
      <c r="N424" s="677">
        <f>F424+52</f>
        <v>4441</v>
      </c>
      <c r="O424" s="338">
        <f>+N424*$X$1</f>
        <v>4441</v>
      </c>
      <c r="P424" s="677">
        <f>F424+46</f>
        <v>4435</v>
      </c>
      <c r="Q424" s="338">
        <f t="shared" ref="Q424:Q427" si="1074">+P424*$X$1</f>
        <v>4435</v>
      </c>
      <c r="R424" s="677">
        <f>F424+41</f>
        <v>4430</v>
      </c>
      <c r="S424" s="338">
        <f>+R424*$X$1</f>
        <v>4430</v>
      </c>
      <c r="T424" s="677">
        <f>F424+36</f>
        <v>4425</v>
      </c>
      <c r="U424" s="338">
        <f>+T424*$X$1</f>
        <v>4425</v>
      </c>
      <c r="V424" s="677">
        <f>F424+32</f>
        <v>4421</v>
      </c>
      <c r="W424" s="338">
        <f>+V424*$X$1</f>
        <v>4421</v>
      </c>
      <c r="X424" s="724"/>
      <c r="Y424" s="724"/>
      <c r="Z424" s="724"/>
      <c r="AA424" s="724"/>
      <c r="AB424" s="522" t="s">
        <v>771</v>
      </c>
      <c r="AC424" s="69"/>
    </row>
    <row r="425" spans="1:29" ht="12.6" customHeight="1" x14ac:dyDescent="0.2">
      <c r="A425" s="111"/>
      <c r="B425" s="1101" t="s">
        <v>773</v>
      </c>
      <c r="C425" s="1102"/>
      <c r="D425" s="1102"/>
      <c r="E425" s="1102"/>
      <c r="F425" s="472">
        <f>4.75*X2</f>
        <v>4389</v>
      </c>
      <c r="G425" s="337">
        <f>+F425*$X$1</f>
        <v>4389</v>
      </c>
      <c r="H425" s="375">
        <f>F425+250</f>
        <v>4639</v>
      </c>
      <c r="I425" s="337">
        <f t="shared" si="1071"/>
        <v>4639</v>
      </c>
      <c r="J425" s="375">
        <f>F425+100</f>
        <v>4489</v>
      </c>
      <c r="K425" s="337">
        <f t="shared" si="1072"/>
        <v>4489</v>
      </c>
      <c r="L425" s="375">
        <f>F425+70</f>
        <v>4459</v>
      </c>
      <c r="M425" s="337">
        <f t="shared" si="1073"/>
        <v>4459</v>
      </c>
      <c r="N425" s="375">
        <f>F425+52</f>
        <v>4441</v>
      </c>
      <c r="O425" s="337">
        <f>+N425*$X$1</f>
        <v>4441</v>
      </c>
      <c r="P425" s="375">
        <f>F425+46</f>
        <v>4435</v>
      </c>
      <c r="Q425" s="337">
        <f t="shared" si="1074"/>
        <v>4435</v>
      </c>
      <c r="R425" s="375">
        <f>F425+41</f>
        <v>4430</v>
      </c>
      <c r="S425" s="337">
        <f>+R425*$X$1</f>
        <v>4430</v>
      </c>
      <c r="T425" s="375">
        <f>F425+36</f>
        <v>4425</v>
      </c>
      <c r="U425" s="337">
        <f>+T425*$X$1</f>
        <v>4425</v>
      </c>
      <c r="V425" s="375">
        <f>F425+32</f>
        <v>4421</v>
      </c>
      <c r="W425" s="337">
        <f>+V425*$X$1</f>
        <v>4421</v>
      </c>
      <c r="X425" s="724"/>
      <c r="Y425" s="724"/>
      <c r="Z425" s="724"/>
      <c r="AA425" s="724"/>
      <c r="AB425" s="522" t="s">
        <v>772</v>
      </c>
      <c r="AC425" s="69"/>
    </row>
    <row r="426" spans="1:29" ht="12.6" customHeight="1" x14ac:dyDescent="0.2">
      <c r="A426" s="111"/>
      <c r="B426" s="1067" t="s">
        <v>758</v>
      </c>
      <c r="C426" s="1068"/>
      <c r="D426" s="1068"/>
      <c r="E426" s="1068"/>
      <c r="F426" s="473">
        <f>4.836*X2</f>
        <v>4468.4639999999999</v>
      </c>
      <c r="G426" s="338">
        <f t="shared" ref="G426:G430" si="1075">+F426*$X$1</f>
        <v>4468.4639999999999</v>
      </c>
      <c r="H426" s="677">
        <f>F426+250</f>
        <v>4718.4639999999999</v>
      </c>
      <c r="I426" s="338">
        <f t="shared" si="1071"/>
        <v>4718.4639999999999</v>
      </c>
      <c r="J426" s="677">
        <f>F426+100</f>
        <v>4568.4639999999999</v>
      </c>
      <c r="K426" s="338">
        <f t="shared" si="1072"/>
        <v>4568.4639999999999</v>
      </c>
      <c r="L426" s="677">
        <f>F426+70</f>
        <v>4538.4639999999999</v>
      </c>
      <c r="M426" s="338">
        <f t="shared" si="1073"/>
        <v>4538.4639999999999</v>
      </c>
      <c r="N426" s="677">
        <f>F426+52</f>
        <v>4520.4639999999999</v>
      </c>
      <c r="O426" s="338">
        <f>+N426*$X$1</f>
        <v>4520.4639999999999</v>
      </c>
      <c r="P426" s="677">
        <f>F426+46</f>
        <v>4514.4639999999999</v>
      </c>
      <c r="Q426" s="338">
        <f t="shared" si="1074"/>
        <v>4514.4639999999999</v>
      </c>
      <c r="R426" s="677">
        <f>F426+41</f>
        <v>4509.4639999999999</v>
      </c>
      <c r="S426" s="338">
        <f>+R426*$X$1</f>
        <v>4509.4639999999999</v>
      </c>
      <c r="T426" s="677">
        <f>F426+36</f>
        <v>4504.4639999999999</v>
      </c>
      <c r="U426" s="338">
        <f>+T426*$X$1</f>
        <v>4504.4639999999999</v>
      </c>
      <c r="V426" s="677">
        <f>F426+32</f>
        <v>4500.4639999999999</v>
      </c>
      <c r="W426" s="338">
        <f>+V426*$X$1</f>
        <v>4500.4639999999999</v>
      </c>
      <c r="X426" s="724"/>
      <c r="Y426" s="724"/>
      <c r="Z426" s="724"/>
      <c r="AA426" s="724"/>
      <c r="AB426" s="522" t="s">
        <v>757</v>
      </c>
      <c r="AC426" s="69"/>
    </row>
    <row r="427" spans="1:29" ht="12.6" customHeight="1" x14ac:dyDescent="0.2">
      <c r="A427" s="111"/>
      <c r="B427" s="1101" t="s">
        <v>759</v>
      </c>
      <c r="C427" s="1102"/>
      <c r="D427" s="1102"/>
      <c r="E427" s="1102"/>
      <c r="F427" s="472">
        <f>4.836*X2</f>
        <v>4468.4639999999999</v>
      </c>
      <c r="G427" s="337">
        <f t="shared" si="1075"/>
        <v>4468.4639999999999</v>
      </c>
      <c r="H427" s="375">
        <f>F427+250</f>
        <v>4718.4639999999999</v>
      </c>
      <c r="I427" s="337">
        <f t="shared" si="1071"/>
        <v>4718.4639999999999</v>
      </c>
      <c r="J427" s="375">
        <f>F427+100</f>
        <v>4568.4639999999999</v>
      </c>
      <c r="K427" s="337">
        <f t="shared" si="1072"/>
        <v>4568.4639999999999</v>
      </c>
      <c r="L427" s="375">
        <f>F427+70</f>
        <v>4538.4639999999999</v>
      </c>
      <c r="M427" s="337">
        <f t="shared" si="1073"/>
        <v>4538.4639999999999</v>
      </c>
      <c r="N427" s="375">
        <f>F427+52</f>
        <v>4520.4639999999999</v>
      </c>
      <c r="O427" s="337">
        <f>+N427*$X$1</f>
        <v>4520.4639999999999</v>
      </c>
      <c r="P427" s="375">
        <f>F427+46</f>
        <v>4514.4639999999999</v>
      </c>
      <c r="Q427" s="337">
        <f t="shared" si="1074"/>
        <v>4514.4639999999999</v>
      </c>
      <c r="R427" s="375">
        <f>F427+41</f>
        <v>4509.4639999999999</v>
      </c>
      <c r="S427" s="337">
        <f>+R427*$X$1</f>
        <v>4509.4639999999999</v>
      </c>
      <c r="T427" s="375">
        <f>F427+36</f>
        <v>4504.4639999999999</v>
      </c>
      <c r="U427" s="337">
        <f>+T427*$X$1</f>
        <v>4504.4639999999999</v>
      </c>
      <c r="V427" s="375">
        <f>F427+32</f>
        <v>4500.4639999999999</v>
      </c>
      <c r="W427" s="337">
        <f>+V427*$X$1</f>
        <v>4500.4639999999999</v>
      </c>
      <c r="X427" s="724"/>
      <c r="Y427" s="724"/>
      <c r="Z427" s="724"/>
      <c r="AA427" s="724"/>
      <c r="AB427" s="522" t="s">
        <v>756</v>
      </c>
      <c r="AC427" s="69"/>
    </row>
    <row r="428" spans="1:29" ht="12.6" customHeight="1" x14ac:dyDescent="0.2">
      <c r="A428" s="111"/>
      <c r="B428" s="1067" t="s">
        <v>763</v>
      </c>
      <c r="C428" s="1068"/>
      <c r="D428" s="1068"/>
      <c r="E428" s="1068"/>
      <c r="F428" s="473"/>
      <c r="G428" s="338"/>
      <c r="H428" s="677"/>
      <c r="I428" s="338"/>
      <c r="J428" s="677"/>
      <c r="K428" s="338"/>
      <c r="L428" s="677"/>
      <c r="M428" s="338"/>
      <c r="N428" s="677"/>
      <c r="O428" s="338"/>
      <c r="P428" s="677"/>
      <c r="Q428" s="338"/>
      <c r="R428" s="677"/>
      <c r="S428" s="338"/>
      <c r="T428" s="677"/>
      <c r="U428" s="338"/>
      <c r="V428" s="677"/>
      <c r="W428" s="338"/>
      <c r="X428" s="724"/>
      <c r="Y428" s="724"/>
      <c r="Z428" s="724"/>
      <c r="AA428" s="724"/>
      <c r="AB428" s="522" t="s">
        <v>760</v>
      </c>
      <c r="AC428" s="69"/>
    </row>
    <row r="429" spans="1:29" ht="12.6" customHeight="1" x14ac:dyDescent="0.2">
      <c r="A429" s="111"/>
      <c r="B429" s="1101" t="s">
        <v>764</v>
      </c>
      <c r="C429" s="1102"/>
      <c r="D429" s="1102"/>
      <c r="E429" s="1102"/>
      <c r="F429" s="472">
        <f>4.056*X2</f>
        <v>3747.7440000000001</v>
      </c>
      <c r="G429" s="337">
        <f t="shared" si="1075"/>
        <v>3747.7440000000001</v>
      </c>
      <c r="H429" s="375">
        <f>F429+250</f>
        <v>3997.7440000000001</v>
      </c>
      <c r="I429" s="337">
        <f t="shared" ref="I429:I430" si="1076">+H429*$X$1</f>
        <v>3997.7440000000001</v>
      </c>
      <c r="J429" s="375">
        <f>F429+100</f>
        <v>3847.7440000000001</v>
      </c>
      <c r="K429" s="337">
        <f t="shared" ref="K429:K430" si="1077">+J429*$X$1</f>
        <v>3847.7440000000001</v>
      </c>
      <c r="L429" s="375">
        <f>F429+70</f>
        <v>3817.7440000000001</v>
      </c>
      <c r="M429" s="337">
        <f t="shared" ref="M429:M430" si="1078">+L429*$X$1</f>
        <v>3817.7440000000001</v>
      </c>
      <c r="N429" s="375">
        <f>F429+52</f>
        <v>3799.7440000000001</v>
      </c>
      <c r="O429" s="337">
        <f>+N429*$X$1</f>
        <v>3799.7440000000001</v>
      </c>
      <c r="P429" s="375">
        <f>F429+46</f>
        <v>3793.7440000000001</v>
      </c>
      <c r="Q429" s="337">
        <f t="shared" ref="Q429:Q430" si="1079">+P429*$X$1</f>
        <v>3793.7440000000001</v>
      </c>
      <c r="R429" s="375">
        <f>F429+41</f>
        <v>3788.7440000000001</v>
      </c>
      <c r="S429" s="337">
        <f>+R429*$X$1</f>
        <v>3788.7440000000001</v>
      </c>
      <c r="T429" s="375">
        <f>F429+36</f>
        <v>3783.7440000000001</v>
      </c>
      <c r="U429" s="337">
        <f>+T429*$X$1</f>
        <v>3783.7440000000001</v>
      </c>
      <c r="V429" s="375">
        <f>F429+32</f>
        <v>3779.7440000000001</v>
      </c>
      <c r="W429" s="337">
        <f>+V429*$X$1</f>
        <v>3779.7440000000001</v>
      </c>
      <c r="X429" s="724"/>
      <c r="Y429" s="724"/>
      <c r="Z429" s="724"/>
      <c r="AA429" s="724"/>
      <c r="AB429" s="522" t="s">
        <v>761</v>
      </c>
      <c r="AC429" s="69"/>
    </row>
    <row r="430" spans="1:29" ht="12.6" customHeight="1" x14ac:dyDescent="0.2">
      <c r="A430" s="111"/>
      <c r="B430" s="1067" t="s">
        <v>765</v>
      </c>
      <c r="C430" s="1068"/>
      <c r="D430" s="1068"/>
      <c r="E430" s="1068"/>
      <c r="F430" s="473">
        <f>4.056*X2</f>
        <v>3747.7440000000001</v>
      </c>
      <c r="G430" s="338">
        <f t="shared" si="1075"/>
        <v>3747.7440000000001</v>
      </c>
      <c r="H430" s="677">
        <f>F430+250</f>
        <v>3997.7440000000001</v>
      </c>
      <c r="I430" s="338">
        <f t="shared" si="1076"/>
        <v>3997.7440000000001</v>
      </c>
      <c r="J430" s="677">
        <f>F430+100</f>
        <v>3847.7440000000001</v>
      </c>
      <c r="K430" s="338">
        <f t="shared" si="1077"/>
        <v>3847.7440000000001</v>
      </c>
      <c r="L430" s="677">
        <f>F430+70</f>
        <v>3817.7440000000001</v>
      </c>
      <c r="M430" s="338">
        <f t="shared" si="1078"/>
        <v>3817.7440000000001</v>
      </c>
      <c r="N430" s="677">
        <f>F430+52</f>
        <v>3799.7440000000001</v>
      </c>
      <c r="O430" s="338">
        <f>+N430*$X$1</f>
        <v>3799.7440000000001</v>
      </c>
      <c r="P430" s="677">
        <f>F430+46</f>
        <v>3793.7440000000001</v>
      </c>
      <c r="Q430" s="338">
        <f t="shared" si="1079"/>
        <v>3793.7440000000001</v>
      </c>
      <c r="R430" s="677">
        <f>F430+41</f>
        <v>3788.7440000000001</v>
      </c>
      <c r="S430" s="338">
        <f>+R430*$X$1</f>
        <v>3788.7440000000001</v>
      </c>
      <c r="T430" s="677">
        <f>F430+36</f>
        <v>3783.7440000000001</v>
      </c>
      <c r="U430" s="338">
        <f>+T430*$X$1</f>
        <v>3783.7440000000001</v>
      </c>
      <c r="V430" s="677">
        <f>F430+32</f>
        <v>3779.7440000000001</v>
      </c>
      <c r="W430" s="338">
        <f>+V430*$X$1</f>
        <v>3779.7440000000001</v>
      </c>
      <c r="X430" s="724"/>
      <c r="Y430" s="724"/>
      <c r="Z430" s="724"/>
      <c r="AA430" s="724"/>
      <c r="AB430" s="522" t="s">
        <v>762</v>
      </c>
      <c r="AC430" s="69"/>
    </row>
    <row r="431" spans="1:29" ht="12.6" customHeight="1" x14ac:dyDescent="0.2">
      <c r="A431" s="111"/>
      <c r="B431" s="1101" t="s">
        <v>766</v>
      </c>
      <c r="C431" s="1102"/>
      <c r="D431" s="1102"/>
      <c r="E431" s="1102"/>
      <c r="F431" s="472"/>
      <c r="G431" s="337"/>
      <c r="H431" s="375"/>
      <c r="I431" s="337"/>
      <c r="J431" s="375"/>
      <c r="K431" s="337"/>
      <c r="L431" s="375"/>
      <c r="M431" s="337"/>
      <c r="N431" s="375"/>
      <c r="O431" s="337"/>
      <c r="P431" s="375"/>
      <c r="Q431" s="337"/>
      <c r="R431" s="375"/>
      <c r="S431" s="337"/>
      <c r="T431" s="375"/>
      <c r="U431" s="337"/>
      <c r="V431" s="375"/>
      <c r="W431" s="337"/>
      <c r="X431" s="724"/>
      <c r="Y431" s="724"/>
      <c r="Z431" s="724"/>
      <c r="AA431" s="724"/>
      <c r="AB431" s="522" t="s">
        <v>767</v>
      </c>
      <c r="AC431" s="69"/>
    </row>
    <row r="432" spans="1:29" ht="12.6" customHeight="1" x14ac:dyDescent="0.2">
      <c r="A432" s="20"/>
      <c r="B432" s="795" t="s">
        <v>393</v>
      </c>
      <c r="C432" s="796"/>
      <c r="D432" s="796"/>
      <c r="E432" s="797"/>
      <c r="F432" s="338">
        <v>1100</v>
      </c>
      <c r="G432" s="338">
        <f t="shared" ref="G432:G442" si="1080">+F432*$X$1</f>
        <v>1100</v>
      </c>
      <c r="H432" s="304"/>
      <c r="I432" s="1132" t="s">
        <v>583</v>
      </c>
      <c r="J432" s="1252"/>
      <c r="K432" s="1252"/>
      <c r="L432" s="1252"/>
      <c r="M432" s="1253"/>
      <c r="N432" s="669">
        <v>1600</v>
      </c>
      <c r="O432" s="338">
        <f>+N432*$X$1</f>
        <v>1600</v>
      </c>
      <c r="P432" s="112">
        <v>1570</v>
      </c>
      <c r="Q432" s="338">
        <f t="shared" ref="Q432" si="1081">+P432*$X$1</f>
        <v>1570</v>
      </c>
      <c r="R432" s="669">
        <v>1400</v>
      </c>
      <c r="S432" s="338">
        <f>+R432*$X$1</f>
        <v>1400</v>
      </c>
      <c r="T432" s="669">
        <v>1310</v>
      </c>
      <c r="U432" s="338">
        <f>+T432*$X$1</f>
        <v>1310</v>
      </c>
      <c r="V432" s="669">
        <v>1265</v>
      </c>
      <c r="W432" s="338">
        <f t="shared" ref="W432" si="1082">+V432*$X$1</f>
        <v>1265</v>
      </c>
      <c r="X432" s="145"/>
      <c r="Y432" s="145"/>
      <c r="Z432" s="145"/>
      <c r="AA432" s="148"/>
      <c r="AB432" s="31"/>
    </row>
    <row r="433" spans="1:33" ht="12.6" customHeight="1" x14ac:dyDescent="0.2">
      <c r="A433" s="20"/>
      <c r="B433" s="703" t="s">
        <v>394</v>
      </c>
      <c r="C433" s="706"/>
      <c r="D433" s="706"/>
      <c r="E433" s="707"/>
      <c r="F433" s="337">
        <v>1100</v>
      </c>
      <c r="G433" s="337">
        <f t="shared" si="1080"/>
        <v>1100</v>
      </c>
      <c r="H433" s="304"/>
      <c r="I433" s="1254"/>
      <c r="J433" s="1255"/>
      <c r="K433" s="1255"/>
      <c r="L433" s="1255"/>
      <c r="M433" s="1256"/>
      <c r="N433" s="375">
        <v>1600</v>
      </c>
      <c r="O433" s="337">
        <f>+N433*$X$1</f>
        <v>1600</v>
      </c>
      <c r="P433" s="106">
        <v>1570</v>
      </c>
      <c r="Q433" s="337">
        <f t="shared" ref="Q433:Q436" si="1083">+P433*$X$1</f>
        <v>1570</v>
      </c>
      <c r="R433" s="375">
        <v>1400</v>
      </c>
      <c r="S433" s="337">
        <f>+R433*$X$1</f>
        <v>1400</v>
      </c>
      <c r="T433" s="375">
        <v>1310</v>
      </c>
      <c r="U433" s="337">
        <f>+T433*$X$1</f>
        <v>1310</v>
      </c>
      <c r="V433" s="375">
        <v>1265</v>
      </c>
      <c r="W433" s="337">
        <f t="shared" ref="W433:W436" si="1084">+V433*$X$1</f>
        <v>1265</v>
      </c>
      <c r="X433" s="145"/>
      <c r="Y433" s="145"/>
      <c r="Z433" s="145"/>
      <c r="AA433" s="148"/>
      <c r="AB433" s="208"/>
    </row>
    <row r="434" spans="1:33" ht="12.6" customHeight="1" x14ac:dyDescent="0.2">
      <c r="A434" s="20"/>
      <c r="B434" s="795" t="s">
        <v>395</v>
      </c>
      <c r="C434" s="796"/>
      <c r="D434" s="796"/>
      <c r="E434" s="797"/>
      <c r="F434" s="338">
        <v>1100</v>
      </c>
      <c r="G434" s="338">
        <f t="shared" si="1080"/>
        <v>1100</v>
      </c>
      <c r="H434" s="19"/>
      <c r="I434" s="1257"/>
      <c r="J434" s="1258"/>
      <c r="K434" s="1258"/>
      <c r="L434" s="1258"/>
      <c r="M434" s="1259"/>
      <c r="N434" s="669">
        <v>1600</v>
      </c>
      <c r="O434" s="338">
        <f>+N434*$X$1</f>
        <v>1600</v>
      </c>
      <c r="P434" s="112">
        <v>1570</v>
      </c>
      <c r="Q434" s="338">
        <f t="shared" si="1083"/>
        <v>1570</v>
      </c>
      <c r="R434" s="669">
        <v>1400</v>
      </c>
      <c r="S434" s="338">
        <f>+R434*$X$1</f>
        <v>1400</v>
      </c>
      <c r="T434" s="669">
        <v>1310</v>
      </c>
      <c r="U434" s="338">
        <f>+T434*$X$1</f>
        <v>1310</v>
      </c>
      <c r="V434" s="669">
        <v>1265</v>
      </c>
      <c r="W434" s="338">
        <f t="shared" si="1084"/>
        <v>1265</v>
      </c>
      <c r="X434" s="145"/>
      <c r="Y434" s="145"/>
      <c r="Z434" s="145"/>
      <c r="AA434" s="148"/>
      <c r="AB434" s="208"/>
      <c r="AG434" s="246"/>
    </row>
    <row r="435" spans="1:33" ht="12.6" customHeight="1" x14ac:dyDescent="0.2">
      <c r="A435" s="20"/>
      <c r="B435" s="1153" t="s">
        <v>273</v>
      </c>
      <c r="C435" s="1263"/>
      <c r="D435" s="1263"/>
      <c r="E435" s="1263"/>
      <c r="F435" s="472">
        <f>3.11*X2</f>
        <v>2873.64</v>
      </c>
      <c r="G435" s="337">
        <f t="shared" si="1080"/>
        <v>2873.64</v>
      </c>
      <c r="H435" s="328"/>
      <c r="I435" s="328"/>
      <c r="J435" s="375">
        <f>F435+120</f>
        <v>2993.64</v>
      </c>
      <c r="K435" s="337">
        <f t="shared" ref="K435:K436" si="1085">+J435*$X$1</f>
        <v>2993.64</v>
      </c>
      <c r="L435" s="375">
        <f>F435+74</f>
        <v>2947.64</v>
      </c>
      <c r="M435" s="337">
        <f t="shared" ref="M435:M436" si="1086">+L435*$X$1</f>
        <v>2947.64</v>
      </c>
      <c r="N435" s="375">
        <f>F435+46</f>
        <v>2919.64</v>
      </c>
      <c r="O435" s="337">
        <f t="shared" ref="O435:O436" si="1087">+N435*$X$1</f>
        <v>2919.64</v>
      </c>
      <c r="P435" s="375">
        <f>F435+42</f>
        <v>2915.64</v>
      </c>
      <c r="Q435" s="337">
        <f t="shared" si="1083"/>
        <v>2915.64</v>
      </c>
      <c r="R435" s="375">
        <f>F435+35</f>
        <v>2908.64</v>
      </c>
      <c r="S435" s="337">
        <f t="shared" ref="S435:S436" si="1088">+R435*$X$1</f>
        <v>2908.64</v>
      </c>
      <c r="T435" s="108">
        <f t="shared" ref="T435:T436" si="1089">F435+29</f>
        <v>2902.64</v>
      </c>
      <c r="U435" s="299">
        <f t="shared" ref="U435:U436" si="1090">+T435*$X$1</f>
        <v>2902.64</v>
      </c>
      <c r="V435" s="108">
        <f>F435+24</f>
        <v>2897.64</v>
      </c>
      <c r="W435" s="299">
        <f t="shared" si="1084"/>
        <v>2897.64</v>
      </c>
      <c r="X435" s="699"/>
      <c r="Y435" s="699"/>
      <c r="Z435" s="699"/>
      <c r="AA435" s="700"/>
      <c r="AB435" s="208" t="s">
        <v>274</v>
      </c>
    </row>
    <row r="436" spans="1:33" ht="12.6" customHeight="1" x14ac:dyDescent="0.2">
      <c r="A436" s="20"/>
      <c r="B436" s="701" t="s">
        <v>463</v>
      </c>
      <c r="C436" s="688"/>
      <c r="D436" s="688"/>
      <c r="E436" s="688"/>
      <c r="F436" s="473">
        <f>1.6*X2</f>
        <v>1478.4</v>
      </c>
      <c r="G436" s="338">
        <f t="shared" si="1080"/>
        <v>1478.4</v>
      </c>
      <c r="H436" s="327"/>
      <c r="I436" s="327"/>
      <c r="J436" s="647">
        <f>F436+120</f>
        <v>1598.4</v>
      </c>
      <c r="K436" s="338">
        <f t="shared" si="1085"/>
        <v>1598.4</v>
      </c>
      <c r="L436" s="647">
        <f>F436+74</f>
        <v>1552.4</v>
      </c>
      <c r="M436" s="338">
        <f t="shared" si="1086"/>
        <v>1552.4</v>
      </c>
      <c r="N436" s="647">
        <f>F436+46</f>
        <v>1524.4</v>
      </c>
      <c r="O436" s="338">
        <f t="shared" si="1087"/>
        <v>1524.4</v>
      </c>
      <c r="P436" s="647">
        <f>F436+42</f>
        <v>1520.4</v>
      </c>
      <c r="Q436" s="338">
        <f t="shared" si="1083"/>
        <v>1520.4</v>
      </c>
      <c r="R436" s="647">
        <f>F436+35</f>
        <v>1513.4</v>
      </c>
      <c r="S436" s="338">
        <f t="shared" si="1088"/>
        <v>1513.4</v>
      </c>
      <c r="T436" s="107">
        <f t="shared" si="1089"/>
        <v>1507.4</v>
      </c>
      <c r="U436" s="363">
        <f t="shared" si="1090"/>
        <v>1507.4</v>
      </c>
      <c r="V436" s="107">
        <f>F436+24</f>
        <v>1502.4</v>
      </c>
      <c r="W436" s="363">
        <f t="shared" si="1084"/>
        <v>1502.4</v>
      </c>
      <c r="X436" s="699"/>
      <c r="Y436" s="699"/>
      <c r="Z436" s="699"/>
      <c r="AA436" s="700"/>
      <c r="AB436" s="208" t="s">
        <v>507</v>
      </c>
    </row>
    <row r="437" spans="1:33" s="69" customFormat="1" ht="12.6" customHeight="1" x14ac:dyDescent="0.25">
      <c r="A437" s="101"/>
      <c r="B437" s="718" t="s">
        <v>391</v>
      </c>
      <c r="C437" s="1264"/>
      <c r="D437" s="1264"/>
      <c r="E437" s="1264"/>
      <c r="F437" s="337">
        <v>580</v>
      </c>
      <c r="G437" s="337">
        <f t="shared" si="1080"/>
        <v>580</v>
      </c>
      <c r="H437" s="326"/>
      <c r="I437" s="1132" t="s">
        <v>578</v>
      </c>
      <c r="J437" s="1133"/>
      <c r="K437" s="1133"/>
      <c r="L437" s="1134"/>
      <c r="M437" s="1135"/>
      <c r="N437" s="375">
        <v>1150</v>
      </c>
      <c r="O437" s="337">
        <f t="shared" ref="O437:O442" si="1091">+N437*$X$1</f>
        <v>1150</v>
      </c>
      <c r="P437" s="352">
        <v>1096</v>
      </c>
      <c r="Q437" s="337">
        <f t="shared" ref="Q437:Q446" si="1092">+P437*$X$1</f>
        <v>1096</v>
      </c>
      <c r="R437" s="375">
        <v>1020</v>
      </c>
      <c r="S437" s="337">
        <f t="shared" ref="S437:S442" si="1093">+R437*$X$1</f>
        <v>1020</v>
      </c>
      <c r="T437" s="375">
        <v>930</v>
      </c>
      <c r="U437" s="337">
        <f t="shared" ref="U437:U442" si="1094">+T437*$X$1</f>
        <v>930</v>
      </c>
      <c r="V437" s="375">
        <v>880</v>
      </c>
      <c r="W437" s="337">
        <f t="shared" ref="W437:W442" si="1095">+V437*$X$1</f>
        <v>880</v>
      </c>
      <c r="X437" s="162"/>
      <c r="Y437" s="162"/>
      <c r="Z437" s="162"/>
      <c r="AA437" s="163"/>
      <c r="AB437" s="543" t="s">
        <v>275</v>
      </c>
    </row>
    <row r="438" spans="1:33" s="69" customFormat="1" ht="12.6" customHeight="1" x14ac:dyDescent="0.25">
      <c r="A438" s="101"/>
      <c r="B438" s="701" t="s">
        <v>392</v>
      </c>
      <c r="C438" s="688"/>
      <c r="D438" s="688"/>
      <c r="E438" s="688"/>
      <c r="F438" s="338">
        <v>580</v>
      </c>
      <c r="G438" s="338">
        <f t="shared" si="1080"/>
        <v>580</v>
      </c>
      <c r="H438" s="332"/>
      <c r="I438" s="1136"/>
      <c r="J438" s="1137"/>
      <c r="K438" s="1137"/>
      <c r="L438" s="1138"/>
      <c r="M438" s="1139"/>
      <c r="N438" s="669">
        <v>1430</v>
      </c>
      <c r="O438" s="338">
        <f t="shared" si="1091"/>
        <v>1430</v>
      </c>
      <c r="P438" s="351">
        <v>1380</v>
      </c>
      <c r="Q438" s="338">
        <f t="shared" si="1092"/>
        <v>1380</v>
      </c>
      <c r="R438" s="669">
        <v>1310</v>
      </c>
      <c r="S438" s="338">
        <f t="shared" si="1093"/>
        <v>1310</v>
      </c>
      <c r="T438" s="669">
        <v>1270</v>
      </c>
      <c r="U438" s="338">
        <f t="shared" si="1094"/>
        <v>1270</v>
      </c>
      <c r="V438" s="669">
        <v>1198</v>
      </c>
      <c r="W438" s="338">
        <f t="shared" si="1095"/>
        <v>1198</v>
      </c>
      <c r="X438" s="186"/>
      <c r="Y438" s="145"/>
      <c r="Z438" s="145"/>
      <c r="AA438" s="148"/>
      <c r="AB438" s="544"/>
    </row>
    <row r="439" spans="1:33" s="69" customFormat="1" ht="12.6" customHeight="1" x14ac:dyDescent="0.25">
      <c r="A439" s="101"/>
      <c r="B439" s="708" t="s">
        <v>412</v>
      </c>
      <c r="C439" s="709"/>
      <c r="D439" s="709"/>
      <c r="E439" s="709"/>
      <c r="F439" s="337">
        <v>580</v>
      </c>
      <c r="G439" s="337">
        <f t="shared" si="1080"/>
        <v>580</v>
      </c>
      <c r="H439" s="324"/>
      <c r="I439" s="1136"/>
      <c r="J439" s="1137"/>
      <c r="K439" s="1137"/>
      <c r="L439" s="1138"/>
      <c r="M439" s="1139"/>
      <c r="N439" s="375">
        <v>1150</v>
      </c>
      <c r="O439" s="337">
        <f t="shared" ref="O439:O440" si="1096">+N439*$X$1</f>
        <v>1150</v>
      </c>
      <c r="P439" s="352">
        <v>1096</v>
      </c>
      <c r="Q439" s="337">
        <f t="shared" ref="Q439:Q440" si="1097">+P439*$X$1</f>
        <v>1096</v>
      </c>
      <c r="R439" s="375">
        <v>1020</v>
      </c>
      <c r="S439" s="337">
        <f t="shared" ref="S439:S440" si="1098">+R439*$X$1</f>
        <v>1020</v>
      </c>
      <c r="T439" s="375">
        <v>930</v>
      </c>
      <c r="U439" s="337">
        <f t="shared" ref="U439:U440" si="1099">+T439*$X$1</f>
        <v>930</v>
      </c>
      <c r="V439" s="375">
        <v>880</v>
      </c>
      <c r="W439" s="337">
        <f t="shared" ref="W439:W440" si="1100">+V439*$X$1</f>
        <v>880</v>
      </c>
      <c r="X439" s="145"/>
      <c r="Y439" s="145"/>
      <c r="Z439" s="145"/>
      <c r="AA439" s="148"/>
      <c r="AB439" s="543" t="s">
        <v>276</v>
      </c>
    </row>
    <row r="440" spans="1:33" s="69" customFormat="1" ht="12" customHeight="1" x14ac:dyDescent="0.25">
      <c r="A440" s="101"/>
      <c r="B440" s="701" t="s">
        <v>413</v>
      </c>
      <c r="C440" s="688"/>
      <c r="D440" s="688"/>
      <c r="E440" s="688"/>
      <c r="F440" s="338">
        <v>580</v>
      </c>
      <c r="G440" s="338">
        <f t="shared" si="1080"/>
        <v>580</v>
      </c>
      <c r="H440" s="332"/>
      <c r="I440" s="1136"/>
      <c r="J440" s="1137"/>
      <c r="K440" s="1137"/>
      <c r="L440" s="1138"/>
      <c r="M440" s="1139"/>
      <c r="N440" s="669">
        <v>1430</v>
      </c>
      <c r="O440" s="338">
        <f t="shared" si="1096"/>
        <v>1430</v>
      </c>
      <c r="P440" s="351">
        <v>1380</v>
      </c>
      <c r="Q440" s="338">
        <f t="shared" si="1097"/>
        <v>1380</v>
      </c>
      <c r="R440" s="669">
        <v>1310</v>
      </c>
      <c r="S440" s="338">
        <f t="shared" si="1098"/>
        <v>1310</v>
      </c>
      <c r="T440" s="669">
        <v>1270</v>
      </c>
      <c r="U440" s="338">
        <f t="shared" si="1099"/>
        <v>1270</v>
      </c>
      <c r="V440" s="669">
        <v>1198</v>
      </c>
      <c r="W440" s="338">
        <f t="shared" si="1100"/>
        <v>1198</v>
      </c>
      <c r="X440" s="162"/>
      <c r="Y440" s="162"/>
      <c r="Z440" s="145"/>
      <c r="AA440" s="148"/>
      <c r="AB440" s="544"/>
    </row>
    <row r="441" spans="1:33" s="69" customFormat="1" ht="12.6" customHeight="1" x14ac:dyDescent="0.25">
      <c r="A441" s="101"/>
      <c r="B441" s="708" t="s">
        <v>277</v>
      </c>
      <c r="C441" s="709"/>
      <c r="D441" s="709"/>
      <c r="E441" s="709"/>
      <c r="F441" s="337">
        <v>580</v>
      </c>
      <c r="G441" s="337">
        <f t="shared" si="1080"/>
        <v>580</v>
      </c>
      <c r="H441" s="324"/>
      <c r="I441" s="1140"/>
      <c r="J441" s="1141"/>
      <c r="K441" s="1141"/>
      <c r="L441" s="1138"/>
      <c r="M441" s="1139"/>
      <c r="N441" s="375">
        <v>1300</v>
      </c>
      <c r="O441" s="337">
        <f t="shared" si="1091"/>
        <v>1300</v>
      </c>
      <c r="P441" s="352">
        <v>1244</v>
      </c>
      <c r="Q441" s="337">
        <f t="shared" si="1092"/>
        <v>1244</v>
      </c>
      <c r="R441" s="375">
        <v>1117</v>
      </c>
      <c r="S441" s="337">
        <f t="shared" si="1093"/>
        <v>1117</v>
      </c>
      <c r="T441" s="375">
        <v>1040</v>
      </c>
      <c r="U441" s="337">
        <f t="shared" si="1094"/>
        <v>1040</v>
      </c>
      <c r="V441" s="375">
        <v>979</v>
      </c>
      <c r="W441" s="337">
        <f t="shared" si="1095"/>
        <v>979</v>
      </c>
      <c r="X441" s="145"/>
      <c r="Y441" s="145"/>
      <c r="Z441" s="145"/>
      <c r="AA441" s="148"/>
      <c r="AB441" s="543" t="s">
        <v>278</v>
      </c>
      <c r="AE441" s="274"/>
    </row>
    <row r="442" spans="1:33" s="69" customFormat="1" ht="12.6" customHeight="1" x14ac:dyDescent="0.25">
      <c r="A442" s="101"/>
      <c r="B442" s="701" t="s">
        <v>279</v>
      </c>
      <c r="C442" s="688"/>
      <c r="D442" s="688"/>
      <c r="E442" s="688"/>
      <c r="F442" s="338">
        <v>580</v>
      </c>
      <c r="G442" s="338">
        <f t="shared" si="1080"/>
        <v>580</v>
      </c>
      <c r="H442" s="332"/>
      <c r="I442" s="1142"/>
      <c r="J442" s="1143"/>
      <c r="K442" s="1143"/>
      <c r="L442" s="1143"/>
      <c r="M442" s="1144"/>
      <c r="N442" s="669">
        <v>1580</v>
      </c>
      <c r="O442" s="338">
        <f t="shared" si="1091"/>
        <v>1580</v>
      </c>
      <c r="P442" s="351">
        <v>1512</v>
      </c>
      <c r="Q442" s="338">
        <f t="shared" si="1092"/>
        <v>1512</v>
      </c>
      <c r="R442" s="669">
        <v>1440</v>
      </c>
      <c r="S442" s="338">
        <f t="shared" si="1093"/>
        <v>1440</v>
      </c>
      <c r="T442" s="669">
        <v>1402</v>
      </c>
      <c r="U442" s="338">
        <f t="shared" si="1094"/>
        <v>1402</v>
      </c>
      <c r="V442" s="669">
        <v>1336</v>
      </c>
      <c r="W442" s="338">
        <f t="shared" si="1095"/>
        <v>1336</v>
      </c>
      <c r="X442" s="145"/>
      <c r="Y442" s="145"/>
      <c r="Z442" s="145"/>
      <c r="AA442" s="148"/>
      <c r="AB442" s="543" t="s">
        <v>280</v>
      </c>
    </row>
    <row r="443" spans="1:33" ht="12.6" customHeight="1" x14ac:dyDescent="0.2">
      <c r="A443" s="20"/>
      <c r="B443" s="703" t="s">
        <v>281</v>
      </c>
      <c r="C443" s="706"/>
      <c r="D443" s="706"/>
      <c r="E443" s="707"/>
      <c r="F443" s="472">
        <f>2.95*X2</f>
        <v>2725.8</v>
      </c>
      <c r="G443" s="337">
        <f t="shared" ref="G443:G444" si="1101">+F443*$X$1</f>
        <v>2725.8</v>
      </c>
      <c r="H443" s="375">
        <f>F443+250</f>
        <v>2975.8</v>
      </c>
      <c r="I443" s="337">
        <f t="shared" ref="I443:I447" si="1102">+H443*$X$1</f>
        <v>2975.8</v>
      </c>
      <c r="J443" s="375">
        <f>F443+100</f>
        <v>2825.8</v>
      </c>
      <c r="K443" s="337">
        <f t="shared" ref="K443:K447" si="1103">+J443*$X$1</f>
        <v>2825.8</v>
      </c>
      <c r="L443" s="375">
        <f>F443+70</f>
        <v>2795.8</v>
      </c>
      <c r="M443" s="337">
        <f t="shared" ref="M443:M446" si="1104">+L443*$X$1</f>
        <v>2795.8</v>
      </c>
      <c r="N443" s="375">
        <f>F443+52</f>
        <v>2777.8</v>
      </c>
      <c r="O443" s="337">
        <f>+N443*$X$1</f>
        <v>2777.8</v>
      </c>
      <c r="P443" s="375">
        <f>F443+46</f>
        <v>2771.8</v>
      </c>
      <c r="Q443" s="337">
        <f t="shared" si="1092"/>
        <v>2771.8</v>
      </c>
      <c r="R443" s="375">
        <f>F443+41</f>
        <v>2766.8</v>
      </c>
      <c r="S443" s="337">
        <f>+R443*$X$1</f>
        <v>2766.8</v>
      </c>
      <c r="T443" s="375">
        <f>F443+36</f>
        <v>2761.8</v>
      </c>
      <c r="U443" s="337">
        <f>+T443*$X$1</f>
        <v>2761.8</v>
      </c>
      <c r="V443" s="375">
        <f>F443+32</f>
        <v>2757.8</v>
      </c>
      <c r="W443" s="337">
        <f>+V443*$X$1</f>
        <v>2757.8</v>
      </c>
      <c r="X443" s="724"/>
      <c r="Y443" s="724"/>
      <c r="Z443" s="724"/>
      <c r="AA443" s="695"/>
      <c r="AB443" s="208" t="s">
        <v>282</v>
      </c>
    </row>
    <row r="444" spans="1:33" ht="12.6" customHeight="1" x14ac:dyDescent="0.2">
      <c r="A444" s="20"/>
      <c r="B444" s="795" t="s">
        <v>283</v>
      </c>
      <c r="C444" s="796"/>
      <c r="D444" s="796"/>
      <c r="E444" s="797"/>
      <c r="F444" s="473">
        <f>2.23*X2</f>
        <v>2060.52</v>
      </c>
      <c r="G444" s="338">
        <f t="shared" si="1101"/>
        <v>2060.52</v>
      </c>
      <c r="H444" s="677">
        <f>F444+250</f>
        <v>2310.52</v>
      </c>
      <c r="I444" s="338">
        <f t="shared" si="1102"/>
        <v>2310.52</v>
      </c>
      <c r="J444" s="677">
        <f>F444+100</f>
        <v>2160.52</v>
      </c>
      <c r="K444" s="338">
        <f t="shared" si="1103"/>
        <v>2160.52</v>
      </c>
      <c r="L444" s="677">
        <f>F444+70</f>
        <v>2130.52</v>
      </c>
      <c r="M444" s="338">
        <f t="shared" si="1104"/>
        <v>2130.52</v>
      </c>
      <c r="N444" s="677">
        <f>F444+52</f>
        <v>2112.52</v>
      </c>
      <c r="O444" s="338">
        <f>+N444*$X$1</f>
        <v>2112.52</v>
      </c>
      <c r="P444" s="677">
        <f>F444+46</f>
        <v>2106.52</v>
      </c>
      <c r="Q444" s="338">
        <f t="shared" si="1092"/>
        <v>2106.52</v>
      </c>
      <c r="R444" s="677">
        <f>F444+41</f>
        <v>2101.52</v>
      </c>
      <c r="S444" s="338">
        <f>+R444*$X$1</f>
        <v>2101.52</v>
      </c>
      <c r="T444" s="677">
        <f>F444+36</f>
        <v>2096.52</v>
      </c>
      <c r="U444" s="338">
        <f>+T444*$X$1</f>
        <v>2096.52</v>
      </c>
      <c r="V444" s="677">
        <f>F444+32</f>
        <v>2092.52</v>
      </c>
      <c r="W444" s="338">
        <f>+V444*$X$1</f>
        <v>2092.52</v>
      </c>
      <c r="X444" s="724"/>
      <c r="Y444" s="724"/>
      <c r="Z444" s="724"/>
      <c r="AA444" s="695"/>
      <c r="AB444" s="208" t="s">
        <v>499</v>
      </c>
    </row>
    <row r="445" spans="1:33" ht="12.6" customHeight="1" x14ac:dyDescent="0.2">
      <c r="A445" s="20"/>
      <c r="B445" s="678" t="s">
        <v>920</v>
      </c>
      <c r="C445" s="679"/>
      <c r="D445" s="679"/>
      <c r="E445" s="680"/>
      <c r="F445" s="472">
        <v>3190</v>
      </c>
      <c r="G445" s="337">
        <f t="shared" ref="G445" si="1105">+F445*$X$1</f>
        <v>3190</v>
      </c>
      <c r="H445" s="375">
        <f>F445+250</f>
        <v>3440</v>
      </c>
      <c r="I445" s="337">
        <f t="shared" ref="I445" si="1106">+H445*$X$1</f>
        <v>3440</v>
      </c>
      <c r="J445" s="375">
        <f>F445+100</f>
        <v>3290</v>
      </c>
      <c r="K445" s="337">
        <f t="shared" ref="K445" si="1107">+J445*$X$1</f>
        <v>3290</v>
      </c>
      <c r="L445" s="375">
        <f>F445+70</f>
        <v>3260</v>
      </c>
      <c r="M445" s="337">
        <f t="shared" ref="M445" si="1108">+L445*$X$1</f>
        <v>3260</v>
      </c>
      <c r="N445" s="375">
        <f>F445+52</f>
        <v>3242</v>
      </c>
      <c r="O445" s="337">
        <f>+N445*$X$1</f>
        <v>3242</v>
      </c>
      <c r="P445" s="375">
        <f>F445+46</f>
        <v>3236</v>
      </c>
      <c r="Q445" s="337">
        <f t="shared" ref="Q445" si="1109">+P445*$X$1</f>
        <v>3236</v>
      </c>
      <c r="R445" s="375">
        <f>F445+41</f>
        <v>3231</v>
      </c>
      <c r="S445" s="337">
        <f>+R445*$X$1</f>
        <v>3231</v>
      </c>
      <c r="T445" s="375">
        <f>F445+36</f>
        <v>3226</v>
      </c>
      <c r="U445" s="337">
        <f>+T445*$X$1</f>
        <v>3226</v>
      </c>
      <c r="V445" s="375">
        <f>F445+32</f>
        <v>3222</v>
      </c>
      <c r="W445" s="337">
        <f>+V445*$X$1</f>
        <v>3222</v>
      </c>
      <c r="X445" s="724"/>
      <c r="Y445" s="724"/>
      <c r="Z445" s="724"/>
      <c r="AA445" s="695"/>
      <c r="AB445" s="208" t="s">
        <v>919</v>
      </c>
    </row>
    <row r="446" spans="1:33" ht="12.6" customHeight="1" x14ac:dyDescent="0.2">
      <c r="A446" s="20"/>
      <c r="B446" s="795" t="s">
        <v>447</v>
      </c>
      <c r="C446" s="796"/>
      <c r="D446" s="796"/>
      <c r="E446" s="797"/>
      <c r="F446" s="473">
        <f>1.99*X2</f>
        <v>1838.76</v>
      </c>
      <c r="G446" s="338">
        <f t="shared" ref="G446:G447" si="1110">+F446*$X$1</f>
        <v>1838.76</v>
      </c>
      <c r="H446" s="677">
        <f>F446+250</f>
        <v>2088.7600000000002</v>
      </c>
      <c r="I446" s="338">
        <f t="shared" si="1102"/>
        <v>2088.7600000000002</v>
      </c>
      <c r="J446" s="677">
        <f>F446+100</f>
        <v>1938.76</v>
      </c>
      <c r="K446" s="338">
        <f t="shared" si="1103"/>
        <v>1938.76</v>
      </c>
      <c r="L446" s="677">
        <f>F446+70</f>
        <v>1908.76</v>
      </c>
      <c r="M446" s="338">
        <f t="shared" si="1104"/>
        <v>1908.76</v>
      </c>
      <c r="N446" s="677">
        <f>F446+52</f>
        <v>1890.76</v>
      </c>
      <c r="O446" s="338">
        <f>+N446*$X$1</f>
        <v>1890.76</v>
      </c>
      <c r="P446" s="677">
        <f>F446+46</f>
        <v>1884.76</v>
      </c>
      <c r="Q446" s="338">
        <f t="shared" si="1092"/>
        <v>1884.76</v>
      </c>
      <c r="R446" s="677">
        <f>F446+41</f>
        <v>1879.76</v>
      </c>
      <c r="S446" s="338">
        <f>+R446*$X$1</f>
        <v>1879.76</v>
      </c>
      <c r="T446" s="677">
        <f>F446+36</f>
        <v>1874.76</v>
      </c>
      <c r="U446" s="338">
        <f>+T446*$X$1</f>
        <v>1874.76</v>
      </c>
      <c r="V446" s="677">
        <f>F446+32</f>
        <v>1870.76</v>
      </c>
      <c r="W446" s="338">
        <f>+V446*$X$1</f>
        <v>1870.76</v>
      </c>
      <c r="X446" s="724"/>
      <c r="Y446" s="694"/>
      <c r="Z446" s="694"/>
      <c r="AA446" s="695"/>
      <c r="AB446" s="208" t="s">
        <v>500</v>
      </c>
    </row>
    <row r="447" spans="1:33" ht="12.6" customHeight="1" x14ac:dyDescent="0.2">
      <c r="A447" s="111"/>
      <c r="B447" s="715" t="s">
        <v>284</v>
      </c>
      <c r="C447" s="939"/>
      <c r="D447" s="939"/>
      <c r="E447" s="939"/>
      <c r="F447" s="403">
        <v>660</v>
      </c>
      <c r="G447" s="402">
        <f t="shared" si="1110"/>
        <v>660</v>
      </c>
      <c r="H447" s="674">
        <f>F447+250</f>
        <v>910</v>
      </c>
      <c r="I447" s="402">
        <f t="shared" si="1102"/>
        <v>910</v>
      </c>
      <c r="J447" s="674">
        <f>F447+100</f>
        <v>760</v>
      </c>
      <c r="K447" s="402">
        <f t="shared" si="1103"/>
        <v>760</v>
      </c>
      <c r="L447" s="674"/>
      <c r="M447" s="402"/>
      <c r="N447" s="674"/>
      <c r="O447" s="402"/>
      <c r="P447" s="674"/>
      <c r="Q447" s="402"/>
      <c r="R447" s="674"/>
      <c r="S447" s="402"/>
      <c r="T447" s="674"/>
      <c r="U447" s="402"/>
      <c r="V447" s="674"/>
      <c r="W447" s="402"/>
      <c r="X447" s="724"/>
      <c r="Y447" s="724"/>
      <c r="Z447" s="724"/>
      <c r="AA447" s="724"/>
      <c r="AB447" s="523" t="s">
        <v>285</v>
      </c>
    </row>
    <row r="448" spans="1:33" ht="12.6" customHeight="1" x14ac:dyDescent="0.2">
      <c r="A448" s="20"/>
      <c r="B448" s="1260" t="s">
        <v>286</v>
      </c>
      <c r="C448" s="1261"/>
      <c r="D448" s="1261"/>
      <c r="E448" s="1261"/>
      <c r="F448" s="1261"/>
      <c r="G448" s="1261"/>
      <c r="H448" s="1261"/>
      <c r="I448" s="1261"/>
      <c r="J448" s="1261"/>
      <c r="K448" s="1261"/>
      <c r="L448" s="1261"/>
      <c r="M448" s="1261"/>
      <c r="N448" s="1261"/>
      <c r="O448" s="1261"/>
      <c r="P448" s="1261"/>
      <c r="Q448" s="1261"/>
      <c r="R448" s="1261"/>
      <c r="S448" s="1261"/>
      <c r="T448" s="1261"/>
      <c r="U448" s="1261"/>
      <c r="V448" s="1261"/>
      <c r="W448" s="1262"/>
      <c r="X448" s="1265"/>
      <c r="Y448" s="1266"/>
      <c r="Z448" s="1266"/>
      <c r="AA448" s="1266"/>
      <c r="AB448" s="542"/>
    </row>
    <row r="449" spans="1:28" ht="12.6" customHeight="1" x14ac:dyDescent="0.2">
      <c r="A449" s="20"/>
      <c r="B449" s="791" t="s">
        <v>287</v>
      </c>
      <c r="C449" s="792"/>
      <c r="D449" s="792"/>
      <c r="E449" s="792"/>
      <c r="F449" s="380">
        <v>3150</v>
      </c>
      <c r="G449" s="338">
        <f t="shared" ref="G449:G455" si="1111">+F449*$X$1</f>
        <v>3150</v>
      </c>
      <c r="H449" s="327"/>
      <c r="I449" s="413"/>
      <c r="J449" s="469">
        <f>F449+66</f>
        <v>3216</v>
      </c>
      <c r="K449" s="338"/>
      <c r="L449" s="566">
        <f t="shared" ref="L449:L462" si="1112">F449+280</f>
        <v>3430</v>
      </c>
      <c r="M449" s="338">
        <f t="shared" ref="M449:M462" si="1113">+L449*$X$1</f>
        <v>3430</v>
      </c>
      <c r="N449" s="566">
        <f t="shared" ref="N449:N462" si="1114">F449+250</f>
        <v>3400</v>
      </c>
      <c r="O449" s="338">
        <f t="shared" ref="O449:O454" si="1115">+N449*$X$1</f>
        <v>3400</v>
      </c>
      <c r="P449" s="566">
        <f t="shared" ref="P449:P462" si="1116">F449+230</f>
        <v>3380</v>
      </c>
      <c r="Q449" s="338">
        <f t="shared" ref="Q449:Q454" si="1117">+P449*$X$1</f>
        <v>3380</v>
      </c>
      <c r="R449" s="566">
        <f t="shared" ref="R449:R462" si="1118">F449+210</f>
        <v>3360</v>
      </c>
      <c r="S449" s="338">
        <f t="shared" ref="S449:S454" si="1119">+R449*$X$1</f>
        <v>3360</v>
      </c>
      <c r="T449" s="566">
        <f t="shared" ref="T449:T462" si="1120">F449+190</f>
        <v>3340</v>
      </c>
      <c r="U449" s="338">
        <f t="shared" ref="U449:U454" si="1121">+T449*$X$1</f>
        <v>3340</v>
      </c>
      <c r="V449" s="93"/>
      <c r="W449" s="414"/>
      <c r="X449" s="159"/>
      <c r="Y449" s="141"/>
      <c r="Z449" s="141"/>
      <c r="AA449" s="141"/>
      <c r="AB449" s="208" t="s">
        <v>288</v>
      </c>
    </row>
    <row r="450" spans="1:28" ht="12.6" customHeight="1" x14ac:dyDescent="0.2">
      <c r="A450" s="20"/>
      <c r="B450" s="1245" t="s">
        <v>289</v>
      </c>
      <c r="C450" s="1246"/>
      <c r="D450" s="1246"/>
      <c r="E450" s="1246"/>
      <c r="F450" s="435">
        <v>4410</v>
      </c>
      <c r="G450" s="337">
        <f t="shared" si="1111"/>
        <v>4410</v>
      </c>
      <c r="H450" s="333"/>
      <c r="I450" s="417"/>
      <c r="J450" s="375">
        <f>F450+66</f>
        <v>4476</v>
      </c>
      <c r="K450" s="337"/>
      <c r="L450" s="375">
        <f t="shared" si="1112"/>
        <v>4690</v>
      </c>
      <c r="M450" s="337">
        <f t="shared" si="1113"/>
        <v>4690</v>
      </c>
      <c r="N450" s="375">
        <f t="shared" si="1114"/>
        <v>4660</v>
      </c>
      <c r="O450" s="337">
        <f t="shared" si="1115"/>
        <v>4660</v>
      </c>
      <c r="P450" s="375">
        <f t="shared" si="1116"/>
        <v>4640</v>
      </c>
      <c r="Q450" s="337">
        <f t="shared" si="1117"/>
        <v>4640</v>
      </c>
      <c r="R450" s="375">
        <f t="shared" si="1118"/>
        <v>4620</v>
      </c>
      <c r="S450" s="337">
        <f t="shared" si="1119"/>
        <v>4620</v>
      </c>
      <c r="T450" s="375">
        <f t="shared" si="1120"/>
        <v>4600</v>
      </c>
      <c r="U450" s="337">
        <f t="shared" si="1121"/>
        <v>4600</v>
      </c>
      <c r="V450" s="75"/>
      <c r="W450" s="415"/>
      <c r="X450" s="159"/>
      <c r="Y450" s="141"/>
      <c r="Z450" s="141"/>
      <c r="AA450" s="141"/>
      <c r="AB450" s="542"/>
    </row>
    <row r="451" spans="1:28" ht="12.6" customHeight="1" x14ac:dyDescent="0.2">
      <c r="A451" s="20"/>
      <c r="B451" s="701" t="s">
        <v>290</v>
      </c>
      <c r="C451" s="688"/>
      <c r="D451" s="688"/>
      <c r="E451" s="688"/>
      <c r="F451" s="338">
        <v>3420</v>
      </c>
      <c r="G451" s="338">
        <f t="shared" si="1111"/>
        <v>3420</v>
      </c>
      <c r="H451" s="327"/>
      <c r="I451" s="413"/>
      <c r="J451" s="469">
        <f>F451+80</f>
        <v>3500</v>
      </c>
      <c r="K451" s="338"/>
      <c r="L451" s="566">
        <f t="shared" si="1112"/>
        <v>3700</v>
      </c>
      <c r="M451" s="338">
        <f t="shared" si="1113"/>
        <v>3700</v>
      </c>
      <c r="N451" s="566">
        <f t="shared" si="1114"/>
        <v>3670</v>
      </c>
      <c r="O451" s="338">
        <f t="shared" si="1115"/>
        <v>3670</v>
      </c>
      <c r="P451" s="566">
        <f t="shared" si="1116"/>
        <v>3650</v>
      </c>
      <c r="Q451" s="338">
        <f t="shared" si="1117"/>
        <v>3650</v>
      </c>
      <c r="R451" s="566">
        <f t="shared" si="1118"/>
        <v>3630</v>
      </c>
      <c r="S451" s="338">
        <f t="shared" si="1119"/>
        <v>3630</v>
      </c>
      <c r="T451" s="566">
        <f t="shared" si="1120"/>
        <v>3610</v>
      </c>
      <c r="U451" s="338">
        <f t="shared" si="1121"/>
        <v>3610</v>
      </c>
      <c r="V451" s="93"/>
      <c r="W451" s="414"/>
      <c r="X451" s="159"/>
      <c r="Y451" s="141"/>
      <c r="Z451" s="141"/>
      <c r="AA451" s="141"/>
      <c r="AB451" s="208" t="s">
        <v>291</v>
      </c>
    </row>
    <row r="452" spans="1:28" ht="12.6" customHeight="1" x14ac:dyDescent="0.2">
      <c r="A452" s="20"/>
      <c r="B452" s="1245" t="s">
        <v>292</v>
      </c>
      <c r="C452" s="1246"/>
      <c r="D452" s="1246"/>
      <c r="E452" s="1246"/>
      <c r="F452" s="435">
        <v>4870</v>
      </c>
      <c r="G452" s="337">
        <f t="shared" si="1111"/>
        <v>4870</v>
      </c>
      <c r="H452" s="333"/>
      <c r="I452" s="417"/>
      <c r="J452" s="375">
        <f>F452+80</f>
        <v>4950</v>
      </c>
      <c r="K452" s="337"/>
      <c r="L452" s="375">
        <f t="shared" si="1112"/>
        <v>5150</v>
      </c>
      <c r="M452" s="337">
        <f t="shared" si="1113"/>
        <v>5150</v>
      </c>
      <c r="N452" s="375">
        <f t="shared" si="1114"/>
        <v>5120</v>
      </c>
      <c r="O452" s="337">
        <f t="shared" si="1115"/>
        <v>5120</v>
      </c>
      <c r="P452" s="375">
        <f t="shared" si="1116"/>
        <v>5100</v>
      </c>
      <c r="Q452" s="337">
        <f t="shared" si="1117"/>
        <v>5100</v>
      </c>
      <c r="R452" s="375">
        <f t="shared" si="1118"/>
        <v>5080</v>
      </c>
      <c r="S452" s="337">
        <f t="shared" si="1119"/>
        <v>5080</v>
      </c>
      <c r="T452" s="375">
        <f t="shared" si="1120"/>
        <v>5060</v>
      </c>
      <c r="U452" s="337">
        <f t="shared" si="1121"/>
        <v>5060</v>
      </c>
      <c r="V452" s="41"/>
      <c r="W452" s="416"/>
      <c r="X452" s="159"/>
      <c r="Y452" s="141"/>
      <c r="Z452" s="141"/>
      <c r="AA452" s="141"/>
      <c r="AB452" s="542"/>
    </row>
    <row r="453" spans="1:28" ht="12.6" customHeight="1" x14ac:dyDescent="0.2">
      <c r="A453" s="20"/>
      <c r="B453" s="701" t="s">
        <v>743</v>
      </c>
      <c r="C453" s="688"/>
      <c r="D453" s="688"/>
      <c r="E453" s="688"/>
      <c r="F453" s="338">
        <v>4622</v>
      </c>
      <c r="G453" s="338">
        <f t="shared" si="1111"/>
        <v>4622</v>
      </c>
      <c r="H453" s="327"/>
      <c r="I453" s="413"/>
      <c r="J453" s="469">
        <f>F453+66</f>
        <v>4688</v>
      </c>
      <c r="K453" s="338"/>
      <c r="L453" s="566">
        <f t="shared" si="1112"/>
        <v>4902</v>
      </c>
      <c r="M453" s="338">
        <f t="shared" si="1113"/>
        <v>4902</v>
      </c>
      <c r="N453" s="566">
        <f t="shared" si="1114"/>
        <v>4872</v>
      </c>
      <c r="O453" s="338">
        <f t="shared" si="1115"/>
        <v>4872</v>
      </c>
      <c r="P453" s="566">
        <f t="shared" si="1116"/>
        <v>4852</v>
      </c>
      <c r="Q453" s="338">
        <f t="shared" si="1117"/>
        <v>4852</v>
      </c>
      <c r="R453" s="566">
        <f t="shared" si="1118"/>
        <v>4832</v>
      </c>
      <c r="S453" s="338">
        <f t="shared" si="1119"/>
        <v>4832</v>
      </c>
      <c r="T453" s="566">
        <f t="shared" si="1120"/>
        <v>4812</v>
      </c>
      <c r="U453" s="338">
        <f t="shared" si="1121"/>
        <v>4812</v>
      </c>
      <c r="V453" s="93"/>
      <c r="W453" s="414"/>
      <c r="X453" s="159"/>
      <c r="Y453" s="141"/>
      <c r="Z453" s="141"/>
      <c r="AA453" s="141"/>
      <c r="AB453" s="208" t="s">
        <v>293</v>
      </c>
    </row>
    <row r="454" spans="1:28" ht="12.6" customHeight="1" x14ac:dyDescent="0.2">
      <c r="A454" s="20"/>
      <c r="B454" s="1247" t="s">
        <v>744</v>
      </c>
      <c r="C454" s="1248"/>
      <c r="D454" s="1248"/>
      <c r="E454" s="1248"/>
      <c r="F454" s="337">
        <v>5105</v>
      </c>
      <c r="G454" s="337">
        <f t="shared" si="1111"/>
        <v>5105</v>
      </c>
      <c r="H454" s="333"/>
      <c r="I454" s="417"/>
      <c r="J454" s="375">
        <f>F454+80</f>
        <v>5185</v>
      </c>
      <c r="K454" s="337"/>
      <c r="L454" s="375">
        <f t="shared" si="1112"/>
        <v>5385</v>
      </c>
      <c r="M454" s="337">
        <f t="shared" si="1113"/>
        <v>5385</v>
      </c>
      <c r="N454" s="375">
        <f t="shared" si="1114"/>
        <v>5355</v>
      </c>
      <c r="O454" s="337">
        <f t="shared" si="1115"/>
        <v>5355</v>
      </c>
      <c r="P454" s="375">
        <f t="shared" si="1116"/>
        <v>5335</v>
      </c>
      <c r="Q454" s="337">
        <f t="shared" si="1117"/>
        <v>5335</v>
      </c>
      <c r="R454" s="375">
        <f t="shared" si="1118"/>
        <v>5315</v>
      </c>
      <c r="S454" s="337">
        <f t="shared" si="1119"/>
        <v>5315</v>
      </c>
      <c r="T454" s="375">
        <f t="shared" si="1120"/>
        <v>5295</v>
      </c>
      <c r="U454" s="337">
        <f t="shared" si="1121"/>
        <v>5295</v>
      </c>
      <c r="V454" s="41"/>
      <c r="W454" s="416"/>
      <c r="X454" s="159"/>
      <c r="Y454" s="141"/>
      <c r="Z454" s="141"/>
      <c r="AA454" s="141"/>
      <c r="AB454" s="208" t="s">
        <v>294</v>
      </c>
    </row>
    <row r="455" spans="1:28" ht="12.6" customHeight="1" x14ac:dyDescent="0.25">
      <c r="A455" s="20"/>
      <c r="B455" s="701" t="s">
        <v>377</v>
      </c>
      <c r="C455" s="688"/>
      <c r="D455" s="688"/>
      <c r="E455" s="688"/>
      <c r="F455" s="338">
        <v>6815</v>
      </c>
      <c r="G455" s="338">
        <f t="shared" si="1111"/>
        <v>6815</v>
      </c>
      <c r="H455" s="566">
        <f t="shared" ref="H455:H462" si="1122">F455+400</f>
        <v>7215</v>
      </c>
      <c r="I455" s="338">
        <f t="shared" ref="I455:I462" si="1123">+H455*$X$1</f>
        <v>7215</v>
      </c>
      <c r="J455" s="566">
        <f t="shared" ref="J455:J462" si="1124">F455+320</f>
        <v>7135</v>
      </c>
      <c r="K455" s="338">
        <f t="shared" ref="K455:K462" si="1125">+J455*$X$1</f>
        <v>7135</v>
      </c>
      <c r="L455" s="566">
        <f t="shared" si="1112"/>
        <v>7095</v>
      </c>
      <c r="M455" s="338">
        <f t="shared" si="1113"/>
        <v>7095</v>
      </c>
      <c r="N455" s="566">
        <f t="shared" si="1114"/>
        <v>7065</v>
      </c>
      <c r="O455" s="338">
        <f t="shared" ref="O455:O462" si="1126">+N455*$X$1</f>
        <v>7065</v>
      </c>
      <c r="P455" s="566">
        <f t="shared" si="1116"/>
        <v>7045</v>
      </c>
      <c r="Q455" s="338">
        <f t="shared" ref="Q455:Q462" si="1127">+P455*$X$1</f>
        <v>7045</v>
      </c>
      <c r="R455" s="566">
        <f t="shared" si="1118"/>
        <v>7025</v>
      </c>
      <c r="S455" s="338">
        <f t="shared" ref="S455:S462" si="1128">+R455*$X$1</f>
        <v>7025</v>
      </c>
      <c r="T455" s="566">
        <f t="shared" si="1120"/>
        <v>7005</v>
      </c>
      <c r="U455" s="338">
        <f t="shared" ref="U455:U462" si="1129">+T455*$X$1</f>
        <v>7005</v>
      </c>
      <c r="V455" s="566">
        <f t="shared" ref="V455:V462" si="1130">F455+175</f>
        <v>6990</v>
      </c>
      <c r="W455" s="338">
        <f t="shared" ref="W455:W462" si="1131">+V455*$X$1</f>
        <v>6990</v>
      </c>
      <c r="X455" s="803"/>
      <c r="Y455" s="1155"/>
      <c r="Z455" s="1155"/>
      <c r="AA455" s="1155"/>
      <c r="AB455" s="208" t="s">
        <v>295</v>
      </c>
    </row>
    <row r="456" spans="1:28" ht="12.6" customHeight="1" x14ac:dyDescent="0.25">
      <c r="A456" s="20"/>
      <c r="B456" s="1251" t="s">
        <v>587</v>
      </c>
      <c r="C456" s="706"/>
      <c r="D456" s="706"/>
      <c r="E456" s="707"/>
      <c r="F456" s="337">
        <v>3040</v>
      </c>
      <c r="G456" s="337">
        <f t="shared" ref="G456" si="1132">+F456*$X$1</f>
        <v>3040</v>
      </c>
      <c r="H456" s="375">
        <f t="shared" si="1122"/>
        <v>3440</v>
      </c>
      <c r="I456" s="337">
        <f t="shared" si="1123"/>
        <v>3440</v>
      </c>
      <c r="J456" s="375">
        <f t="shared" si="1124"/>
        <v>3360</v>
      </c>
      <c r="K456" s="337">
        <f t="shared" si="1125"/>
        <v>3360</v>
      </c>
      <c r="L456" s="375">
        <f t="shared" si="1112"/>
        <v>3320</v>
      </c>
      <c r="M456" s="337">
        <f t="shared" si="1113"/>
        <v>3320</v>
      </c>
      <c r="N456" s="375">
        <f t="shared" si="1114"/>
        <v>3290</v>
      </c>
      <c r="O456" s="337">
        <f t="shared" si="1126"/>
        <v>3290</v>
      </c>
      <c r="P456" s="375">
        <f t="shared" si="1116"/>
        <v>3270</v>
      </c>
      <c r="Q456" s="337">
        <f t="shared" si="1127"/>
        <v>3270</v>
      </c>
      <c r="R456" s="375">
        <f t="shared" si="1118"/>
        <v>3250</v>
      </c>
      <c r="S456" s="337">
        <f t="shared" si="1128"/>
        <v>3250</v>
      </c>
      <c r="T456" s="375">
        <f t="shared" si="1120"/>
        <v>3230</v>
      </c>
      <c r="U456" s="337">
        <f t="shared" si="1129"/>
        <v>3230</v>
      </c>
      <c r="V456" s="375">
        <f t="shared" si="1130"/>
        <v>3215</v>
      </c>
      <c r="W456" s="337">
        <f t="shared" si="1131"/>
        <v>3215</v>
      </c>
      <c r="X456" s="803"/>
      <c r="Y456" s="1155"/>
      <c r="Z456" s="1155"/>
      <c r="AA456" s="1155"/>
      <c r="AB456" s="208" t="s">
        <v>516</v>
      </c>
    </row>
    <row r="457" spans="1:28" ht="12.6" customHeight="1" x14ac:dyDescent="0.2">
      <c r="A457" s="20"/>
      <c r="B457" s="701" t="s">
        <v>444</v>
      </c>
      <c r="C457" s="688"/>
      <c r="D457" s="688"/>
      <c r="E457" s="688"/>
      <c r="F457" s="338">
        <v>4000</v>
      </c>
      <c r="G457" s="338">
        <f>+F457*$X$1</f>
        <v>4000</v>
      </c>
      <c r="H457" s="566">
        <f t="shared" si="1122"/>
        <v>4400</v>
      </c>
      <c r="I457" s="338">
        <f t="shared" si="1123"/>
        <v>4400</v>
      </c>
      <c r="J457" s="566">
        <f t="shared" si="1124"/>
        <v>4320</v>
      </c>
      <c r="K457" s="338">
        <f t="shared" si="1125"/>
        <v>4320</v>
      </c>
      <c r="L457" s="566">
        <f t="shared" si="1112"/>
        <v>4280</v>
      </c>
      <c r="M457" s="338">
        <f t="shared" si="1113"/>
        <v>4280</v>
      </c>
      <c r="N457" s="566">
        <f t="shared" si="1114"/>
        <v>4250</v>
      </c>
      <c r="O457" s="338">
        <f t="shared" si="1126"/>
        <v>4250</v>
      </c>
      <c r="P457" s="566">
        <f t="shared" si="1116"/>
        <v>4230</v>
      </c>
      <c r="Q457" s="338">
        <f t="shared" si="1127"/>
        <v>4230</v>
      </c>
      <c r="R457" s="566">
        <f t="shared" si="1118"/>
        <v>4210</v>
      </c>
      <c r="S457" s="338">
        <f t="shared" si="1128"/>
        <v>4210</v>
      </c>
      <c r="T457" s="566">
        <f t="shared" si="1120"/>
        <v>4190</v>
      </c>
      <c r="U457" s="338">
        <f t="shared" si="1129"/>
        <v>4190</v>
      </c>
      <c r="V457" s="566">
        <f t="shared" si="1130"/>
        <v>4175</v>
      </c>
      <c r="W457" s="338">
        <f t="shared" si="1131"/>
        <v>4175</v>
      </c>
      <c r="X457" s="728"/>
      <c r="Y457" s="729"/>
      <c r="Z457" s="729"/>
      <c r="AA457" s="730"/>
      <c r="AB457" s="208" t="s">
        <v>296</v>
      </c>
    </row>
    <row r="458" spans="1:28" ht="12.6" customHeight="1" x14ac:dyDescent="0.25">
      <c r="A458" s="20"/>
      <c r="B458" s="793" t="s">
        <v>443</v>
      </c>
      <c r="C458" s="950"/>
      <c r="D458" s="950"/>
      <c r="E458" s="950"/>
      <c r="F458" s="337">
        <v>4000</v>
      </c>
      <c r="G458" s="337">
        <f t="shared" ref="G458" si="1133">+F458*$X$1</f>
        <v>4000</v>
      </c>
      <c r="H458" s="375">
        <f t="shared" si="1122"/>
        <v>4400</v>
      </c>
      <c r="I458" s="337">
        <f t="shared" si="1123"/>
        <v>4400</v>
      </c>
      <c r="J458" s="375">
        <f t="shared" si="1124"/>
        <v>4320</v>
      </c>
      <c r="K458" s="337">
        <f t="shared" si="1125"/>
        <v>4320</v>
      </c>
      <c r="L458" s="375">
        <f t="shared" si="1112"/>
        <v>4280</v>
      </c>
      <c r="M458" s="337">
        <f t="shared" si="1113"/>
        <v>4280</v>
      </c>
      <c r="N458" s="375">
        <f t="shared" si="1114"/>
        <v>4250</v>
      </c>
      <c r="O458" s="337">
        <f t="shared" si="1126"/>
        <v>4250</v>
      </c>
      <c r="P458" s="375">
        <f t="shared" si="1116"/>
        <v>4230</v>
      </c>
      <c r="Q458" s="337">
        <f t="shared" si="1127"/>
        <v>4230</v>
      </c>
      <c r="R458" s="375">
        <f t="shared" si="1118"/>
        <v>4210</v>
      </c>
      <c r="S458" s="337">
        <f t="shared" si="1128"/>
        <v>4210</v>
      </c>
      <c r="T458" s="375">
        <f t="shared" si="1120"/>
        <v>4190</v>
      </c>
      <c r="U458" s="337">
        <f t="shared" si="1129"/>
        <v>4190</v>
      </c>
      <c r="V458" s="375">
        <f t="shared" si="1130"/>
        <v>4175</v>
      </c>
      <c r="W458" s="337">
        <f t="shared" si="1131"/>
        <v>4175</v>
      </c>
      <c r="X458" s="803"/>
      <c r="Y458" s="1155"/>
      <c r="Z458" s="1155"/>
      <c r="AA458" s="1155"/>
      <c r="AB458" s="208" t="s">
        <v>297</v>
      </c>
    </row>
    <row r="459" spans="1:28" ht="12.6" customHeight="1" x14ac:dyDescent="0.25">
      <c r="A459" s="20"/>
      <c r="B459" s="903" t="s">
        <v>627</v>
      </c>
      <c r="C459" s="796"/>
      <c r="D459" s="796"/>
      <c r="E459" s="797"/>
      <c r="F459" s="340">
        <v>3040</v>
      </c>
      <c r="G459" s="338">
        <f>+F459*$X$1</f>
        <v>3040</v>
      </c>
      <c r="H459" s="566">
        <f t="shared" si="1122"/>
        <v>3440</v>
      </c>
      <c r="I459" s="338">
        <f t="shared" si="1123"/>
        <v>3440</v>
      </c>
      <c r="J459" s="566">
        <f t="shared" si="1124"/>
        <v>3360</v>
      </c>
      <c r="K459" s="338">
        <f t="shared" si="1125"/>
        <v>3360</v>
      </c>
      <c r="L459" s="566">
        <f t="shared" si="1112"/>
        <v>3320</v>
      </c>
      <c r="M459" s="338">
        <f t="shared" si="1113"/>
        <v>3320</v>
      </c>
      <c r="N459" s="566">
        <f t="shared" si="1114"/>
        <v>3290</v>
      </c>
      <c r="O459" s="338">
        <f t="shared" si="1126"/>
        <v>3290</v>
      </c>
      <c r="P459" s="566">
        <f t="shared" si="1116"/>
        <v>3270</v>
      </c>
      <c r="Q459" s="338">
        <f t="shared" si="1127"/>
        <v>3270</v>
      </c>
      <c r="R459" s="566">
        <f t="shared" si="1118"/>
        <v>3250</v>
      </c>
      <c r="S459" s="338">
        <f t="shared" si="1128"/>
        <v>3250</v>
      </c>
      <c r="T459" s="566">
        <f t="shared" si="1120"/>
        <v>3230</v>
      </c>
      <c r="U459" s="338">
        <f t="shared" si="1129"/>
        <v>3230</v>
      </c>
      <c r="V459" s="566">
        <f t="shared" si="1130"/>
        <v>3215</v>
      </c>
      <c r="W459" s="338">
        <f t="shared" si="1131"/>
        <v>3215</v>
      </c>
      <c r="X459" s="803"/>
      <c r="Y459" s="1155"/>
      <c r="Z459" s="1155"/>
      <c r="AA459" s="1155"/>
      <c r="AB459" s="31"/>
    </row>
    <row r="460" spans="1:28" ht="12.6" customHeight="1" x14ac:dyDescent="0.25">
      <c r="A460" s="20"/>
      <c r="B460" s="708" t="s">
        <v>376</v>
      </c>
      <c r="C460" s="709"/>
      <c r="D460" s="709"/>
      <c r="E460" s="709"/>
      <c r="F460" s="337"/>
      <c r="G460" s="337"/>
      <c r="H460" s="375"/>
      <c r="I460" s="337"/>
      <c r="J460" s="375"/>
      <c r="K460" s="337"/>
      <c r="L460" s="375"/>
      <c r="M460" s="337"/>
      <c r="N460" s="375"/>
      <c r="O460" s="337"/>
      <c r="P460" s="375"/>
      <c r="Q460" s="337"/>
      <c r="R460" s="375"/>
      <c r="S460" s="337"/>
      <c r="T460" s="375"/>
      <c r="U460" s="337"/>
      <c r="V460" s="375"/>
      <c r="W460" s="337"/>
      <c r="X460" s="803"/>
      <c r="Y460" s="1155"/>
      <c r="Z460" s="1155"/>
      <c r="AA460" s="1155"/>
      <c r="AB460" s="208" t="s">
        <v>298</v>
      </c>
    </row>
    <row r="461" spans="1:28" ht="12.6" customHeight="1" x14ac:dyDescent="0.2">
      <c r="A461" s="20"/>
      <c r="B461" s="701" t="s">
        <v>896</v>
      </c>
      <c r="C461" s="1249"/>
      <c r="D461" s="1249"/>
      <c r="E461" s="1249"/>
      <c r="F461" s="338">
        <v>12780</v>
      </c>
      <c r="G461" s="338">
        <f>+F461*$X$1</f>
        <v>12780</v>
      </c>
      <c r="H461" s="566">
        <f t="shared" si="1122"/>
        <v>13180</v>
      </c>
      <c r="I461" s="338">
        <f t="shared" si="1123"/>
        <v>13180</v>
      </c>
      <c r="J461" s="566">
        <f t="shared" si="1124"/>
        <v>13100</v>
      </c>
      <c r="K461" s="338">
        <f t="shared" si="1125"/>
        <v>13100</v>
      </c>
      <c r="L461" s="566">
        <f t="shared" si="1112"/>
        <v>13060</v>
      </c>
      <c r="M461" s="338">
        <f t="shared" si="1113"/>
        <v>13060</v>
      </c>
      <c r="N461" s="566">
        <f t="shared" si="1114"/>
        <v>13030</v>
      </c>
      <c r="O461" s="338">
        <f t="shared" si="1126"/>
        <v>13030</v>
      </c>
      <c r="P461" s="566">
        <f t="shared" si="1116"/>
        <v>13010</v>
      </c>
      <c r="Q461" s="338">
        <f t="shared" si="1127"/>
        <v>13010</v>
      </c>
      <c r="R461" s="566">
        <f t="shared" si="1118"/>
        <v>12990</v>
      </c>
      <c r="S461" s="338">
        <f t="shared" si="1128"/>
        <v>12990</v>
      </c>
      <c r="T461" s="566">
        <f t="shared" si="1120"/>
        <v>12970</v>
      </c>
      <c r="U461" s="338">
        <f t="shared" si="1129"/>
        <v>12970</v>
      </c>
      <c r="V461" s="566">
        <f t="shared" si="1130"/>
        <v>12955</v>
      </c>
      <c r="W461" s="338">
        <f t="shared" si="1131"/>
        <v>12955</v>
      </c>
      <c r="X461" s="160"/>
      <c r="Y461" s="145"/>
      <c r="Z461" s="145"/>
      <c r="AA461" s="148"/>
      <c r="AB461" s="208" t="s">
        <v>299</v>
      </c>
    </row>
    <row r="462" spans="1:28" ht="12.6" customHeight="1" x14ac:dyDescent="0.2">
      <c r="A462" s="20"/>
      <c r="B462" s="708" t="s">
        <v>897</v>
      </c>
      <c r="C462" s="1250"/>
      <c r="D462" s="1250"/>
      <c r="E462" s="1250"/>
      <c r="F462" s="337">
        <v>14300</v>
      </c>
      <c r="G462" s="337">
        <f t="shared" ref="G462" si="1134">+F462*$X$1</f>
        <v>14300</v>
      </c>
      <c r="H462" s="375">
        <f t="shared" si="1122"/>
        <v>14700</v>
      </c>
      <c r="I462" s="337">
        <f t="shared" si="1123"/>
        <v>14700</v>
      </c>
      <c r="J462" s="375">
        <f t="shared" si="1124"/>
        <v>14620</v>
      </c>
      <c r="K462" s="337">
        <f t="shared" si="1125"/>
        <v>14620</v>
      </c>
      <c r="L462" s="375">
        <f t="shared" si="1112"/>
        <v>14580</v>
      </c>
      <c r="M462" s="337">
        <f t="shared" si="1113"/>
        <v>14580</v>
      </c>
      <c r="N462" s="375">
        <f t="shared" si="1114"/>
        <v>14550</v>
      </c>
      <c r="O462" s="337">
        <f t="shared" si="1126"/>
        <v>14550</v>
      </c>
      <c r="P462" s="375">
        <f t="shared" si="1116"/>
        <v>14530</v>
      </c>
      <c r="Q462" s="337">
        <f t="shared" si="1127"/>
        <v>14530</v>
      </c>
      <c r="R462" s="375">
        <f t="shared" si="1118"/>
        <v>14510</v>
      </c>
      <c r="S462" s="337">
        <f t="shared" si="1128"/>
        <v>14510</v>
      </c>
      <c r="T462" s="375">
        <f t="shared" si="1120"/>
        <v>14490</v>
      </c>
      <c r="U462" s="337">
        <f t="shared" si="1129"/>
        <v>14490</v>
      </c>
      <c r="V462" s="375">
        <f t="shared" si="1130"/>
        <v>14475</v>
      </c>
      <c r="W462" s="337">
        <f t="shared" si="1131"/>
        <v>14475</v>
      </c>
      <c r="X462" s="160"/>
      <c r="Y462" s="145"/>
      <c r="Z462" s="145"/>
      <c r="AA462" s="148"/>
      <c r="AB462" s="208" t="s">
        <v>300</v>
      </c>
    </row>
    <row r="463" spans="1:28" ht="12.6" customHeight="1" x14ac:dyDescent="0.2">
      <c r="A463" s="20"/>
      <c r="B463" s="791" t="s">
        <v>423</v>
      </c>
      <c r="C463" s="792"/>
      <c r="D463" s="792"/>
      <c r="E463" s="792"/>
      <c r="F463" s="380"/>
      <c r="G463" s="380"/>
      <c r="H463" s="355"/>
      <c r="I463" s="459"/>
      <c r="J463" s="469"/>
      <c r="K463" s="338"/>
      <c r="L463" s="469"/>
      <c r="M463" s="338"/>
      <c r="N463" s="469"/>
      <c r="O463" s="338"/>
      <c r="P463" s="469"/>
      <c r="Q463" s="338"/>
      <c r="R463" s="469"/>
      <c r="S463" s="338"/>
      <c r="T463" s="469"/>
      <c r="U463" s="338"/>
      <c r="V463" s="107"/>
      <c r="W463" s="380"/>
      <c r="X463" s="160"/>
      <c r="Y463" s="145"/>
      <c r="Z463" s="145"/>
      <c r="AA463" s="148"/>
      <c r="AB463" s="208" t="s">
        <v>301</v>
      </c>
    </row>
    <row r="464" spans="1:28" ht="12.6" customHeight="1" x14ac:dyDescent="0.2">
      <c r="A464" s="20"/>
      <c r="B464" s="708" t="s">
        <v>302</v>
      </c>
      <c r="C464" s="709"/>
      <c r="D464" s="709"/>
      <c r="E464" s="709"/>
      <c r="F464" s="337">
        <v>6940</v>
      </c>
      <c r="G464" s="337">
        <f>+F464*$X$1</f>
        <v>6940</v>
      </c>
      <c r="H464" s="375">
        <f>F464+400</f>
        <v>7340</v>
      </c>
      <c r="I464" s="337">
        <f t="shared" ref="I464:I465" si="1135">+H464*$X$1</f>
        <v>7340</v>
      </c>
      <c r="J464" s="375">
        <f>F464+320</f>
        <v>7260</v>
      </c>
      <c r="K464" s="337">
        <f>+J464*$X$1</f>
        <v>7260</v>
      </c>
      <c r="L464" s="375">
        <f>F464+280</f>
        <v>7220</v>
      </c>
      <c r="M464" s="337">
        <f>+L464*$X$1</f>
        <v>7220</v>
      </c>
      <c r="N464" s="375">
        <f>F464+250</f>
        <v>7190</v>
      </c>
      <c r="O464" s="337">
        <f t="shared" ref="O464:O465" si="1136">+N464*$X$1</f>
        <v>7190</v>
      </c>
      <c r="P464" s="375">
        <f>F464+230</f>
        <v>7170</v>
      </c>
      <c r="Q464" s="337">
        <f t="shared" ref="Q464:Q465" si="1137">+P464*$X$1</f>
        <v>7170</v>
      </c>
      <c r="R464" s="375">
        <f>F464+210</f>
        <v>7150</v>
      </c>
      <c r="S464" s="337">
        <f t="shared" ref="S464:S465" si="1138">+R464*$X$1</f>
        <v>7150</v>
      </c>
      <c r="T464" s="375">
        <f>F464+190</f>
        <v>7130</v>
      </c>
      <c r="U464" s="337">
        <f t="shared" ref="U464:U465" si="1139">+T464*$X$1</f>
        <v>7130</v>
      </c>
      <c r="V464" s="375">
        <f>F464+175</f>
        <v>7115</v>
      </c>
      <c r="W464" s="337">
        <f t="shared" ref="W464:W465" si="1140">+V464*$X$1</f>
        <v>7115</v>
      </c>
      <c r="X464" s="160"/>
      <c r="Y464" s="145"/>
      <c r="Z464" s="145"/>
      <c r="AA464" s="148"/>
      <c r="AB464" s="208" t="s">
        <v>303</v>
      </c>
    </row>
    <row r="465" spans="1:34" ht="12.6" customHeight="1" x14ac:dyDescent="0.2">
      <c r="A465" s="20"/>
      <c r="B465" s="701" t="s">
        <v>304</v>
      </c>
      <c r="C465" s="688"/>
      <c r="D465" s="688"/>
      <c r="E465" s="688"/>
      <c r="F465" s="338">
        <v>7720</v>
      </c>
      <c r="G465" s="338">
        <f>+F465*$X$1</f>
        <v>7720</v>
      </c>
      <c r="H465" s="566">
        <f>F465+400</f>
        <v>8120</v>
      </c>
      <c r="I465" s="338">
        <f t="shared" si="1135"/>
        <v>8120</v>
      </c>
      <c r="J465" s="566">
        <f>F465+320</f>
        <v>8040</v>
      </c>
      <c r="K465" s="338">
        <f>+J465*$X$1</f>
        <v>8040</v>
      </c>
      <c r="L465" s="566">
        <f>F465+280</f>
        <v>8000</v>
      </c>
      <c r="M465" s="338">
        <f>+L465*$X$1</f>
        <v>8000</v>
      </c>
      <c r="N465" s="566">
        <f>F465+250</f>
        <v>7970</v>
      </c>
      <c r="O465" s="338">
        <f t="shared" si="1136"/>
        <v>7970</v>
      </c>
      <c r="P465" s="566">
        <f>F465+230</f>
        <v>7950</v>
      </c>
      <c r="Q465" s="338">
        <f t="shared" si="1137"/>
        <v>7950</v>
      </c>
      <c r="R465" s="566">
        <f>F465+210</f>
        <v>7930</v>
      </c>
      <c r="S465" s="338">
        <f t="shared" si="1138"/>
        <v>7930</v>
      </c>
      <c r="T465" s="566">
        <f>F465+190</f>
        <v>7910</v>
      </c>
      <c r="U465" s="338">
        <f t="shared" si="1139"/>
        <v>7910</v>
      </c>
      <c r="V465" s="566">
        <f>F465+175</f>
        <v>7895</v>
      </c>
      <c r="W465" s="338">
        <f t="shared" si="1140"/>
        <v>7895</v>
      </c>
      <c r="X465" s="160"/>
      <c r="Y465" s="145"/>
      <c r="Z465" s="145"/>
      <c r="AA465" s="148"/>
      <c r="AB465" s="208" t="s">
        <v>305</v>
      </c>
    </row>
    <row r="466" spans="1:34" ht="12.6" customHeight="1" x14ac:dyDescent="0.2">
      <c r="A466" s="20"/>
      <c r="B466" s="708" t="s">
        <v>662</v>
      </c>
      <c r="C466" s="709"/>
      <c r="D466" s="709"/>
      <c r="E466" s="709"/>
      <c r="F466" s="472"/>
      <c r="G466" s="337"/>
      <c r="H466" s="375"/>
      <c r="I466" s="337"/>
      <c r="J466" s="375"/>
      <c r="K466" s="337"/>
      <c r="L466" s="375"/>
      <c r="M466" s="337"/>
      <c r="N466" s="375"/>
      <c r="O466" s="337"/>
      <c r="P466" s="375"/>
      <c r="Q466" s="337"/>
      <c r="R466" s="375"/>
      <c r="S466" s="337"/>
      <c r="T466" s="375"/>
      <c r="U466" s="337"/>
      <c r="V466" s="375"/>
      <c r="W466" s="337"/>
      <c r="X466" s="728"/>
      <c r="Y466" s="729"/>
      <c r="Z466" s="729"/>
      <c r="AA466" s="730"/>
      <c r="AB466" s="208" t="s">
        <v>546</v>
      </c>
    </row>
    <row r="467" spans="1:34" ht="12.6" customHeight="1" x14ac:dyDescent="0.2">
      <c r="A467" s="20"/>
      <c r="B467" s="701" t="s">
        <v>658</v>
      </c>
      <c r="C467" s="688"/>
      <c r="D467" s="688"/>
      <c r="E467" s="688"/>
      <c r="F467" s="473">
        <v>3200</v>
      </c>
      <c r="G467" s="338">
        <f t="shared" ref="G467" si="1141">+F467*$X$1</f>
        <v>3200</v>
      </c>
      <c r="H467" s="579">
        <f>F467+200</f>
        <v>3400</v>
      </c>
      <c r="I467" s="338">
        <f t="shared" ref="I467:I468" si="1142">+H467*$X$1</f>
        <v>3400</v>
      </c>
      <c r="J467" s="579">
        <f>F467+150</f>
        <v>3350</v>
      </c>
      <c r="K467" s="338">
        <f t="shared" ref="K467" si="1143">+J467*$X$1</f>
        <v>3350</v>
      </c>
      <c r="L467" s="579">
        <f>F467+100</f>
        <v>3300</v>
      </c>
      <c r="M467" s="338">
        <f t="shared" ref="M467" si="1144">+L467*$X$1</f>
        <v>3300</v>
      </c>
      <c r="N467" s="579">
        <f>F467+75</f>
        <v>3275</v>
      </c>
      <c r="O467" s="338">
        <f>+N467*$X$1</f>
        <v>3275</v>
      </c>
      <c r="P467" s="579">
        <f>F467+70</f>
        <v>3270</v>
      </c>
      <c r="Q467" s="338">
        <f t="shared" ref="Q467:Q469" si="1145">+P467*$X$1</f>
        <v>3270</v>
      </c>
      <c r="R467" s="579">
        <f>F467+66</f>
        <v>3266</v>
      </c>
      <c r="S467" s="338">
        <f t="shared" ref="S467:S469" si="1146">+R467*$X$1</f>
        <v>3266</v>
      </c>
      <c r="T467" s="579">
        <f>F467+61</f>
        <v>3261</v>
      </c>
      <c r="U467" s="338">
        <f t="shared" ref="U467:U469" si="1147">+T467*$X$1</f>
        <v>3261</v>
      </c>
      <c r="V467" s="579">
        <f>F467+55</f>
        <v>3255</v>
      </c>
      <c r="W467" s="338">
        <f t="shared" ref="W467:W469" si="1148">+V467*$X$1</f>
        <v>3255</v>
      </c>
      <c r="X467" s="728"/>
      <c r="Y467" s="729"/>
      <c r="Z467" s="729"/>
      <c r="AA467" s="730"/>
      <c r="AB467" s="208" t="s">
        <v>306</v>
      </c>
    </row>
    <row r="468" spans="1:34" ht="12.6" customHeight="1" x14ac:dyDescent="0.2">
      <c r="A468" s="20"/>
      <c r="B468" s="708" t="s">
        <v>750</v>
      </c>
      <c r="C468" s="709"/>
      <c r="D468" s="709"/>
      <c r="E468" s="709"/>
      <c r="F468" s="472">
        <v>3200</v>
      </c>
      <c r="G468" s="337">
        <f t="shared" ref="G468" si="1149">+F468*$X$1</f>
        <v>3200</v>
      </c>
      <c r="H468" s="375">
        <f>F468+400</f>
        <v>3600</v>
      </c>
      <c r="I468" s="337">
        <f t="shared" si="1142"/>
        <v>3600</v>
      </c>
      <c r="J468" s="375">
        <f>F468+320</f>
        <v>3520</v>
      </c>
      <c r="K468" s="337">
        <f>+J468*$X$1</f>
        <v>3520</v>
      </c>
      <c r="L468" s="375">
        <f>F468+280</f>
        <v>3480</v>
      </c>
      <c r="M468" s="337">
        <f>+L468*$X$1</f>
        <v>3480</v>
      </c>
      <c r="N468" s="375">
        <f>F468+250</f>
        <v>3450</v>
      </c>
      <c r="O468" s="337">
        <f t="shared" ref="O468" si="1150">+N468*$X$1</f>
        <v>3450</v>
      </c>
      <c r="P468" s="375">
        <f>F468+230</f>
        <v>3430</v>
      </c>
      <c r="Q468" s="337">
        <f t="shared" ref="Q468" si="1151">+P468*$X$1</f>
        <v>3430</v>
      </c>
      <c r="R468" s="375">
        <f>F468+210</f>
        <v>3410</v>
      </c>
      <c r="S468" s="337">
        <f t="shared" ref="S468" si="1152">+R468*$X$1</f>
        <v>3410</v>
      </c>
      <c r="T468" s="375">
        <f>F468+190</f>
        <v>3390</v>
      </c>
      <c r="U468" s="337">
        <f t="shared" ref="U468" si="1153">+T468*$X$1</f>
        <v>3390</v>
      </c>
      <c r="V468" s="375">
        <f>F468+175</f>
        <v>3375</v>
      </c>
      <c r="W468" s="337">
        <f t="shared" ref="W468" si="1154">+V468*$X$1</f>
        <v>3375</v>
      </c>
      <c r="X468" s="728"/>
      <c r="Y468" s="729"/>
      <c r="Z468" s="729"/>
      <c r="AA468" s="730"/>
      <c r="AB468" s="208" t="s">
        <v>751</v>
      </c>
    </row>
    <row r="469" spans="1:34" ht="12.6" customHeight="1" x14ac:dyDescent="0.2">
      <c r="A469" s="20"/>
      <c r="B469" s="701" t="s">
        <v>458</v>
      </c>
      <c r="C469" s="1244"/>
      <c r="D469" s="1244"/>
      <c r="E469" s="1244"/>
      <c r="F469" s="473">
        <f>3.116*X2</f>
        <v>2879.1840000000002</v>
      </c>
      <c r="G469" s="338">
        <f t="shared" ref="G469" si="1155">+F469*$X$1</f>
        <v>2879.1840000000002</v>
      </c>
      <c r="H469" s="579">
        <f>F469+400</f>
        <v>3279.1840000000002</v>
      </c>
      <c r="I469" s="338">
        <f t="shared" ref="I469" si="1156">+H469*$X$1</f>
        <v>3279.1840000000002</v>
      </c>
      <c r="J469" s="579">
        <f>F469+320</f>
        <v>3199.1840000000002</v>
      </c>
      <c r="K469" s="338">
        <f>+J469*$X$1</f>
        <v>3199.1840000000002</v>
      </c>
      <c r="L469" s="579">
        <f>F469+280</f>
        <v>3159.1840000000002</v>
      </c>
      <c r="M469" s="338">
        <f>+L469*$X$1</f>
        <v>3159.1840000000002</v>
      </c>
      <c r="N469" s="579">
        <f>F469+250</f>
        <v>3129.1840000000002</v>
      </c>
      <c r="O469" s="338">
        <f t="shared" ref="O469" si="1157">+N469*$X$1</f>
        <v>3129.1840000000002</v>
      </c>
      <c r="P469" s="579">
        <f>F469+230</f>
        <v>3109.1840000000002</v>
      </c>
      <c r="Q469" s="338">
        <f t="shared" si="1145"/>
        <v>3109.1840000000002</v>
      </c>
      <c r="R469" s="579">
        <f>F469+210</f>
        <v>3089.1840000000002</v>
      </c>
      <c r="S469" s="338">
        <f t="shared" si="1146"/>
        <v>3089.1840000000002</v>
      </c>
      <c r="T469" s="579">
        <f>F469+190</f>
        <v>3069.1840000000002</v>
      </c>
      <c r="U469" s="338">
        <f t="shared" si="1147"/>
        <v>3069.1840000000002</v>
      </c>
      <c r="V469" s="579">
        <f>F469+175</f>
        <v>3054.1840000000002</v>
      </c>
      <c r="W469" s="338">
        <f t="shared" si="1148"/>
        <v>3054.1840000000002</v>
      </c>
      <c r="X469" s="728"/>
      <c r="Y469" s="729"/>
      <c r="Z469" s="729"/>
      <c r="AA469" s="730"/>
      <c r="AB469" s="208" t="s">
        <v>541</v>
      </c>
    </row>
    <row r="470" spans="1:34" ht="12.6" customHeight="1" x14ac:dyDescent="0.2">
      <c r="A470" s="20"/>
      <c r="B470" s="713" t="s">
        <v>813</v>
      </c>
      <c r="C470" s="727"/>
      <c r="D470" s="727"/>
      <c r="E470" s="727"/>
      <c r="F470" s="472">
        <f>7.761*X2</f>
        <v>7171.1639999999998</v>
      </c>
      <c r="G470" s="337">
        <f t="shared" ref="G470" si="1158">+F470*$X$1</f>
        <v>7171.1639999999998</v>
      </c>
      <c r="H470" s="375">
        <f>F470+400</f>
        <v>7571.1639999999998</v>
      </c>
      <c r="I470" s="337">
        <f t="shared" ref="I470" si="1159">+H470*$X$1</f>
        <v>7571.1639999999998</v>
      </c>
      <c r="J470" s="375">
        <f>F470+320</f>
        <v>7491.1639999999998</v>
      </c>
      <c r="K470" s="337">
        <f>+J470*$X$1</f>
        <v>7491.1639999999998</v>
      </c>
      <c r="L470" s="375">
        <f>F470+280</f>
        <v>7451.1639999999998</v>
      </c>
      <c r="M470" s="337">
        <f>+L470*$X$1</f>
        <v>7451.1639999999998</v>
      </c>
      <c r="N470" s="375">
        <f>F470+250</f>
        <v>7421.1639999999998</v>
      </c>
      <c r="O470" s="337">
        <f t="shared" ref="O470" si="1160">+N470*$X$1</f>
        <v>7421.1639999999998</v>
      </c>
      <c r="P470" s="375">
        <f>F470+230</f>
        <v>7401.1639999999998</v>
      </c>
      <c r="Q470" s="337">
        <f t="shared" ref="Q470" si="1161">+P470*$X$1</f>
        <v>7401.1639999999998</v>
      </c>
      <c r="R470" s="375">
        <f>F470+210</f>
        <v>7381.1639999999998</v>
      </c>
      <c r="S470" s="337">
        <f t="shared" ref="S470" si="1162">+R470*$X$1</f>
        <v>7381.1639999999998</v>
      </c>
      <c r="T470" s="375">
        <f>F470+190</f>
        <v>7361.1639999999998</v>
      </c>
      <c r="U470" s="337">
        <f t="shared" ref="U470" si="1163">+T470*$X$1</f>
        <v>7361.1639999999998</v>
      </c>
      <c r="V470" s="375">
        <f>F470+175</f>
        <v>7346.1639999999998</v>
      </c>
      <c r="W470" s="337">
        <f t="shared" ref="W470" si="1164">+V470*$X$1</f>
        <v>7346.1639999999998</v>
      </c>
      <c r="X470" s="728"/>
      <c r="Y470" s="729"/>
      <c r="Z470" s="729"/>
      <c r="AA470" s="730"/>
      <c r="AB470" s="208" t="s">
        <v>814</v>
      </c>
    </row>
    <row r="471" spans="1:34" ht="12.6" customHeight="1" x14ac:dyDescent="0.2">
      <c r="A471" s="111"/>
      <c r="B471" s="247"/>
      <c r="C471" s="66"/>
      <c r="D471" s="66"/>
      <c r="E471" s="66"/>
      <c r="F471" s="139"/>
      <c r="G471" s="127"/>
      <c r="H471" s="127"/>
      <c r="I471" s="127"/>
      <c r="J471" s="127"/>
      <c r="K471" s="127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249"/>
      <c r="Y471" s="250"/>
      <c r="Z471" s="250"/>
      <c r="AA471" s="249"/>
      <c r="AB471" s="43"/>
      <c r="AC471" s="69"/>
    </row>
    <row r="472" spans="1:34" ht="12.6" customHeight="1" x14ac:dyDescent="0.2">
      <c r="A472" s="111"/>
      <c r="B472" s="247"/>
      <c r="C472" s="66"/>
      <c r="D472" s="66"/>
      <c r="E472" s="66"/>
      <c r="F472" s="139"/>
      <c r="G472" s="127"/>
      <c r="H472" s="127"/>
      <c r="I472" s="127"/>
      <c r="J472" s="127"/>
      <c r="K472" s="127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249"/>
      <c r="Y472" s="250"/>
      <c r="Z472" s="250"/>
      <c r="AA472" s="249"/>
      <c r="AB472" s="43"/>
      <c r="AC472" s="69"/>
    </row>
    <row r="473" spans="1:34" ht="12.6" customHeight="1" x14ac:dyDescent="0.2">
      <c r="A473" s="111"/>
      <c r="B473" s="247"/>
      <c r="C473" s="66"/>
      <c r="D473" s="66"/>
      <c r="E473" s="66"/>
      <c r="F473" s="139"/>
      <c r="G473" s="127"/>
      <c r="H473" s="127"/>
      <c r="I473" s="127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249"/>
      <c r="Y473" s="250"/>
      <c r="Z473" s="250"/>
      <c r="AA473" s="249"/>
      <c r="AB473" s="43"/>
      <c r="AC473" s="69"/>
    </row>
    <row r="474" spans="1:34" ht="12.6" customHeight="1" x14ac:dyDescent="0.2">
      <c r="A474" s="111"/>
      <c r="B474" s="247"/>
      <c r="C474" s="66"/>
      <c r="D474" s="66"/>
      <c r="E474" s="66"/>
      <c r="F474" s="139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249"/>
      <c r="Y474" s="250"/>
      <c r="Z474" s="250"/>
      <c r="AA474" s="249"/>
      <c r="AB474" s="43"/>
      <c r="AC474" s="69"/>
    </row>
    <row r="475" spans="1:34" ht="12.6" customHeight="1" x14ac:dyDescent="0.2">
      <c r="A475" s="111"/>
      <c r="B475" s="247"/>
      <c r="C475" s="66"/>
      <c r="D475" s="66"/>
      <c r="E475" s="66"/>
      <c r="F475" s="139"/>
      <c r="G475" s="127"/>
      <c r="H475" s="127"/>
      <c r="I475" s="127"/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249"/>
      <c r="Y475" s="250"/>
      <c r="Z475" s="250"/>
      <c r="AA475" s="249"/>
      <c r="AB475" s="43"/>
      <c r="AC475" s="69"/>
    </row>
    <row r="476" spans="1:34" ht="12.6" customHeight="1" x14ac:dyDescent="0.2">
      <c r="A476" s="111"/>
      <c r="B476" s="247"/>
      <c r="C476" s="66"/>
      <c r="D476" s="66"/>
      <c r="E476" s="66"/>
      <c r="F476" s="139"/>
      <c r="G476" s="127"/>
      <c r="H476" s="127"/>
      <c r="I476" s="127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249"/>
      <c r="Y476" s="250"/>
      <c r="Z476" s="250"/>
      <c r="AA476" s="249"/>
      <c r="AB476" s="43"/>
      <c r="AC476" s="69"/>
    </row>
    <row r="477" spans="1:34" ht="12.6" customHeight="1" x14ac:dyDescent="0.2">
      <c r="A477" s="111"/>
      <c r="B477" s="247"/>
      <c r="C477" s="66"/>
      <c r="D477" s="66"/>
      <c r="E477" s="66"/>
      <c r="F477" s="139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249"/>
      <c r="Y477" s="250"/>
      <c r="Z477" s="250"/>
      <c r="AA477" s="249"/>
      <c r="AB477" s="43"/>
      <c r="AC477" s="69"/>
    </row>
    <row r="478" spans="1:34" ht="12.6" customHeight="1" thickBot="1" x14ac:dyDescent="0.25">
      <c r="A478" s="111"/>
      <c r="B478" s="247"/>
      <c r="C478" s="66"/>
      <c r="D478" s="66"/>
      <c r="E478" s="66"/>
      <c r="F478" s="139"/>
      <c r="G478" s="127"/>
      <c r="H478" s="127"/>
      <c r="I478" s="127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249"/>
      <c r="Y478" s="250"/>
      <c r="Z478" s="250"/>
      <c r="AA478" s="249"/>
      <c r="AB478" s="43"/>
      <c r="AC478" s="69"/>
    </row>
    <row r="479" spans="1:34" ht="14.25" customHeight="1" thickBot="1" x14ac:dyDescent="0.25">
      <c r="B479" s="1224" t="s">
        <v>576</v>
      </c>
      <c r="C479" s="1225"/>
      <c r="D479" s="1225"/>
      <c r="E479" s="1225"/>
      <c r="F479" s="1225"/>
      <c r="G479" s="1225"/>
      <c r="H479" s="1225"/>
      <c r="I479" s="1225"/>
      <c r="J479" s="1225"/>
      <c r="K479" s="1225"/>
      <c r="L479" s="1225"/>
      <c r="M479" s="1225"/>
      <c r="N479" s="1225"/>
      <c r="O479" s="1225"/>
      <c r="P479" s="1225"/>
      <c r="Q479" s="1225"/>
      <c r="R479" s="1225"/>
      <c r="S479" s="1225"/>
      <c r="T479" s="1225"/>
      <c r="U479" s="1225"/>
      <c r="V479" s="1225"/>
      <c r="W479" s="1226"/>
      <c r="AB479" s="4"/>
      <c r="AF479" s="741"/>
      <c r="AG479" s="742"/>
      <c r="AH479" s="742"/>
    </row>
    <row r="480" spans="1:34" ht="13.5" customHeight="1" x14ac:dyDescent="0.2">
      <c r="B480" s="1215" t="s">
        <v>11</v>
      </c>
      <c r="C480" s="951" t="s">
        <v>12</v>
      </c>
      <c r="D480" s="952"/>
      <c r="E480" s="952"/>
      <c r="F480" s="804" t="s">
        <v>307</v>
      </c>
      <c r="G480" s="804" t="s">
        <v>13</v>
      </c>
      <c r="H480" s="1235" t="s">
        <v>498</v>
      </c>
      <c r="I480" s="1235"/>
      <c r="J480" s="1236"/>
      <c r="K480" s="1236"/>
      <c r="L480" s="1236"/>
      <c r="M480" s="1236"/>
      <c r="N480" s="1236"/>
      <c r="O480" s="1236"/>
      <c r="P480" s="1236"/>
      <c r="Q480" s="1236"/>
      <c r="R480" s="1236"/>
      <c r="S480" s="1236"/>
      <c r="T480" s="1236"/>
      <c r="U480" s="1236"/>
      <c r="V480" s="1236"/>
      <c r="W480" s="1237"/>
      <c r="X480" s="745" t="s">
        <v>15</v>
      </c>
      <c r="Y480" s="746"/>
      <c r="Z480" s="746"/>
      <c r="AA480" s="746"/>
      <c r="AB480" s="743" t="s">
        <v>16</v>
      </c>
      <c r="AF480" s="741" t="s">
        <v>3</v>
      </c>
      <c r="AG480" s="742"/>
      <c r="AH480" s="742"/>
    </row>
    <row r="481" spans="1:28" ht="11.25" customHeight="1" thickBot="1" x14ac:dyDescent="0.25">
      <c r="B481" s="1216"/>
      <c r="C481" s="953"/>
      <c r="D481" s="953"/>
      <c r="E481" s="953"/>
      <c r="F481" s="805"/>
      <c r="G481" s="805"/>
      <c r="H481" s="290"/>
      <c r="I481" s="288" t="s">
        <v>653</v>
      </c>
      <c r="J481" s="290"/>
      <c r="K481" s="288" t="s">
        <v>309</v>
      </c>
      <c r="L481" s="290"/>
      <c r="M481" s="288" t="s">
        <v>310</v>
      </c>
      <c r="N481" s="290"/>
      <c r="O481" s="288" t="s">
        <v>655</v>
      </c>
      <c r="P481" s="290"/>
      <c r="Q481" s="288" t="s">
        <v>18</v>
      </c>
      <c r="R481" s="290"/>
      <c r="S481" s="288" t="s">
        <v>19</v>
      </c>
      <c r="T481" s="290"/>
      <c r="U481" s="288" t="s">
        <v>20</v>
      </c>
      <c r="V481" s="290"/>
      <c r="W481" s="288" t="s">
        <v>656</v>
      </c>
      <c r="X481" s="747"/>
      <c r="Y481" s="748"/>
      <c r="Z481" s="748"/>
      <c r="AA481" s="748"/>
      <c r="AB481" s="744"/>
    </row>
    <row r="482" spans="1:28" ht="12" customHeight="1" x14ac:dyDescent="0.2">
      <c r="A482" s="4"/>
      <c r="B482" s="1283" t="s">
        <v>887</v>
      </c>
      <c r="C482" s="1284"/>
      <c r="D482" s="1284"/>
      <c r="E482" s="1284"/>
      <c r="F482" s="477">
        <f>9.55*X2</f>
        <v>8824.2000000000007</v>
      </c>
      <c r="G482" s="380">
        <f t="shared" ref="G482" si="1165">+F482*$X$1</f>
        <v>8824.2000000000007</v>
      </c>
      <c r="H482" s="650">
        <f>F482+3000</f>
        <v>11824.2</v>
      </c>
      <c r="I482" s="338">
        <f t="shared" ref="I482" si="1166">+H482*$X$1</f>
        <v>11824.2</v>
      </c>
      <c r="J482" s="650">
        <f>F482+900</f>
        <v>9724.2000000000007</v>
      </c>
      <c r="K482" s="338">
        <f t="shared" ref="K482" si="1167">+J482*$X$1</f>
        <v>9724.2000000000007</v>
      </c>
      <c r="L482" s="650">
        <f>F482+840</f>
        <v>9664.2000000000007</v>
      </c>
      <c r="M482" s="338">
        <f t="shared" ref="M482" si="1168">+L482*$X$1</f>
        <v>9664.2000000000007</v>
      </c>
      <c r="N482" s="650">
        <f>F482+800</f>
        <v>9624.2000000000007</v>
      </c>
      <c r="O482" s="338">
        <f t="shared" ref="O482" si="1169">+N482*$X$1</f>
        <v>9624.2000000000007</v>
      </c>
      <c r="P482" s="650">
        <f>F482+760</f>
        <v>9584.2000000000007</v>
      </c>
      <c r="Q482" s="338">
        <f t="shared" ref="Q482" si="1170">+P482*$X$1</f>
        <v>9584.2000000000007</v>
      </c>
      <c r="R482" s="650">
        <f>F482+730</f>
        <v>9554.2000000000007</v>
      </c>
      <c r="S482" s="338">
        <f t="shared" ref="S482" si="1171">+R482*$X$1</f>
        <v>9554.2000000000007</v>
      </c>
      <c r="T482" s="650">
        <f>F482+690</f>
        <v>9514.2000000000007</v>
      </c>
      <c r="U482" s="338">
        <f t="shared" ref="U482" si="1172">+T482*$X$1</f>
        <v>9514.2000000000007</v>
      </c>
      <c r="V482" s="650">
        <f>F482+650</f>
        <v>9474.2000000000007</v>
      </c>
      <c r="W482" s="338">
        <f t="shared" ref="W482" si="1173">+V482*$X$1</f>
        <v>9474.2000000000007</v>
      </c>
      <c r="X482" s="150"/>
      <c r="Y482" s="145"/>
      <c r="Z482" s="151"/>
      <c r="AA482" s="152"/>
      <c r="AB482" s="522" t="s">
        <v>891</v>
      </c>
    </row>
    <row r="483" spans="1:28" ht="12" customHeight="1" x14ac:dyDescent="0.2">
      <c r="A483" s="4"/>
      <c r="B483" s="689" t="s">
        <v>886</v>
      </c>
      <c r="C483" s="690"/>
      <c r="D483" s="690"/>
      <c r="E483" s="690"/>
      <c r="F483" s="478">
        <f>9.55*X2</f>
        <v>8824.2000000000007</v>
      </c>
      <c r="G483" s="364">
        <f t="shared" ref="G483" si="1174">+F483*$X$1</f>
        <v>8824.2000000000007</v>
      </c>
      <c r="H483" s="108">
        <f>F483+2200</f>
        <v>11024.2</v>
      </c>
      <c r="I483" s="364">
        <f t="shared" ref="I483" si="1175">+H483*$X$1</f>
        <v>11024.2</v>
      </c>
      <c r="J483" s="108">
        <f>F483+550</f>
        <v>9374.2000000000007</v>
      </c>
      <c r="K483" s="364">
        <f t="shared" ref="K483" si="1176">+J483*$X$1</f>
        <v>9374.2000000000007</v>
      </c>
      <c r="L483" s="108">
        <f>F483+480</f>
        <v>9304.2000000000007</v>
      </c>
      <c r="M483" s="364">
        <f t="shared" ref="M483" si="1177">+L483*$X$1</f>
        <v>9304.2000000000007</v>
      </c>
      <c r="N483" s="108">
        <f>F483+440</f>
        <v>9264.2000000000007</v>
      </c>
      <c r="O483" s="364">
        <f t="shared" ref="O483" si="1178">+N483*$X$1</f>
        <v>9264.2000000000007</v>
      </c>
      <c r="P483" s="108">
        <f>F483+410</f>
        <v>9234.2000000000007</v>
      </c>
      <c r="Q483" s="364">
        <f t="shared" ref="Q483" si="1179">+P483*$X$1</f>
        <v>9234.2000000000007</v>
      </c>
      <c r="R483" s="108">
        <f>F483+390</f>
        <v>9214.2000000000007</v>
      </c>
      <c r="S483" s="364">
        <f t="shared" ref="S483" si="1180">+R483*$X$1</f>
        <v>9214.2000000000007</v>
      </c>
      <c r="T483" s="108">
        <f>F483+350</f>
        <v>9174.2000000000007</v>
      </c>
      <c r="U483" s="364">
        <f t="shared" ref="U483" si="1181">+T483*$X$1</f>
        <v>9174.2000000000007</v>
      </c>
      <c r="V483" s="108">
        <f>F483+320</f>
        <v>9144.2000000000007</v>
      </c>
      <c r="W483" s="364">
        <f t="shared" ref="W483" si="1182">+V483*$X$1</f>
        <v>9144.2000000000007</v>
      </c>
      <c r="X483" s="150"/>
      <c r="Y483" s="145"/>
      <c r="Z483" s="151"/>
      <c r="AA483" s="152"/>
      <c r="AB483" s="522">
        <v>873</v>
      </c>
    </row>
    <row r="484" spans="1:28" ht="12" customHeight="1" x14ac:dyDescent="0.2">
      <c r="A484" s="4"/>
      <c r="B484" s="689" t="s">
        <v>832</v>
      </c>
      <c r="C484" s="690"/>
      <c r="D484" s="690"/>
      <c r="E484" s="690"/>
      <c r="F484" s="477">
        <f>18.82*X2</f>
        <v>17389.68</v>
      </c>
      <c r="G484" s="380">
        <f t="shared" ref="G484" si="1183">+F484*$X$1</f>
        <v>17389.68</v>
      </c>
      <c r="H484" s="107">
        <f>F484+2200</f>
        <v>19589.68</v>
      </c>
      <c r="I484" s="380">
        <f t="shared" ref="I484" si="1184">+H484*$X$1</f>
        <v>19589.68</v>
      </c>
      <c r="J484" s="107">
        <f>F484+550</f>
        <v>17939.68</v>
      </c>
      <c r="K484" s="380">
        <f t="shared" ref="K484" si="1185">+J484*$X$1</f>
        <v>17939.68</v>
      </c>
      <c r="L484" s="107">
        <f>F484+480</f>
        <v>17869.68</v>
      </c>
      <c r="M484" s="380">
        <f t="shared" ref="M484" si="1186">+L484*$X$1</f>
        <v>17869.68</v>
      </c>
      <c r="N484" s="107">
        <f>F484+440</f>
        <v>17829.68</v>
      </c>
      <c r="O484" s="380">
        <f t="shared" ref="O484" si="1187">+N484*$X$1</f>
        <v>17829.68</v>
      </c>
      <c r="P484" s="107">
        <f>F484+410</f>
        <v>17799.68</v>
      </c>
      <c r="Q484" s="380">
        <f t="shared" ref="Q484" si="1188">+P484*$X$1</f>
        <v>17799.68</v>
      </c>
      <c r="R484" s="107">
        <f>F484+390</f>
        <v>17779.68</v>
      </c>
      <c r="S484" s="380">
        <f t="shared" ref="S484" si="1189">+R484*$X$1</f>
        <v>17779.68</v>
      </c>
      <c r="T484" s="107">
        <f>F484+350</f>
        <v>17739.68</v>
      </c>
      <c r="U484" s="380">
        <f t="shared" ref="U484" si="1190">+T484*$X$1</f>
        <v>17739.68</v>
      </c>
      <c r="V484" s="107">
        <f>F484+320</f>
        <v>17709.68</v>
      </c>
      <c r="W484" s="380">
        <f t="shared" ref="W484" si="1191">+V484*$X$1</f>
        <v>17709.68</v>
      </c>
      <c r="X484" s="150"/>
      <c r="Y484" s="145"/>
      <c r="Z484" s="151"/>
      <c r="AA484" s="152"/>
      <c r="AB484" s="522">
        <v>874</v>
      </c>
    </row>
    <row r="485" spans="1:28" ht="12.6" customHeight="1" x14ac:dyDescent="0.2">
      <c r="A485" s="4"/>
      <c r="B485" s="691" t="s">
        <v>796</v>
      </c>
      <c r="C485" s="692"/>
      <c r="D485" s="692"/>
      <c r="E485" s="692"/>
      <c r="F485" s="478">
        <f>12*X2</f>
        <v>11088</v>
      </c>
      <c r="G485" s="364">
        <f t="shared" ref="G485:G486" si="1192">+F485*$X$1</f>
        <v>11088</v>
      </c>
      <c r="H485" s="375">
        <f>F485+3000</f>
        <v>14088</v>
      </c>
      <c r="I485" s="337">
        <f t="shared" ref="I485" si="1193">+H485*$X$1</f>
        <v>14088</v>
      </c>
      <c r="J485" s="375">
        <f>F485+900</f>
        <v>11988</v>
      </c>
      <c r="K485" s="337">
        <f t="shared" ref="K485" si="1194">+J485*$X$1</f>
        <v>11988</v>
      </c>
      <c r="L485" s="375">
        <f>F485+840</f>
        <v>11928</v>
      </c>
      <c r="M485" s="337">
        <f t="shared" ref="M485" si="1195">+L485*$X$1</f>
        <v>11928</v>
      </c>
      <c r="N485" s="375">
        <f>F485+800</f>
        <v>11888</v>
      </c>
      <c r="O485" s="337">
        <f t="shared" ref="O485" si="1196">+N485*$X$1</f>
        <v>11888</v>
      </c>
      <c r="P485" s="375">
        <f>F485+760</f>
        <v>11848</v>
      </c>
      <c r="Q485" s="337">
        <f t="shared" ref="Q485" si="1197">+P485*$X$1</f>
        <v>11848</v>
      </c>
      <c r="R485" s="375">
        <f>F485+730</f>
        <v>11818</v>
      </c>
      <c r="S485" s="337">
        <f t="shared" ref="S485" si="1198">+R485*$X$1</f>
        <v>11818</v>
      </c>
      <c r="T485" s="375">
        <f>F485+690</f>
        <v>11778</v>
      </c>
      <c r="U485" s="337">
        <f t="shared" ref="U485" si="1199">+T485*$X$1</f>
        <v>11778</v>
      </c>
      <c r="V485" s="375">
        <f>F485+650</f>
        <v>11738</v>
      </c>
      <c r="W485" s="337">
        <f t="shared" ref="W485" si="1200">+V485*$X$1</f>
        <v>11738</v>
      </c>
      <c r="X485" s="150"/>
      <c r="Y485" s="145"/>
      <c r="Z485" s="151"/>
      <c r="AA485" s="152"/>
      <c r="AB485" s="522" t="s">
        <v>806</v>
      </c>
    </row>
    <row r="486" spans="1:28" ht="12" customHeight="1" x14ac:dyDescent="0.2">
      <c r="A486" s="4"/>
      <c r="B486" s="687" t="s">
        <v>797</v>
      </c>
      <c r="C486" s="688"/>
      <c r="D486" s="688"/>
      <c r="E486" s="688"/>
      <c r="F486" s="477">
        <f>12*X2</f>
        <v>11088</v>
      </c>
      <c r="G486" s="380">
        <f t="shared" si="1192"/>
        <v>11088</v>
      </c>
      <c r="H486" s="107">
        <f>F486+2200</f>
        <v>13288</v>
      </c>
      <c r="I486" s="380">
        <f t="shared" ref="I486" si="1201">+H486*$X$1</f>
        <v>13288</v>
      </c>
      <c r="J486" s="107">
        <f>F486+550</f>
        <v>11638</v>
      </c>
      <c r="K486" s="380">
        <f t="shared" ref="K486" si="1202">+J486*$X$1</f>
        <v>11638</v>
      </c>
      <c r="L486" s="107">
        <f>F486+480</f>
        <v>11568</v>
      </c>
      <c r="M486" s="380">
        <f t="shared" ref="M486" si="1203">+L486*$X$1</f>
        <v>11568</v>
      </c>
      <c r="N486" s="107">
        <f>F486+440</f>
        <v>11528</v>
      </c>
      <c r="O486" s="380">
        <f t="shared" ref="O486" si="1204">+N486*$X$1</f>
        <v>11528</v>
      </c>
      <c r="P486" s="107">
        <f>F486+410</f>
        <v>11498</v>
      </c>
      <c r="Q486" s="380">
        <f t="shared" ref="Q486" si="1205">+P486*$X$1</f>
        <v>11498</v>
      </c>
      <c r="R486" s="107">
        <f>F486+390</f>
        <v>11478</v>
      </c>
      <c r="S486" s="380">
        <f t="shared" ref="S486" si="1206">+R486*$X$1</f>
        <v>11478</v>
      </c>
      <c r="T486" s="107">
        <f>F486+350</f>
        <v>11438</v>
      </c>
      <c r="U486" s="380">
        <f t="shared" ref="U486" si="1207">+T486*$X$1</f>
        <v>11438</v>
      </c>
      <c r="V486" s="107">
        <f>F486+320</f>
        <v>11408</v>
      </c>
      <c r="W486" s="380">
        <f t="shared" ref="W486" si="1208">+V486*$X$1</f>
        <v>11408</v>
      </c>
      <c r="X486" s="150"/>
      <c r="Y486" s="145"/>
      <c r="Z486" s="151"/>
      <c r="AA486" s="152"/>
      <c r="AB486" s="522">
        <v>875</v>
      </c>
    </row>
    <row r="487" spans="1:28" ht="12.6" customHeight="1" x14ac:dyDescent="0.2">
      <c r="A487" s="4"/>
      <c r="B487" s="691" t="s">
        <v>888</v>
      </c>
      <c r="C487" s="692"/>
      <c r="D487" s="692"/>
      <c r="E487" s="692"/>
      <c r="F487" s="478">
        <f>17.96*X2</f>
        <v>16595.04</v>
      </c>
      <c r="G487" s="364">
        <f t="shared" ref="G487" si="1209">+F487*$X$1</f>
        <v>16595.04</v>
      </c>
      <c r="H487" s="108">
        <f>F487+2200</f>
        <v>18795.04</v>
      </c>
      <c r="I487" s="364">
        <f t="shared" ref="I487" si="1210">+H487*$X$1</f>
        <v>18795.04</v>
      </c>
      <c r="J487" s="108">
        <f>F487+550</f>
        <v>17145.04</v>
      </c>
      <c r="K487" s="364">
        <f t="shared" ref="K487" si="1211">+J487*$X$1</f>
        <v>17145.04</v>
      </c>
      <c r="L487" s="108">
        <f>F487+480</f>
        <v>17075.04</v>
      </c>
      <c r="M487" s="364">
        <f t="shared" ref="M487" si="1212">+L487*$X$1</f>
        <v>17075.04</v>
      </c>
      <c r="N487" s="108">
        <f>F487+440</f>
        <v>17035.04</v>
      </c>
      <c r="O487" s="364">
        <f t="shared" ref="O487" si="1213">+N487*$X$1</f>
        <v>17035.04</v>
      </c>
      <c r="P487" s="108">
        <f>F487+410</f>
        <v>17005.04</v>
      </c>
      <c r="Q487" s="364">
        <f t="shared" ref="Q487" si="1214">+P487*$X$1</f>
        <v>17005.04</v>
      </c>
      <c r="R487" s="108">
        <f>F487+390</f>
        <v>16985.04</v>
      </c>
      <c r="S487" s="364">
        <f t="shared" ref="S487" si="1215">+R487*$X$1</f>
        <v>16985.04</v>
      </c>
      <c r="T487" s="108">
        <f>F487+350</f>
        <v>16945.04</v>
      </c>
      <c r="U487" s="364">
        <f t="shared" ref="U487" si="1216">+T487*$X$1</f>
        <v>16945.04</v>
      </c>
      <c r="V487" s="108">
        <f>F487+320</f>
        <v>16915.04</v>
      </c>
      <c r="W487" s="364">
        <f t="shared" ref="W487" si="1217">+V487*$X$1</f>
        <v>16915.04</v>
      </c>
      <c r="X487" s="150"/>
      <c r="Y487" s="145"/>
      <c r="Z487" s="151"/>
      <c r="AA487" s="152"/>
      <c r="AB487" s="522">
        <v>876</v>
      </c>
    </row>
    <row r="488" spans="1:28" ht="12.6" customHeight="1" x14ac:dyDescent="0.2">
      <c r="A488" s="4"/>
      <c r="B488" s="689" t="s">
        <v>833</v>
      </c>
      <c r="C488" s="690"/>
      <c r="D488" s="690"/>
      <c r="E488" s="690"/>
      <c r="F488" s="477">
        <f>15.37*X2</f>
        <v>14201.88</v>
      </c>
      <c r="G488" s="380">
        <f t="shared" ref="G488" si="1218">+F488*$X$1</f>
        <v>14201.88</v>
      </c>
      <c r="H488" s="587">
        <f>F488+3000</f>
        <v>17201.879999999997</v>
      </c>
      <c r="I488" s="338">
        <f t="shared" ref="I488:I489" si="1219">+H488*$X$1</f>
        <v>17201.879999999997</v>
      </c>
      <c r="J488" s="587">
        <f>F488+900</f>
        <v>15101.88</v>
      </c>
      <c r="K488" s="338">
        <f t="shared" ref="K488:K489" si="1220">+J488*$X$1</f>
        <v>15101.88</v>
      </c>
      <c r="L488" s="587">
        <f>F488+840</f>
        <v>15041.88</v>
      </c>
      <c r="M488" s="338">
        <f t="shared" ref="M488:M489" si="1221">+L488*$X$1</f>
        <v>15041.88</v>
      </c>
      <c r="N488" s="587">
        <f>F488+800</f>
        <v>15001.88</v>
      </c>
      <c r="O488" s="338">
        <f t="shared" ref="O488:O489" si="1222">+N488*$X$1</f>
        <v>15001.88</v>
      </c>
      <c r="P488" s="587">
        <f>F488+760</f>
        <v>14961.88</v>
      </c>
      <c r="Q488" s="338">
        <f t="shared" ref="Q488:Q489" si="1223">+P488*$X$1</f>
        <v>14961.88</v>
      </c>
      <c r="R488" s="587">
        <f>F488+730</f>
        <v>14931.88</v>
      </c>
      <c r="S488" s="338">
        <f t="shared" ref="S488:S489" si="1224">+R488*$X$1</f>
        <v>14931.88</v>
      </c>
      <c r="T488" s="587">
        <f>F488+690</f>
        <v>14891.88</v>
      </c>
      <c r="U488" s="338">
        <f t="shared" ref="U488:U489" si="1225">+T488*$X$1</f>
        <v>14891.88</v>
      </c>
      <c r="V488" s="587">
        <f>F488+650</f>
        <v>14851.88</v>
      </c>
      <c r="W488" s="338">
        <f t="shared" ref="W488:W489" si="1226">+V488*$X$1</f>
        <v>14851.88</v>
      </c>
      <c r="X488" s="150"/>
      <c r="Y488" s="145"/>
      <c r="Z488" s="151"/>
      <c r="AA488" s="152"/>
      <c r="AB488" s="522" t="s">
        <v>736</v>
      </c>
    </row>
    <row r="489" spans="1:28" ht="12.6" customHeight="1" x14ac:dyDescent="0.2">
      <c r="A489" s="4"/>
      <c r="B489" s="689" t="s">
        <v>834</v>
      </c>
      <c r="C489" s="690"/>
      <c r="D489" s="690"/>
      <c r="E489" s="690"/>
      <c r="F489" s="478">
        <f>15.37*X2</f>
        <v>14201.88</v>
      </c>
      <c r="G489" s="364">
        <f t="shared" ref="G489" si="1227">+F489*$X$1</f>
        <v>14201.88</v>
      </c>
      <c r="H489" s="108">
        <f>F489+2200</f>
        <v>16401.879999999997</v>
      </c>
      <c r="I489" s="364">
        <f t="shared" si="1219"/>
        <v>16401.879999999997</v>
      </c>
      <c r="J489" s="108">
        <f>F489+550</f>
        <v>14751.88</v>
      </c>
      <c r="K489" s="364">
        <f t="shared" si="1220"/>
        <v>14751.88</v>
      </c>
      <c r="L489" s="108">
        <f>F489+480</f>
        <v>14681.88</v>
      </c>
      <c r="M489" s="364">
        <f t="shared" si="1221"/>
        <v>14681.88</v>
      </c>
      <c r="N489" s="108">
        <f>F489+440</f>
        <v>14641.88</v>
      </c>
      <c r="O489" s="364">
        <f t="shared" si="1222"/>
        <v>14641.88</v>
      </c>
      <c r="P489" s="108">
        <f>F489+410</f>
        <v>14611.88</v>
      </c>
      <c r="Q489" s="364">
        <f t="shared" si="1223"/>
        <v>14611.88</v>
      </c>
      <c r="R489" s="108">
        <f>F489+390</f>
        <v>14591.88</v>
      </c>
      <c r="S489" s="364">
        <f t="shared" si="1224"/>
        <v>14591.88</v>
      </c>
      <c r="T489" s="108">
        <f>F489+350</f>
        <v>14551.88</v>
      </c>
      <c r="U489" s="364">
        <f t="shared" si="1225"/>
        <v>14551.88</v>
      </c>
      <c r="V489" s="108">
        <f>F489+320</f>
        <v>14521.88</v>
      </c>
      <c r="W489" s="364">
        <f t="shared" si="1226"/>
        <v>14521.88</v>
      </c>
      <c r="X489" s="150"/>
      <c r="Y489" s="145"/>
      <c r="Z489" s="151"/>
      <c r="AA489" s="152"/>
      <c r="AB489" s="522">
        <v>878</v>
      </c>
    </row>
    <row r="490" spans="1:28" ht="12.6" customHeight="1" x14ac:dyDescent="0.2">
      <c r="A490" s="4"/>
      <c r="B490" s="938" t="s">
        <v>798</v>
      </c>
      <c r="C490" s="939"/>
      <c r="D490" s="939"/>
      <c r="E490" s="939"/>
      <c r="F490" s="580">
        <f>19.3*X2</f>
        <v>17833.2</v>
      </c>
      <c r="G490" s="403">
        <f t="shared" ref="G490" si="1228">+F490*$X$1</f>
        <v>17833.2</v>
      </c>
      <c r="H490" s="657">
        <f>F490+3000</f>
        <v>20833.2</v>
      </c>
      <c r="I490" s="402">
        <f t="shared" ref="I490:I491" si="1229">+H490*$X$1</f>
        <v>20833.2</v>
      </c>
      <c r="J490" s="657">
        <f>F490+900</f>
        <v>18733.2</v>
      </c>
      <c r="K490" s="402">
        <f t="shared" ref="K490:K491" si="1230">+J490*$X$1</f>
        <v>18733.2</v>
      </c>
      <c r="L490" s="657">
        <f>F490+840</f>
        <v>18673.2</v>
      </c>
      <c r="M490" s="402">
        <f t="shared" ref="M490:M491" si="1231">+L490*$X$1</f>
        <v>18673.2</v>
      </c>
      <c r="N490" s="657">
        <f>F490+800</f>
        <v>18633.2</v>
      </c>
      <c r="O490" s="402">
        <f t="shared" ref="O490:O491" si="1232">+N490*$X$1</f>
        <v>18633.2</v>
      </c>
      <c r="P490" s="657">
        <f>F490+760</f>
        <v>18593.2</v>
      </c>
      <c r="Q490" s="402">
        <f t="shared" ref="Q490:Q491" si="1233">+P490*$X$1</f>
        <v>18593.2</v>
      </c>
      <c r="R490" s="657">
        <f>F490+730</f>
        <v>18563.2</v>
      </c>
      <c r="S490" s="402">
        <f t="shared" ref="S490:S491" si="1234">+R490*$X$1</f>
        <v>18563.2</v>
      </c>
      <c r="T490" s="657">
        <f>F490+690</f>
        <v>18523.2</v>
      </c>
      <c r="U490" s="402">
        <f t="shared" ref="U490:U491" si="1235">+T490*$X$1</f>
        <v>18523.2</v>
      </c>
      <c r="V490" s="657">
        <f>F490+650</f>
        <v>18483.2</v>
      </c>
      <c r="W490" s="402">
        <f t="shared" ref="W490:W491" si="1236">+V490*$X$1</f>
        <v>18483.2</v>
      </c>
      <c r="X490" s="150"/>
      <c r="Y490" s="145"/>
      <c r="Z490" s="151"/>
      <c r="AA490" s="152"/>
      <c r="AB490" s="522" t="s">
        <v>691</v>
      </c>
    </row>
    <row r="491" spans="1:28" ht="12.6" customHeight="1" x14ac:dyDescent="0.2">
      <c r="A491" s="4"/>
      <c r="B491" s="896" t="s">
        <v>799</v>
      </c>
      <c r="C491" s="897"/>
      <c r="D491" s="897"/>
      <c r="E491" s="897"/>
      <c r="F491" s="580">
        <f>19.3*X2</f>
        <v>17833.2</v>
      </c>
      <c r="G491" s="403">
        <f t="shared" ref="G491:G492" si="1237">+F491*$X$1</f>
        <v>17833.2</v>
      </c>
      <c r="H491" s="122">
        <f>F491+2200</f>
        <v>20033.2</v>
      </c>
      <c r="I491" s="403">
        <f t="shared" si="1229"/>
        <v>20033.2</v>
      </c>
      <c r="J491" s="122">
        <f>F491+550</f>
        <v>18383.2</v>
      </c>
      <c r="K491" s="403">
        <f t="shared" si="1230"/>
        <v>18383.2</v>
      </c>
      <c r="L491" s="122">
        <f>F491+480</f>
        <v>18313.2</v>
      </c>
      <c r="M491" s="403">
        <f t="shared" si="1231"/>
        <v>18313.2</v>
      </c>
      <c r="N491" s="122">
        <f>F491+440</f>
        <v>18273.2</v>
      </c>
      <c r="O491" s="403">
        <f t="shared" si="1232"/>
        <v>18273.2</v>
      </c>
      <c r="P491" s="122">
        <f>F491+410</f>
        <v>18243.2</v>
      </c>
      <c r="Q491" s="403">
        <f t="shared" si="1233"/>
        <v>18243.2</v>
      </c>
      <c r="R491" s="122">
        <f>F491+390</f>
        <v>18223.2</v>
      </c>
      <c r="S491" s="403">
        <f t="shared" si="1234"/>
        <v>18223.2</v>
      </c>
      <c r="T491" s="122">
        <f>F491+350</f>
        <v>18183.2</v>
      </c>
      <c r="U491" s="403">
        <f t="shared" si="1235"/>
        <v>18183.2</v>
      </c>
      <c r="V491" s="122">
        <f>F491+320</f>
        <v>18153.2</v>
      </c>
      <c r="W491" s="403">
        <f t="shared" si="1236"/>
        <v>18153.2</v>
      </c>
      <c r="X491" s="150"/>
      <c r="Y491" s="145"/>
      <c r="Z491" s="151"/>
      <c r="AA491" s="152"/>
      <c r="AB491" s="522">
        <v>880</v>
      </c>
    </row>
    <row r="492" spans="1:28" ht="12.6" customHeight="1" x14ac:dyDescent="0.2">
      <c r="A492" s="4"/>
      <c r="B492" s="898" t="s">
        <v>800</v>
      </c>
      <c r="C492" s="792"/>
      <c r="D492" s="792"/>
      <c r="E492" s="792"/>
      <c r="F492" s="477">
        <f>31.4*X2</f>
        <v>29013.599999999999</v>
      </c>
      <c r="G492" s="380">
        <f t="shared" si="1237"/>
        <v>29013.599999999999</v>
      </c>
      <c r="H492" s="587">
        <f>F492+3000</f>
        <v>32013.599999999999</v>
      </c>
      <c r="I492" s="338">
        <f t="shared" ref="I492:I493" si="1238">+H492*$X$1</f>
        <v>32013.599999999999</v>
      </c>
      <c r="J492" s="587">
        <f>F492+900</f>
        <v>29913.599999999999</v>
      </c>
      <c r="K492" s="338">
        <f t="shared" ref="K492:K493" si="1239">+J492*$X$1</f>
        <v>29913.599999999999</v>
      </c>
      <c r="L492" s="587">
        <f>F492+840</f>
        <v>29853.599999999999</v>
      </c>
      <c r="M492" s="338">
        <f t="shared" ref="M492:M493" si="1240">+L492*$X$1</f>
        <v>29853.599999999999</v>
      </c>
      <c r="N492" s="587">
        <f>F492+800</f>
        <v>29813.599999999999</v>
      </c>
      <c r="O492" s="338">
        <f t="shared" ref="O492:O493" si="1241">+N492*$X$1</f>
        <v>29813.599999999999</v>
      </c>
      <c r="P492" s="587">
        <f>F492+760</f>
        <v>29773.599999999999</v>
      </c>
      <c r="Q492" s="338">
        <f t="shared" ref="Q492:Q493" si="1242">+P492*$X$1</f>
        <v>29773.599999999999</v>
      </c>
      <c r="R492" s="587">
        <f>F492+730</f>
        <v>29743.599999999999</v>
      </c>
      <c r="S492" s="338">
        <f t="shared" ref="S492:S493" si="1243">+R492*$X$1</f>
        <v>29743.599999999999</v>
      </c>
      <c r="T492" s="587">
        <f>F492+690</f>
        <v>29703.599999999999</v>
      </c>
      <c r="U492" s="338">
        <f t="shared" ref="U492:U493" si="1244">+T492*$X$1</f>
        <v>29703.599999999999</v>
      </c>
      <c r="V492" s="587">
        <f>F492+650</f>
        <v>29663.599999999999</v>
      </c>
      <c r="W492" s="338">
        <f t="shared" ref="W492:W493" si="1245">+V492*$X$1</f>
        <v>29663.599999999999</v>
      </c>
      <c r="X492" s="150"/>
      <c r="Y492" s="145"/>
      <c r="Z492" s="151"/>
      <c r="AA492" s="152"/>
      <c r="AB492" s="522" t="s">
        <v>692</v>
      </c>
    </row>
    <row r="493" spans="1:28" ht="12.6" customHeight="1" x14ac:dyDescent="0.2">
      <c r="A493" s="4"/>
      <c r="B493" s="737" t="s">
        <v>801</v>
      </c>
      <c r="C493" s="709"/>
      <c r="D493" s="709"/>
      <c r="E493" s="709"/>
      <c r="F493" s="478">
        <f>31.4*X2</f>
        <v>29013.599999999999</v>
      </c>
      <c r="G493" s="364">
        <f t="shared" ref="G493:G494" si="1246">+F493*$X$1</f>
        <v>29013.599999999999</v>
      </c>
      <c r="H493" s="108">
        <f>F493+2200</f>
        <v>31213.599999999999</v>
      </c>
      <c r="I493" s="364">
        <f t="shared" si="1238"/>
        <v>31213.599999999999</v>
      </c>
      <c r="J493" s="108">
        <f>F493+550</f>
        <v>29563.599999999999</v>
      </c>
      <c r="K493" s="364">
        <f t="shared" si="1239"/>
        <v>29563.599999999999</v>
      </c>
      <c r="L493" s="108">
        <f>F493+480</f>
        <v>29493.599999999999</v>
      </c>
      <c r="M493" s="364">
        <f t="shared" si="1240"/>
        <v>29493.599999999999</v>
      </c>
      <c r="N493" s="108">
        <f>F493+440</f>
        <v>29453.599999999999</v>
      </c>
      <c r="O493" s="364">
        <f t="shared" si="1241"/>
        <v>29453.599999999999</v>
      </c>
      <c r="P493" s="108">
        <f>F493+410</f>
        <v>29423.599999999999</v>
      </c>
      <c r="Q493" s="364">
        <f t="shared" si="1242"/>
        <v>29423.599999999999</v>
      </c>
      <c r="R493" s="108">
        <f>F493+390</f>
        <v>29403.599999999999</v>
      </c>
      <c r="S493" s="364">
        <f t="shared" si="1243"/>
        <v>29403.599999999999</v>
      </c>
      <c r="T493" s="108">
        <f>F493+350</f>
        <v>29363.599999999999</v>
      </c>
      <c r="U493" s="364">
        <f t="shared" si="1244"/>
        <v>29363.599999999999</v>
      </c>
      <c r="V493" s="108">
        <f>F493+320</f>
        <v>29333.599999999999</v>
      </c>
      <c r="W493" s="364">
        <f t="shared" si="1245"/>
        <v>29333.599999999999</v>
      </c>
      <c r="X493" s="150"/>
      <c r="Y493" s="145"/>
      <c r="Z493" s="151"/>
      <c r="AA493" s="152"/>
      <c r="AB493" s="522">
        <v>881</v>
      </c>
    </row>
    <row r="494" spans="1:28" ht="12.6" customHeight="1" x14ac:dyDescent="0.2">
      <c r="A494" s="4"/>
      <c r="B494" s="898" t="s">
        <v>802</v>
      </c>
      <c r="C494" s="792"/>
      <c r="D494" s="792"/>
      <c r="E494" s="792"/>
      <c r="F494" s="477">
        <f>20.241*X2</f>
        <v>18702.684000000001</v>
      </c>
      <c r="G494" s="380">
        <f t="shared" si="1246"/>
        <v>18702.684000000001</v>
      </c>
      <c r="H494" s="107">
        <f>F494+2000</f>
        <v>20702.684000000001</v>
      </c>
      <c r="I494" s="380">
        <f t="shared" ref="I494:I496" si="1247">+H494*$X$1</f>
        <v>20702.684000000001</v>
      </c>
      <c r="J494" s="107">
        <f>F494+500</f>
        <v>19202.684000000001</v>
      </c>
      <c r="K494" s="380">
        <f t="shared" ref="K494:K496" si="1248">+J494*$X$1</f>
        <v>19202.684000000001</v>
      </c>
      <c r="L494" s="107">
        <f>F494+460</f>
        <v>19162.684000000001</v>
      </c>
      <c r="M494" s="380">
        <f t="shared" ref="M494:M496" si="1249">+L494*$X$1</f>
        <v>19162.684000000001</v>
      </c>
      <c r="N494" s="107">
        <f>F494+430</f>
        <v>19132.684000000001</v>
      </c>
      <c r="O494" s="380">
        <f t="shared" ref="O494:O496" si="1250">+N494*$X$1</f>
        <v>19132.684000000001</v>
      </c>
      <c r="P494" s="107">
        <f>F494+400</f>
        <v>19102.684000000001</v>
      </c>
      <c r="Q494" s="380">
        <f t="shared" ref="Q494:Q496" si="1251">+P494*$X$1</f>
        <v>19102.684000000001</v>
      </c>
      <c r="R494" s="107">
        <f>F494+380</f>
        <v>19082.684000000001</v>
      </c>
      <c r="S494" s="380">
        <f t="shared" ref="S494:S496" si="1252">+R494*$X$1</f>
        <v>19082.684000000001</v>
      </c>
      <c r="T494" s="107">
        <f>F494+350</f>
        <v>19052.684000000001</v>
      </c>
      <c r="U494" s="380">
        <f t="shared" ref="U494:U496" si="1253">+T494*$X$1</f>
        <v>19052.684000000001</v>
      </c>
      <c r="V494" s="107">
        <f>F494+320</f>
        <v>19022.684000000001</v>
      </c>
      <c r="W494" s="380">
        <f t="shared" ref="W494:W496" si="1254">+V494*$X$1</f>
        <v>19022.684000000001</v>
      </c>
      <c r="X494" s="150"/>
      <c r="Y494" s="145"/>
      <c r="Z494" s="151"/>
      <c r="AA494" s="152"/>
      <c r="AB494" s="522">
        <v>882</v>
      </c>
    </row>
    <row r="495" spans="1:28" ht="12.6" customHeight="1" x14ac:dyDescent="0.2">
      <c r="A495" s="4"/>
      <c r="B495" s="691" t="s">
        <v>540</v>
      </c>
      <c r="C495" s="692"/>
      <c r="D495" s="692"/>
      <c r="E495" s="692"/>
      <c r="F495" s="478">
        <f>24*X2</f>
        <v>22176</v>
      </c>
      <c r="G495" s="364">
        <f t="shared" ref="G495:G497" si="1255">+F495*$X$1</f>
        <v>22176</v>
      </c>
      <c r="H495" s="108">
        <f>F495+2200</f>
        <v>24376</v>
      </c>
      <c r="I495" s="364">
        <f t="shared" si="1247"/>
        <v>24376</v>
      </c>
      <c r="J495" s="108">
        <f>F495+550</f>
        <v>22726</v>
      </c>
      <c r="K495" s="364">
        <f t="shared" si="1248"/>
        <v>22726</v>
      </c>
      <c r="L495" s="108">
        <f>F495+480</f>
        <v>22656</v>
      </c>
      <c r="M495" s="364">
        <f t="shared" si="1249"/>
        <v>22656</v>
      </c>
      <c r="N495" s="108">
        <f>F495+440</f>
        <v>22616</v>
      </c>
      <c r="O495" s="364">
        <f t="shared" si="1250"/>
        <v>22616</v>
      </c>
      <c r="P495" s="108">
        <f>F495+410</f>
        <v>22586</v>
      </c>
      <c r="Q495" s="364">
        <f t="shared" si="1251"/>
        <v>22586</v>
      </c>
      <c r="R495" s="108">
        <f>F495+390</f>
        <v>22566</v>
      </c>
      <c r="S495" s="364">
        <f t="shared" si="1252"/>
        <v>22566</v>
      </c>
      <c r="T495" s="108">
        <f>F495+350</f>
        <v>22526</v>
      </c>
      <c r="U495" s="364">
        <f t="shared" si="1253"/>
        <v>22526</v>
      </c>
      <c r="V495" s="108">
        <f>F495+320</f>
        <v>22496</v>
      </c>
      <c r="W495" s="364">
        <f t="shared" si="1254"/>
        <v>22496</v>
      </c>
      <c r="X495" s="150"/>
      <c r="Y495" s="145"/>
      <c r="Z495" s="151"/>
      <c r="AA495" s="152"/>
      <c r="AB495" s="522">
        <v>883</v>
      </c>
    </row>
    <row r="496" spans="1:28" ht="12.6" customHeight="1" x14ac:dyDescent="0.2">
      <c r="A496" s="4"/>
      <c r="B496" s="731" t="s">
        <v>901</v>
      </c>
      <c r="C496" s="796"/>
      <c r="D496" s="796"/>
      <c r="E496" s="797"/>
      <c r="F496" s="477">
        <f>16.1*X2</f>
        <v>14876.400000000001</v>
      </c>
      <c r="G496" s="380">
        <f t="shared" si="1255"/>
        <v>14876.400000000001</v>
      </c>
      <c r="H496" s="668">
        <f>F496+3000</f>
        <v>17876.400000000001</v>
      </c>
      <c r="I496" s="338">
        <f t="shared" si="1247"/>
        <v>17876.400000000001</v>
      </c>
      <c r="J496" s="668">
        <f>F496+900</f>
        <v>15776.400000000001</v>
      </c>
      <c r="K496" s="338">
        <f t="shared" si="1248"/>
        <v>15776.400000000001</v>
      </c>
      <c r="L496" s="668">
        <f>F496+840</f>
        <v>15716.400000000001</v>
      </c>
      <c r="M496" s="338">
        <f t="shared" si="1249"/>
        <v>15716.400000000001</v>
      </c>
      <c r="N496" s="668">
        <f>F496+800</f>
        <v>15676.400000000001</v>
      </c>
      <c r="O496" s="338">
        <f t="shared" si="1250"/>
        <v>15676.400000000001</v>
      </c>
      <c r="P496" s="668">
        <f>F496+760</f>
        <v>15636.400000000001</v>
      </c>
      <c r="Q496" s="338">
        <f t="shared" si="1251"/>
        <v>15636.400000000001</v>
      </c>
      <c r="R496" s="668">
        <f>F496+730</f>
        <v>15606.400000000001</v>
      </c>
      <c r="S496" s="338">
        <f t="shared" si="1252"/>
        <v>15606.400000000001</v>
      </c>
      <c r="T496" s="668">
        <f>F496+690</f>
        <v>15566.400000000001</v>
      </c>
      <c r="U496" s="338">
        <f t="shared" si="1253"/>
        <v>15566.400000000001</v>
      </c>
      <c r="V496" s="668">
        <f>F496+650</f>
        <v>15526.400000000001</v>
      </c>
      <c r="W496" s="338">
        <f t="shared" si="1254"/>
        <v>15526.400000000001</v>
      </c>
      <c r="X496" s="150"/>
      <c r="Y496" s="145"/>
      <c r="Z496" s="151"/>
      <c r="AA496" s="152"/>
      <c r="AB496" s="522" t="s">
        <v>900</v>
      </c>
    </row>
    <row r="497" spans="1:28" ht="12.6" customHeight="1" x14ac:dyDescent="0.2">
      <c r="A497" s="4"/>
      <c r="B497" s="1043" t="s">
        <v>902</v>
      </c>
      <c r="C497" s="1044"/>
      <c r="D497" s="1044"/>
      <c r="E497" s="1045"/>
      <c r="F497" s="478">
        <f>16.1*X2</f>
        <v>14876.400000000001</v>
      </c>
      <c r="G497" s="364">
        <f t="shared" si="1255"/>
        <v>14876.400000000001</v>
      </c>
      <c r="H497" s="108">
        <f>F497+2000</f>
        <v>16876.400000000001</v>
      </c>
      <c r="I497" s="364">
        <f t="shared" ref="I497" si="1256">+H497*$X$1</f>
        <v>16876.400000000001</v>
      </c>
      <c r="J497" s="108">
        <f>F497+500</f>
        <v>15376.400000000001</v>
      </c>
      <c r="K497" s="364">
        <f t="shared" ref="K497" si="1257">+J497*$X$1</f>
        <v>15376.400000000001</v>
      </c>
      <c r="L497" s="108">
        <f>F497+460</f>
        <v>15336.400000000001</v>
      </c>
      <c r="M497" s="364">
        <f t="shared" ref="M497" si="1258">+L497*$X$1</f>
        <v>15336.400000000001</v>
      </c>
      <c r="N497" s="108">
        <f>F497+430</f>
        <v>15306.400000000001</v>
      </c>
      <c r="O497" s="364">
        <f t="shared" ref="O497" si="1259">+N497*$X$1</f>
        <v>15306.400000000001</v>
      </c>
      <c r="P497" s="108">
        <f>F497+400</f>
        <v>15276.400000000001</v>
      </c>
      <c r="Q497" s="364">
        <f t="shared" ref="Q497" si="1260">+P497*$X$1</f>
        <v>15276.400000000001</v>
      </c>
      <c r="R497" s="108">
        <f>F497+380</f>
        <v>15256.400000000001</v>
      </c>
      <c r="S497" s="364">
        <f t="shared" ref="S497" si="1261">+R497*$X$1</f>
        <v>15256.400000000001</v>
      </c>
      <c r="T497" s="108">
        <f>F497+350</f>
        <v>15226.400000000001</v>
      </c>
      <c r="U497" s="364">
        <f t="shared" ref="U497" si="1262">+T497*$X$1</f>
        <v>15226.400000000001</v>
      </c>
      <c r="V497" s="108">
        <f>F497+320</f>
        <v>15196.400000000001</v>
      </c>
      <c r="W497" s="364">
        <f t="shared" ref="W497" si="1263">+V497*$X$1</f>
        <v>15196.400000000001</v>
      </c>
      <c r="X497" s="150"/>
      <c r="Y497" s="145"/>
      <c r="Z497" s="151"/>
      <c r="AA497" s="152"/>
      <c r="AB497" s="522">
        <v>886</v>
      </c>
    </row>
    <row r="498" spans="1:28" ht="12.6" customHeight="1" x14ac:dyDescent="0.2">
      <c r="A498" s="4"/>
      <c r="B498" s="898" t="s">
        <v>836</v>
      </c>
      <c r="C498" s="792"/>
      <c r="D498" s="792"/>
      <c r="E498" s="792"/>
      <c r="F498" s="473">
        <f>23.5*X2</f>
        <v>21714</v>
      </c>
      <c r="G498" s="338">
        <f t="shared" ref="G498" si="1264">+F498*$X$1</f>
        <v>21714</v>
      </c>
      <c r="H498" s="587">
        <f>F498+3000</f>
        <v>24714</v>
      </c>
      <c r="I498" s="338">
        <f t="shared" ref="I498:I501" si="1265">+H498*$X$1</f>
        <v>24714</v>
      </c>
      <c r="J498" s="587">
        <f>F498+900</f>
        <v>22614</v>
      </c>
      <c r="K498" s="338">
        <f t="shared" ref="K498:K503" si="1266">+J498*$X$1</f>
        <v>22614</v>
      </c>
      <c r="L498" s="587">
        <f>F498+840</f>
        <v>22554</v>
      </c>
      <c r="M498" s="338">
        <f t="shared" ref="M498:M503" si="1267">+L498*$X$1</f>
        <v>22554</v>
      </c>
      <c r="N498" s="587">
        <f>F498+800</f>
        <v>22514</v>
      </c>
      <c r="O498" s="338">
        <f t="shared" ref="O498:O503" si="1268">+N498*$X$1</f>
        <v>22514</v>
      </c>
      <c r="P498" s="587">
        <f>F498+760</f>
        <v>22474</v>
      </c>
      <c r="Q498" s="338">
        <f t="shared" ref="Q498:Q503" si="1269">+P498*$X$1</f>
        <v>22474</v>
      </c>
      <c r="R498" s="587">
        <f>F498+730</f>
        <v>22444</v>
      </c>
      <c r="S498" s="338">
        <f t="shared" ref="S498:S503" si="1270">+R498*$X$1</f>
        <v>22444</v>
      </c>
      <c r="T498" s="587">
        <f>F498+690</f>
        <v>22404</v>
      </c>
      <c r="U498" s="338">
        <f t="shared" ref="U498:U503" si="1271">+T498*$X$1</f>
        <v>22404</v>
      </c>
      <c r="V498" s="587">
        <f>F498+650</f>
        <v>22364</v>
      </c>
      <c r="W498" s="338">
        <f t="shared" ref="W498:W503" si="1272">+V498*$X$1</f>
        <v>22364</v>
      </c>
      <c r="X498" s="150"/>
      <c r="Y498" s="145"/>
      <c r="Z498" s="151"/>
      <c r="AA498" s="152"/>
      <c r="AB498" s="522" t="s">
        <v>817</v>
      </c>
    </row>
    <row r="499" spans="1:28" ht="12.6" customHeight="1" x14ac:dyDescent="0.2">
      <c r="A499" s="4"/>
      <c r="B499" s="691" t="s">
        <v>835</v>
      </c>
      <c r="C499" s="692"/>
      <c r="D499" s="692"/>
      <c r="E499" s="692"/>
      <c r="F499" s="472">
        <f>23.45*X2</f>
        <v>21667.8</v>
      </c>
      <c r="G499" s="337">
        <f t="shared" ref="G499" si="1273">+F499*$X$1</f>
        <v>21667.8</v>
      </c>
      <c r="H499" s="108">
        <f>F499+2200</f>
        <v>23867.8</v>
      </c>
      <c r="I499" s="364">
        <f t="shared" si="1265"/>
        <v>23867.8</v>
      </c>
      <c r="J499" s="108">
        <f>F499+550</f>
        <v>22217.8</v>
      </c>
      <c r="K499" s="364">
        <f t="shared" si="1266"/>
        <v>22217.8</v>
      </c>
      <c r="L499" s="108">
        <f>F499+480</f>
        <v>22147.8</v>
      </c>
      <c r="M499" s="364">
        <f t="shared" si="1267"/>
        <v>22147.8</v>
      </c>
      <c r="N499" s="108">
        <f>F499+440</f>
        <v>22107.8</v>
      </c>
      <c r="O499" s="364">
        <f t="shared" si="1268"/>
        <v>22107.8</v>
      </c>
      <c r="P499" s="108">
        <f>F499+410</f>
        <v>22077.8</v>
      </c>
      <c r="Q499" s="364">
        <f t="shared" si="1269"/>
        <v>22077.8</v>
      </c>
      <c r="R499" s="108">
        <f>F499+390</f>
        <v>22057.8</v>
      </c>
      <c r="S499" s="364">
        <f t="shared" si="1270"/>
        <v>22057.8</v>
      </c>
      <c r="T499" s="108">
        <f>F499+350</f>
        <v>22017.8</v>
      </c>
      <c r="U499" s="364">
        <f t="shared" si="1271"/>
        <v>22017.8</v>
      </c>
      <c r="V499" s="108">
        <f>F499+320</f>
        <v>21987.8</v>
      </c>
      <c r="W499" s="364">
        <f t="shared" si="1272"/>
        <v>21987.8</v>
      </c>
      <c r="X499" s="150"/>
      <c r="Y499" s="145"/>
      <c r="Z499" s="151"/>
      <c r="AA499" s="152"/>
      <c r="AB499" s="522">
        <v>887</v>
      </c>
    </row>
    <row r="500" spans="1:28" ht="12.6" customHeight="1" x14ac:dyDescent="0.2">
      <c r="A500" s="4"/>
      <c r="B500" s="687" t="s">
        <v>735</v>
      </c>
      <c r="C500" s="688"/>
      <c r="D500" s="688"/>
      <c r="E500" s="688"/>
      <c r="F500" s="473">
        <f>14.7*X2</f>
        <v>13582.8</v>
      </c>
      <c r="G500" s="338">
        <f t="shared" ref="G500" si="1274">+F500*$X$1</f>
        <v>13582.8</v>
      </c>
      <c r="H500" s="107">
        <f>F500+2200</f>
        <v>15782.8</v>
      </c>
      <c r="I500" s="380">
        <f t="shared" si="1265"/>
        <v>15782.8</v>
      </c>
      <c r="J500" s="107">
        <f>F500+550</f>
        <v>14132.8</v>
      </c>
      <c r="K500" s="380">
        <f t="shared" si="1266"/>
        <v>14132.8</v>
      </c>
      <c r="L500" s="107">
        <f>F500+480</f>
        <v>14062.8</v>
      </c>
      <c r="M500" s="380">
        <f t="shared" si="1267"/>
        <v>14062.8</v>
      </c>
      <c r="N500" s="107">
        <f>F500+440</f>
        <v>14022.8</v>
      </c>
      <c r="O500" s="380">
        <f t="shared" si="1268"/>
        <v>14022.8</v>
      </c>
      <c r="P500" s="107">
        <f>F500+410</f>
        <v>13992.8</v>
      </c>
      <c r="Q500" s="380">
        <f t="shared" si="1269"/>
        <v>13992.8</v>
      </c>
      <c r="R500" s="107">
        <f>F500+390</f>
        <v>13972.8</v>
      </c>
      <c r="S500" s="380">
        <f t="shared" si="1270"/>
        <v>13972.8</v>
      </c>
      <c r="T500" s="107">
        <f>F500+350</f>
        <v>13932.8</v>
      </c>
      <c r="U500" s="380">
        <f t="shared" si="1271"/>
        <v>13932.8</v>
      </c>
      <c r="V500" s="107">
        <f>F500+320</f>
        <v>13902.8</v>
      </c>
      <c r="W500" s="380">
        <f t="shared" si="1272"/>
        <v>13902.8</v>
      </c>
      <c r="X500" s="150"/>
      <c r="Y500" s="145"/>
      <c r="Z500" s="151"/>
      <c r="AA500" s="152"/>
      <c r="AB500" s="522">
        <v>888</v>
      </c>
    </row>
    <row r="501" spans="1:28" ht="12.6" customHeight="1" x14ac:dyDescent="0.2">
      <c r="A501" s="4"/>
      <c r="B501" s="737" t="s">
        <v>497</v>
      </c>
      <c r="C501" s="751"/>
      <c r="D501" s="751"/>
      <c r="E501" s="751"/>
      <c r="F501" s="472">
        <f>16.8*X2</f>
        <v>15523.2</v>
      </c>
      <c r="G501" s="337">
        <f t="shared" ref="G501" si="1275">+F501*$X$1</f>
        <v>15523.2</v>
      </c>
      <c r="H501" s="108">
        <f>F501+2200</f>
        <v>17723.2</v>
      </c>
      <c r="I501" s="364">
        <f t="shared" si="1265"/>
        <v>17723.2</v>
      </c>
      <c r="J501" s="108">
        <f>F501+550</f>
        <v>16073.2</v>
      </c>
      <c r="K501" s="364">
        <f t="shared" si="1266"/>
        <v>16073.2</v>
      </c>
      <c r="L501" s="108">
        <f>F501+480</f>
        <v>16003.2</v>
      </c>
      <c r="M501" s="364">
        <f t="shared" si="1267"/>
        <v>16003.2</v>
      </c>
      <c r="N501" s="108">
        <f>F501+440</f>
        <v>15963.2</v>
      </c>
      <c r="O501" s="364">
        <f t="shared" si="1268"/>
        <v>15963.2</v>
      </c>
      <c r="P501" s="108">
        <f>F501+410</f>
        <v>15933.2</v>
      </c>
      <c r="Q501" s="364">
        <f t="shared" si="1269"/>
        <v>15933.2</v>
      </c>
      <c r="R501" s="108">
        <f>F501+390</f>
        <v>15913.2</v>
      </c>
      <c r="S501" s="364">
        <f t="shared" si="1270"/>
        <v>15913.2</v>
      </c>
      <c r="T501" s="108">
        <f>F501+350</f>
        <v>15873.2</v>
      </c>
      <c r="U501" s="364">
        <f t="shared" si="1271"/>
        <v>15873.2</v>
      </c>
      <c r="V501" s="108">
        <f>F501+320</f>
        <v>15843.2</v>
      </c>
      <c r="W501" s="364">
        <f t="shared" si="1272"/>
        <v>15843.2</v>
      </c>
      <c r="X501" s="150"/>
      <c r="Y501" s="145"/>
      <c r="Z501" s="151"/>
      <c r="AA501" s="152"/>
      <c r="AB501" s="522">
        <v>894</v>
      </c>
    </row>
    <row r="502" spans="1:28" ht="12.6" customHeight="1" x14ac:dyDescent="0.2">
      <c r="A502" s="4"/>
      <c r="B502" s="687" t="s">
        <v>792</v>
      </c>
      <c r="C502" s="688"/>
      <c r="D502" s="688"/>
      <c r="E502" s="688"/>
      <c r="F502" s="473">
        <f>16*X2</f>
        <v>14784</v>
      </c>
      <c r="G502" s="338">
        <f t="shared" ref="G502:G505" si="1276">+F502*$X$1</f>
        <v>14784</v>
      </c>
      <c r="H502" s="656">
        <f>F502+3000</f>
        <v>17784</v>
      </c>
      <c r="I502" s="338">
        <f t="shared" ref="I502:I503" si="1277">+H502*$X$1</f>
        <v>17784</v>
      </c>
      <c r="J502" s="656">
        <f>F502+900</f>
        <v>15684</v>
      </c>
      <c r="K502" s="338">
        <f t="shared" si="1266"/>
        <v>15684</v>
      </c>
      <c r="L502" s="656">
        <f>F502+840</f>
        <v>15624</v>
      </c>
      <c r="M502" s="338">
        <f t="shared" si="1267"/>
        <v>15624</v>
      </c>
      <c r="N502" s="656">
        <f>F502+800</f>
        <v>15584</v>
      </c>
      <c r="O502" s="338">
        <f t="shared" si="1268"/>
        <v>15584</v>
      </c>
      <c r="P502" s="656">
        <f>F502+760</f>
        <v>15544</v>
      </c>
      <c r="Q502" s="338">
        <f t="shared" si="1269"/>
        <v>15544</v>
      </c>
      <c r="R502" s="656">
        <f>F502+730</f>
        <v>15514</v>
      </c>
      <c r="S502" s="338">
        <f t="shared" si="1270"/>
        <v>15514</v>
      </c>
      <c r="T502" s="656">
        <f>F502+690</f>
        <v>15474</v>
      </c>
      <c r="U502" s="338">
        <f t="shared" si="1271"/>
        <v>15474</v>
      </c>
      <c r="V502" s="656">
        <f>F502+650</f>
        <v>15434</v>
      </c>
      <c r="W502" s="338">
        <f t="shared" si="1272"/>
        <v>15434</v>
      </c>
      <c r="X502" s="150"/>
      <c r="Y502" s="145"/>
      <c r="Z502" s="151"/>
      <c r="AA502" s="152"/>
      <c r="AB502" s="522">
        <v>896</v>
      </c>
    </row>
    <row r="503" spans="1:28" ht="12.6" customHeight="1" x14ac:dyDescent="0.2">
      <c r="A503" s="4"/>
      <c r="B503" s="737" t="s">
        <v>734</v>
      </c>
      <c r="C503" s="709"/>
      <c r="D503" s="709"/>
      <c r="E503" s="709"/>
      <c r="F503" s="472">
        <f>16*X2</f>
        <v>14784</v>
      </c>
      <c r="G503" s="337">
        <f t="shared" si="1276"/>
        <v>14784</v>
      </c>
      <c r="H503" s="108">
        <f>F503+2200</f>
        <v>16984</v>
      </c>
      <c r="I503" s="364">
        <f t="shared" si="1277"/>
        <v>16984</v>
      </c>
      <c r="J503" s="108">
        <f>F503+550</f>
        <v>15334</v>
      </c>
      <c r="K503" s="364">
        <f t="shared" si="1266"/>
        <v>15334</v>
      </c>
      <c r="L503" s="108">
        <f>F503+480</f>
        <v>15264</v>
      </c>
      <c r="M503" s="364">
        <f t="shared" si="1267"/>
        <v>15264</v>
      </c>
      <c r="N503" s="108">
        <f>F503+440</f>
        <v>15224</v>
      </c>
      <c r="O503" s="364">
        <f t="shared" si="1268"/>
        <v>15224</v>
      </c>
      <c r="P503" s="108">
        <f>F503+410</f>
        <v>15194</v>
      </c>
      <c r="Q503" s="364">
        <f t="shared" si="1269"/>
        <v>15194</v>
      </c>
      <c r="R503" s="108">
        <f>F503+390</f>
        <v>15174</v>
      </c>
      <c r="S503" s="364">
        <f t="shared" si="1270"/>
        <v>15174</v>
      </c>
      <c r="T503" s="108">
        <f>F503+350</f>
        <v>15134</v>
      </c>
      <c r="U503" s="364">
        <f t="shared" si="1271"/>
        <v>15134</v>
      </c>
      <c r="V503" s="108">
        <f>F503+320</f>
        <v>15104</v>
      </c>
      <c r="W503" s="364">
        <f t="shared" si="1272"/>
        <v>15104</v>
      </c>
      <c r="X503" s="150"/>
      <c r="Y503" s="145"/>
      <c r="Z503" s="151"/>
      <c r="AA503" s="152"/>
      <c r="AB503" s="522">
        <v>896</v>
      </c>
    </row>
    <row r="504" spans="1:28" ht="12.6" customHeight="1" x14ac:dyDescent="0.2">
      <c r="A504" s="4"/>
      <c r="B504" s="687" t="s">
        <v>737</v>
      </c>
      <c r="C504" s="1244"/>
      <c r="D504" s="1244"/>
      <c r="E504" s="1244"/>
      <c r="F504" s="473">
        <f>21*X2</f>
        <v>19404</v>
      </c>
      <c r="G504" s="338">
        <f t="shared" si="1276"/>
        <v>19404</v>
      </c>
      <c r="H504" s="656">
        <f>F504+3000</f>
        <v>22404</v>
      </c>
      <c r="I504" s="338">
        <f t="shared" ref="I504:I508" si="1278">+H504*$X$1</f>
        <v>22404</v>
      </c>
      <c r="J504" s="656">
        <f>F504+900</f>
        <v>20304</v>
      </c>
      <c r="K504" s="338">
        <f t="shared" ref="K504:K505" si="1279">+J504*$X$1</f>
        <v>20304</v>
      </c>
      <c r="L504" s="656">
        <f>F504+840</f>
        <v>20244</v>
      </c>
      <c r="M504" s="338">
        <f t="shared" ref="M504:M505" si="1280">+L504*$X$1</f>
        <v>20244</v>
      </c>
      <c r="N504" s="656">
        <f>F504+800</f>
        <v>20204</v>
      </c>
      <c r="O504" s="338">
        <f t="shared" ref="O504:O505" si="1281">+N504*$X$1</f>
        <v>20204</v>
      </c>
      <c r="P504" s="656">
        <f>F504+760</f>
        <v>20164</v>
      </c>
      <c r="Q504" s="338">
        <f t="shared" ref="Q504:Q505" si="1282">+P504*$X$1</f>
        <v>20164</v>
      </c>
      <c r="R504" s="656">
        <f>F504+730</f>
        <v>20134</v>
      </c>
      <c r="S504" s="338">
        <f t="shared" ref="S504:S505" si="1283">+R504*$X$1</f>
        <v>20134</v>
      </c>
      <c r="T504" s="656">
        <f>F504+690</f>
        <v>20094</v>
      </c>
      <c r="U504" s="338">
        <f t="shared" ref="U504:U505" si="1284">+T504*$X$1</f>
        <v>20094</v>
      </c>
      <c r="V504" s="656">
        <f>F504+650</f>
        <v>20054</v>
      </c>
      <c r="W504" s="338">
        <f t="shared" ref="W504:W505" si="1285">+V504*$X$1</f>
        <v>20054</v>
      </c>
      <c r="X504" s="150"/>
      <c r="Y504" s="145"/>
      <c r="Z504" s="151"/>
      <c r="AA504" s="152"/>
      <c r="AB504" s="522">
        <v>899</v>
      </c>
    </row>
    <row r="505" spans="1:28" ht="12.6" customHeight="1" x14ac:dyDescent="0.2">
      <c r="A505" s="4"/>
      <c r="B505" s="737" t="s">
        <v>746</v>
      </c>
      <c r="C505" s="887"/>
      <c r="D505" s="887"/>
      <c r="E505" s="887"/>
      <c r="F505" s="472">
        <f>20.9*X2</f>
        <v>19311.599999999999</v>
      </c>
      <c r="G505" s="337">
        <f t="shared" si="1276"/>
        <v>19311.599999999999</v>
      </c>
      <c r="H505" s="108">
        <f>F505+2200</f>
        <v>21511.599999999999</v>
      </c>
      <c r="I505" s="364">
        <f t="shared" si="1278"/>
        <v>21511.599999999999</v>
      </c>
      <c r="J505" s="108">
        <f>F505+550</f>
        <v>19861.599999999999</v>
      </c>
      <c r="K505" s="364">
        <f t="shared" si="1279"/>
        <v>19861.599999999999</v>
      </c>
      <c r="L505" s="108">
        <f>F505+480</f>
        <v>19791.599999999999</v>
      </c>
      <c r="M505" s="364">
        <f t="shared" si="1280"/>
        <v>19791.599999999999</v>
      </c>
      <c r="N505" s="108">
        <f>F505+440</f>
        <v>19751.599999999999</v>
      </c>
      <c r="O505" s="364">
        <f t="shared" si="1281"/>
        <v>19751.599999999999</v>
      </c>
      <c r="P505" s="108">
        <f>F505+410</f>
        <v>19721.599999999999</v>
      </c>
      <c r="Q505" s="364">
        <f t="shared" si="1282"/>
        <v>19721.599999999999</v>
      </c>
      <c r="R505" s="108">
        <f>F505+390</f>
        <v>19701.599999999999</v>
      </c>
      <c r="S505" s="364">
        <f t="shared" si="1283"/>
        <v>19701.599999999999</v>
      </c>
      <c r="T505" s="108">
        <f>F505+350</f>
        <v>19661.599999999999</v>
      </c>
      <c r="U505" s="364">
        <f t="shared" si="1284"/>
        <v>19661.599999999999</v>
      </c>
      <c r="V505" s="108">
        <f>F505+320</f>
        <v>19631.599999999999</v>
      </c>
      <c r="W505" s="364">
        <f t="shared" si="1285"/>
        <v>19631.599999999999</v>
      </c>
      <c r="X505" s="150"/>
      <c r="Y505" s="145"/>
      <c r="Z505" s="151"/>
      <c r="AA505" s="152"/>
      <c r="AB505" s="522" t="s">
        <v>747</v>
      </c>
    </row>
    <row r="506" spans="1:28" ht="12.6" customHeight="1" x14ac:dyDescent="0.2">
      <c r="A506" s="4"/>
      <c r="B506" s="687" t="s">
        <v>575</v>
      </c>
      <c r="C506" s="702"/>
      <c r="D506" s="702"/>
      <c r="E506" s="702"/>
      <c r="F506" s="473">
        <f>22.9*X2</f>
        <v>21159.599999999999</v>
      </c>
      <c r="G506" s="338">
        <f t="shared" ref="G506" si="1286">+F506*$X$1</f>
        <v>21159.599999999999</v>
      </c>
      <c r="H506" s="656">
        <f>F506+3000</f>
        <v>24159.599999999999</v>
      </c>
      <c r="I506" s="338">
        <f t="shared" si="1278"/>
        <v>24159.599999999999</v>
      </c>
      <c r="J506" s="656">
        <f>F506+900</f>
        <v>22059.599999999999</v>
      </c>
      <c r="K506" s="338">
        <f t="shared" ref="K506:K510" si="1287">+J506*$X$1</f>
        <v>22059.599999999999</v>
      </c>
      <c r="L506" s="656">
        <f>F506+840</f>
        <v>21999.599999999999</v>
      </c>
      <c r="M506" s="338">
        <f t="shared" ref="M506:M510" si="1288">+L506*$X$1</f>
        <v>21999.599999999999</v>
      </c>
      <c r="N506" s="656">
        <f>F506+800</f>
        <v>21959.599999999999</v>
      </c>
      <c r="O506" s="338">
        <f t="shared" ref="O506:O510" si="1289">+N506*$X$1</f>
        <v>21959.599999999999</v>
      </c>
      <c r="P506" s="656">
        <f>F506+760</f>
        <v>21919.599999999999</v>
      </c>
      <c r="Q506" s="338">
        <f t="shared" ref="Q506:Q510" si="1290">+P506*$X$1</f>
        <v>21919.599999999999</v>
      </c>
      <c r="R506" s="656">
        <f>F506+730</f>
        <v>21889.599999999999</v>
      </c>
      <c r="S506" s="338">
        <f t="shared" ref="S506:S510" si="1291">+R506*$X$1</f>
        <v>21889.599999999999</v>
      </c>
      <c r="T506" s="656">
        <f>F506+690</f>
        <v>21849.599999999999</v>
      </c>
      <c r="U506" s="338">
        <f t="shared" ref="U506:U510" si="1292">+T506*$X$1</f>
        <v>21849.599999999999</v>
      </c>
      <c r="V506" s="656">
        <f>F506+650</f>
        <v>21809.599999999999</v>
      </c>
      <c r="W506" s="338">
        <f t="shared" ref="W506:W510" si="1293">+V506*$X$1</f>
        <v>21809.599999999999</v>
      </c>
      <c r="X506" s="150"/>
      <c r="Y506" s="145"/>
      <c r="Z506" s="151"/>
      <c r="AA506" s="152"/>
      <c r="AB506" s="522">
        <v>900</v>
      </c>
    </row>
    <row r="507" spans="1:28" ht="12.6" customHeight="1" x14ac:dyDescent="0.2">
      <c r="A507" s="4"/>
      <c r="B507" s="909" t="s">
        <v>496</v>
      </c>
      <c r="C507" s="749"/>
      <c r="D507" s="749"/>
      <c r="E507" s="750"/>
      <c r="F507" s="384">
        <v>15100</v>
      </c>
      <c r="G507" s="337">
        <f>+F507*$X$1</f>
        <v>15100</v>
      </c>
      <c r="H507" s="375">
        <f>F507+3000</f>
        <v>18100</v>
      </c>
      <c r="I507" s="337">
        <f t="shared" si="1278"/>
        <v>18100</v>
      </c>
      <c r="J507" s="375">
        <f>F507+900</f>
        <v>16000</v>
      </c>
      <c r="K507" s="337">
        <f t="shared" si="1287"/>
        <v>16000</v>
      </c>
      <c r="L507" s="375">
        <f>F507+840</f>
        <v>15940</v>
      </c>
      <c r="M507" s="337">
        <f t="shared" si="1288"/>
        <v>15940</v>
      </c>
      <c r="N507" s="375">
        <f>F507+800</f>
        <v>15900</v>
      </c>
      <c r="O507" s="337">
        <f t="shared" si="1289"/>
        <v>15900</v>
      </c>
      <c r="P507" s="375">
        <f>F507+760</f>
        <v>15860</v>
      </c>
      <c r="Q507" s="337">
        <f t="shared" si="1290"/>
        <v>15860</v>
      </c>
      <c r="R507" s="375">
        <f>F507+730</f>
        <v>15830</v>
      </c>
      <c r="S507" s="337">
        <f t="shared" si="1291"/>
        <v>15830</v>
      </c>
      <c r="T507" s="375">
        <f>F507+690</f>
        <v>15790</v>
      </c>
      <c r="U507" s="337">
        <f t="shared" si="1292"/>
        <v>15790</v>
      </c>
      <c r="V507" s="375"/>
      <c r="W507" s="337"/>
      <c r="X507" s="150"/>
      <c r="Y507" s="145"/>
      <c r="Z507" s="151"/>
      <c r="AA507" s="152"/>
      <c r="AB507" s="522">
        <v>902</v>
      </c>
    </row>
    <row r="508" spans="1:28" ht="12.6" customHeight="1" x14ac:dyDescent="0.2">
      <c r="A508" s="4"/>
      <c r="B508" s="687" t="s">
        <v>495</v>
      </c>
      <c r="C508" s="702"/>
      <c r="D508" s="702"/>
      <c r="E508" s="702"/>
      <c r="F508" s="338">
        <v>19495</v>
      </c>
      <c r="G508" s="338">
        <f>+F508*$X$1</f>
        <v>19495</v>
      </c>
      <c r="H508" s="107">
        <f>F508+2200</f>
        <v>21695</v>
      </c>
      <c r="I508" s="380">
        <f t="shared" si="1278"/>
        <v>21695</v>
      </c>
      <c r="J508" s="107">
        <f>F508+550</f>
        <v>20045</v>
      </c>
      <c r="K508" s="380">
        <f t="shared" si="1287"/>
        <v>20045</v>
      </c>
      <c r="L508" s="107">
        <f>F508+480</f>
        <v>19975</v>
      </c>
      <c r="M508" s="380">
        <f t="shared" si="1288"/>
        <v>19975</v>
      </c>
      <c r="N508" s="107">
        <f>F508+440</f>
        <v>19935</v>
      </c>
      <c r="O508" s="380">
        <f t="shared" si="1289"/>
        <v>19935</v>
      </c>
      <c r="P508" s="107">
        <f>F508+410</f>
        <v>19905</v>
      </c>
      <c r="Q508" s="380">
        <f t="shared" si="1290"/>
        <v>19905</v>
      </c>
      <c r="R508" s="107">
        <f>F508+390</f>
        <v>19885</v>
      </c>
      <c r="S508" s="380">
        <f t="shared" si="1291"/>
        <v>19885</v>
      </c>
      <c r="T508" s="107">
        <f>F508+350</f>
        <v>19845</v>
      </c>
      <c r="U508" s="380">
        <f t="shared" si="1292"/>
        <v>19845</v>
      </c>
      <c r="V508" s="107">
        <f>F508+320</f>
        <v>19815</v>
      </c>
      <c r="W508" s="380">
        <f t="shared" si="1293"/>
        <v>19815</v>
      </c>
      <c r="X508" s="150"/>
      <c r="Y508" s="145"/>
      <c r="Z508" s="151"/>
      <c r="AA508" s="152"/>
      <c r="AB508" s="522">
        <v>905</v>
      </c>
    </row>
    <row r="509" spans="1:28" ht="12.6" customHeight="1" x14ac:dyDescent="0.2">
      <c r="A509" s="4"/>
      <c r="B509" s="737" t="s">
        <v>804</v>
      </c>
      <c r="C509" s="751"/>
      <c r="D509" s="751"/>
      <c r="E509" s="751"/>
      <c r="F509" s="472">
        <f>21.3*X2</f>
        <v>19681.2</v>
      </c>
      <c r="G509" s="337">
        <f>+F509*$X$1</f>
        <v>19681.2</v>
      </c>
      <c r="H509" s="375">
        <f>F509+3000</f>
        <v>22681.200000000001</v>
      </c>
      <c r="I509" s="337">
        <f t="shared" ref="I509:I512" si="1294">+H509*$X$1</f>
        <v>22681.200000000001</v>
      </c>
      <c r="J509" s="375">
        <f>F509+900</f>
        <v>20581.2</v>
      </c>
      <c r="K509" s="337">
        <f t="shared" si="1287"/>
        <v>20581.2</v>
      </c>
      <c r="L509" s="375">
        <f>F509+840</f>
        <v>20521.2</v>
      </c>
      <c r="M509" s="337">
        <f t="shared" si="1288"/>
        <v>20521.2</v>
      </c>
      <c r="N509" s="375">
        <f>F509+800</f>
        <v>20481.2</v>
      </c>
      <c r="O509" s="337">
        <f t="shared" si="1289"/>
        <v>20481.2</v>
      </c>
      <c r="P509" s="375">
        <f>F509+760</f>
        <v>20441.2</v>
      </c>
      <c r="Q509" s="337">
        <f t="shared" si="1290"/>
        <v>20441.2</v>
      </c>
      <c r="R509" s="375">
        <f>F509+730</f>
        <v>20411.2</v>
      </c>
      <c r="S509" s="337">
        <f t="shared" si="1291"/>
        <v>20411.2</v>
      </c>
      <c r="T509" s="375">
        <f>F509+690</f>
        <v>20371.2</v>
      </c>
      <c r="U509" s="337">
        <f t="shared" si="1292"/>
        <v>20371.2</v>
      </c>
      <c r="V509" s="375">
        <f>F509+650</f>
        <v>20331.2</v>
      </c>
      <c r="W509" s="337">
        <f t="shared" si="1293"/>
        <v>20331.2</v>
      </c>
      <c r="X509" s="150"/>
      <c r="Y509" s="145"/>
      <c r="Z509" s="151"/>
      <c r="AA509" s="152"/>
      <c r="AB509" s="522">
        <v>906</v>
      </c>
    </row>
    <row r="510" spans="1:28" ht="12.6" customHeight="1" x14ac:dyDescent="0.2">
      <c r="A510" s="4"/>
      <c r="B510" s="687" t="s">
        <v>805</v>
      </c>
      <c r="C510" s="702"/>
      <c r="D510" s="702"/>
      <c r="E510" s="702"/>
      <c r="F510" s="473">
        <f>21.3*X2</f>
        <v>19681.2</v>
      </c>
      <c r="G510" s="338">
        <f>+F510*$X$1</f>
        <v>19681.2</v>
      </c>
      <c r="H510" s="107">
        <f>F510+2200</f>
        <v>21881.200000000001</v>
      </c>
      <c r="I510" s="380">
        <f t="shared" si="1294"/>
        <v>21881.200000000001</v>
      </c>
      <c r="J510" s="107">
        <f>F510+550</f>
        <v>20231.2</v>
      </c>
      <c r="K510" s="380">
        <f t="shared" si="1287"/>
        <v>20231.2</v>
      </c>
      <c r="L510" s="107">
        <f>F510+480</f>
        <v>20161.2</v>
      </c>
      <c r="M510" s="380">
        <f t="shared" si="1288"/>
        <v>20161.2</v>
      </c>
      <c r="N510" s="107">
        <f>F510+440</f>
        <v>20121.2</v>
      </c>
      <c r="O510" s="380">
        <f t="shared" si="1289"/>
        <v>20121.2</v>
      </c>
      <c r="P510" s="107">
        <f>F510+410</f>
        <v>20091.2</v>
      </c>
      <c r="Q510" s="380">
        <f t="shared" si="1290"/>
        <v>20091.2</v>
      </c>
      <c r="R510" s="107">
        <f>F510+390</f>
        <v>20071.2</v>
      </c>
      <c r="S510" s="380">
        <f t="shared" si="1291"/>
        <v>20071.2</v>
      </c>
      <c r="T510" s="107">
        <f>F510+350</f>
        <v>20031.2</v>
      </c>
      <c r="U510" s="380">
        <f t="shared" si="1292"/>
        <v>20031.2</v>
      </c>
      <c r="V510" s="107">
        <f>F510+320</f>
        <v>20001.2</v>
      </c>
      <c r="W510" s="380">
        <f t="shared" si="1293"/>
        <v>20001.2</v>
      </c>
      <c r="X510" s="150"/>
      <c r="Y510" s="145"/>
      <c r="Z510" s="151"/>
      <c r="AA510" s="152"/>
      <c r="AB510" s="522">
        <v>906</v>
      </c>
    </row>
    <row r="511" spans="1:28" ht="12.6" customHeight="1" x14ac:dyDescent="0.2">
      <c r="A511" s="4"/>
      <c r="B511" s="737" t="s">
        <v>733</v>
      </c>
      <c r="C511" s="709"/>
      <c r="D511" s="709"/>
      <c r="E511" s="709"/>
      <c r="F511" s="475">
        <f>21.6*X2</f>
        <v>19958.400000000001</v>
      </c>
      <c r="G511" s="337">
        <f t="shared" ref="G511" si="1295">+F511*$X$1</f>
        <v>19958.400000000001</v>
      </c>
      <c r="H511" s="375">
        <f>F511+3000</f>
        <v>22958.400000000001</v>
      </c>
      <c r="I511" s="337">
        <f t="shared" si="1294"/>
        <v>22958.400000000001</v>
      </c>
      <c r="J511" s="375">
        <f>F511+900</f>
        <v>20858.400000000001</v>
      </c>
      <c r="K511" s="337">
        <f t="shared" ref="K511:K512" si="1296">+J511*$X$1</f>
        <v>20858.400000000001</v>
      </c>
      <c r="L511" s="375">
        <f>F511+840</f>
        <v>20798.400000000001</v>
      </c>
      <c r="M511" s="337">
        <f t="shared" ref="M511:M512" si="1297">+L511*$X$1</f>
        <v>20798.400000000001</v>
      </c>
      <c r="N511" s="375">
        <f>F511+800</f>
        <v>20758.400000000001</v>
      </c>
      <c r="O511" s="337">
        <f t="shared" ref="O511:O512" si="1298">+N511*$X$1</f>
        <v>20758.400000000001</v>
      </c>
      <c r="P511" s="375">
        <f>F511+760</f>
        <v>20718.400000000001</v>
      </c>
      <c r="Q511" s="337">
        <f t="shared" ref="Q511" si="1299">+P511*$X$1</f>
        <v>20718.400000000001</v>
      </c>
      <c r="R511" s="375">
        <f>F511+730</f>
        <v>20688.400000000001</v>
      </c>
      <c r="S511" s="337">
        <f t="shared" ref="S511" si="1300">+R511*$X$1</f>
        <v>20688.400000000001</v>
      </c>
      <c r="T511" s="375">
        <f>F511+690</f>
        <v>20648.400000000001</v>
      </c>
      <c r="U511" s="337">
        <f t="shared" ref="U511" si="1301">+T511*$X$1</f>
        <v>20648.400000000001</v>
      </c>
      <c r="V511" s="375">
        <f>F511+650</f>
        <v>20608.400000000001</v>
      </c>
      <c r="W511" s="337">
        <f t="shared" ref="W511" si="1302">+V511*$X$1</f>
        <v>20608.400000000001</v>
      </c>
      <c r="X511" s="150"/>
      <c r="Y511" s="145"/>
      <c r="Z511" s="151"/>
      <c r="AA511" s="152"/>
      <c r="AB511" s="522" t="s">
        <v>748</v>
      </c>
    </row>
    <row r="512" spans="1:28" ht="12.6" customHeight="1" x14ac:dyDescent="0.2">
      <c r="A512" s="4"/>
      <c r="B512" s="687" t="s">
        <v>803</v>
      </c>
      <c r="C512" s="688"/>
      <c r="D512" s="688"/>
      <c r="E512" s="688"/>
      <c r="F512" s="474">
        <f>21.6*X2</f>
        <v>19958.400000000001</v>
      </c>
      <c r="G512" s="338">
        <f t="shared" ref="G512" si="1303">+F512*$X$1</f>
        <v>19958.400000000001</v>
      </c>
      <c r="H512" s="107">
        <f>F512+2200</f>
        <v>22158.400000000001</v>
      </c>
      <c r="I512" s="380">
        <f t="shared" si="1294"/>
        <v>22158.400000000001</v>
      </c>
      <c r="J512" s="107">
        <f>F512+550</f>
        <v>20508.400000000001</v>
      </c>
      <c r="K512" s="380">
        <f t="shared" si="1296"/>
        <v>20508.400000000001</v>
      </c>
      <c r="L512" s="107">
        <f>F512+480</f>
        <v>20438.400000000001</v>
      </c>
      <c r="M512" s="380">
        <f t="shared" si="1297"/>
        <v>20438.400000000001</v>
      </c>
      <c r="N512" s="107">
        <f>F512+440</f>
        <v>20398.400000000001</v>
      </c>
      <c r="O512" s="380">
        <f t="shared" si="1298"/>
        <v>20398.400000000001</v>
      </c>
      <c r="P512" s="107"/>
      <c r="Q512" s="380"/>
      <c r="R512" s="107"/>
      <c r="S512" s="380"/>
      <c r="T512" s="107"/>
      <c r="U512" s="380"/>
      <c r="V512" s="107"/>
      <c r="W512" s="380"/>
      <c r="X512" s="150"/>
      <c r="Y512" s="145"/>
      <c r="Z512" s="151"/>
      <c r="AA512" s="152"/>
      <c r="AB512" s="522">
        <v>907</v>
      </c>
    </row>
    <row r="513" spans="1:34" ht="12.6" customHeight="1" x14ac:dyDescent="0.2">
      <c r="A513" s="4"/>
      <c r="B513" s="1233" t="s">
        <v>698</v>
      </c>
      <c r="C513" s="1234"/>
      <c r="D513" s="1234"/>
      <c r="E513" s="1234"/>
      <c r="F513" s="337"/>
      <c r="G513" s="337"/>
      <c r="H513" s="375">
        <v>1900</v>
      </c>
      <c r="I513" s="337">
        <f t="shared" ref="I513" si="1304">+H513*$X$1</f>
        <v>1900</v>
      </c>
      <c r="J513" s="375">
        <v>770</v>
      </c>
      <c r="K513" s="337">
        <f t="shared" ref="K513" si="1305">+J513*$X$1</f>
        <v>770</v>
      </c>
      <c r="L513" s="375">
        <v>660</v>
      </c>
      <c r="M513" s="337">
        <f t="shared" ref="M513" si="1306">+L513*$X$1</f>
        <v>660</v>
      </c>
      <c r="N513" s="375">
        <v>600</v>
      </c>
      <c r="O513" s="337">
        <f t="shared" ref="O513" si="1307">+N513*$X$1</f>
        <v>600</v>
      </c>
      <c r="P513" s="375">
        <v>550</v>
      </c>
      <c r="Q513" s="337">
        <f t="shared" ref="Q513" si="1308">+P513*$X$1</f>
        <v>550</v>
      </c>
      <c r="R513" s="375">
        <v>510</v>
      </c>
      <c r="S513" s="337">
        <f t="shared" ref="S513" si="1309">+R513*$X$1</f>
        <v>510</v>
      </c>
      <c r="T513" s="375">
        <v>470</v>
      </c>
      <c r="U513" s="337">
        <f t="shared" ref="U513" si="1310">+T513*$X$1</f>
        <v>470</v>
      </c>
      <c r="V513" s="375">
        <v>420</v>
      </c>
      <c r="W513" s="337">
        <f t="shared" ref="W513" si="1311">+V513*$X$1</f>
        <v>420</v>
      </c>
      <c r="X513" s="150"/>
      <c r="Y513" s="145"/>
      <c r="Z513" s="151"/>
      <c r="AA513" s="152"/>
      <c r="AB513" s="34"/>
    </row>
    <row r="514" spans="1:34" ht="12.6" customHeight="1" x14ac:dyDescent="0.2">
      <c r="A514" s="4"/>
      <c r="B514" s="1229" t="s">
        <v>699</v>
      </c>
      <c r="C514" s="1230"/>
      <c r="D514" s="1230"/>
      <c r="E514" s="1230"/>
      <c r="F514" s="338"/>
      <c r="G514" s="338"/>
      <c r="H514" s="656">
        <v>900</v>
      </c>
      <c r="I514" s="338">
        <f t="shared" ref="I514" si="1312">+H514*$X$1</f>
        <v>900</v>
      </c>
      <c r="J514" s="656">
        <v>350</v>
      </c>
      <c r="K514" s="338">
        <f t="shared" ref="K514" si="1313">+J514*$X$1</f>
        <v>350</v>
      </c>
      <c r="L514" s="656">
        <v>310</v>
      </c>
      <c r="M514" s="338">
        <f t="shared" ref="M514" si="1314">+L514*$X$1</f>
        <v>310</v>
      </c>
      <c r="N514" s="656">
        <v>280</v>
      </c>
      <c r="O514" s="338">
        <f t="shared" ref="O514" si="1315">+N514*$X$1</f>
        <v>280</v>
      </c>
      <c r="P514" s="656">
        <v>250</v>
      </c>
      <c r="Q514" s="338">
        <f t="shared" ref="Q514" si="1316">+P514*$X$1</f>
        <v>250</v>
      </c>
      <c r="R514" s="656">
        <v>230</v>
      </c>
      <c r="S514" s="338">
        <f t="shared" ref="S514" si="1317">+R514*$X$1</f>
        <v>230</v>
      </c>
      <c r="T514" s="656">
        <v>220</v>
      </c>
      <c r="U514" s="338">
        <f t="shared" ref="U514" si="1318">+T514*$X$1</f>
        <v>220</v>
      </c>
      <c r="V514" s="656">
        <v>210</v>
      </c>
      <c r="W514" s="338">
        <f t="shared" ref="W514" si="1319">+V514*$X$1</f>
        <v>210</v>
      </c>
      <c r="X514" s="150"/>
      <c r="Y514" s="145"/>
      <c r="Z514" s="151"/>
      <c r="AA514" s="152"/>
      <c r="AB514" s="34"/>
    </row>
    <row r="515" spans="1:34" ht="9.75" customHeight="1" thickBot="1" x14ac:dyDescent="0.25">
      <c r="A515" s="101"/>
      <c r="B515" s="81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3"/>
      <c r="W515" s="84"/>
      <c r="AB515" s="85"/>
    </row>
    <row r="516" spans="1:34" ht="14.25" customHeight="1" thickBot="1" x14ac:dyDescent="0.25">
      <c r="B516" s="1224" t="s">
        <v>670</v>
      </c>
      <c r="C516" s="1225"/>
      <c r="D516" s="1225"/>
      <c r="E516" s="1225"/>
      <c r="F516" s="1225"/>
      <c r="G516" s="1225"/>
      <c r="H516" s="1225"/>
      <c r="I516" s="1225"/>
      <c r="J516" s="1225"/>
      <c r="K516" s="1225"/>
      <c r="L516" s="1225"/>
      <c r="M516" s="1225"/>
      <c r="N516" s="1225"/>
      <c r="O516" s="1225"/>
      <c r="P516" s="1225"/>
      <c r="Q516" s="1225"/>
      <c r="R516" s="1225"/>
      <c r="S516" s="1225"/>
      <c r="T516" s="1225"/>
      <c r="U516" s="1225"/>
      <c r="V516" s="1225"/>
      <c r="W516" s="1226"/>
      <c r="AB516" s="4"/>
      <c r="AF516" s="741"/>
      <c r="AG516" s="742"/>
      <c r="AH516" s="742"/>
    </row>
    <row r="517" spans="1:34" ht="14.25" customHeight="1" x14ac:dyDescent="0.2">
      <c r="B517" s="1227" t="s">
        <v>11</v>
      </c>
      <c r="C517" s="1209" t="s">
        <v>12</v>
      </c>
      <c r="D517" s="1210"/>
      <c r="E517" s="1210"/>
      <c r="F517" s="804" t="s">
        <v>307</v>
      </c>
      <c r="G517" s="804" t="s">
        <v>13</v>
      </c>
      <c r="H517" s="1235" t="s">
        <v>498</v>
      </c>
      <c r="I517" s="1235"/>
      <c r="J517" s="1236"/>
      <c r="K517" s="1236"/>
      <c r="L517" s="1236"/>
      <c r="M517" s="1236"/>
      <c r="N517" s="1236"/>
      <c r="O517" s="1236"/>
      <c r="P517" s="1236"/>
      <c r="Q517" s="1236"/>
      <c r="R517" s="1236"/>
      <c r="S517" s="1236"/>
      <c r="T517" s="1236"/>
      <c r="U517" s="1236"/>
      <c r="V517" s="1236"/>
      <c r="W517" s="1237"/>
      <c r="X517" s="745" t="s">
        <v>15</v>
      </c>
      <c r="Y517" s="746"/>
      <c r="Z517" s="746"/>
      <c r="AA517" s="746"/>
      <c r="AB517" s="743" t="s">
        <v>16</v>
      </c>
      <c r="AF517" s="741" t="s">
        <v>3</v>
      </c>
      <c r="AG517" s="742"/>
      <c r="AH517" s="742"/>
    </row>
    <row r="518" spans="1:34" ht="12" customHeight="1" thickBot="1" x14ac:dyDescent="0.25">
      <c r="B518" s="1228"/>
      <c r="C518" s="1211"/>
      <c r="D518" s="1211"/>
      <c r="E518" s="1211"/>
      <c r="F518" s="805"/>
      <c r="G518" s="805"/>
      <c r="H518" s="290"/>
      <c r="I518" s="288" t="s">
        <v>653</v>
      </c>
      <c r="J518" s="290"/>
      <c r="K518" s="288" t="s">
        <v>309</v>
      </c>
      <c r="L518" s="290"/>
      <c r="M518" s="288" t="s">
        <v>310</v>
      </c>
      <c r="N518" s="290"/>
      <c r="O518" s="288" t="s">
        <v>655</v>
      </c>
      <c r="P518" s="290"/>
      <c r="Q518" s="288" t="s">
        <v>18</v>
      </c>
      <c r="R518" s="290"/>
      <c r="S518" s="288" t="s">
        <v>19</v>
      </c>
      <c r="T518" s="290"/>
      <c r="U518" s="288" t="s">
        <v>20</v>
      </c>
      <c r="V518" s="290"/>
      <c r="W518" s="289" t="s">
        <v>656</v>
      </c>
      <c r="X518" s="747"/>
      <c r="Y518" s="748"/>
      <c r="Z518" s="748"/>
      <c r="AA518" s="748"/>
      <c r="AB518" s="744"/>
    </row>
    <row r="519" spans="1:34" ht="12.6" customHeight="1" x14ac:dyDescent="0.2">
      <c r="A519" s="4"/>
      <c r="B519" s="791" t="s">
        <v>883</v>
      </c>
      <c r="C519" s="923"/>
      <c r="D519" s="923"/>
      <c r="E519" s="923"/>
      <c r="F519" s="477">
        <f>31.2*X2</f>
        <v>28828.799999999999</v>
      </c>
      <c r="G519" s="380">
        <f t="shared" ref="G519:K534" si="1320">+F519*$X$1</f>
        <v>28828.799999999999</v>
      </c>
      <c r="H519" s="107">
        <f>F519+2200</f>
        <v>31028.799999999999</v>
      </c>
      <c r="I519" s="380">
        <f t="shared" si="1320"/>
        <v>31028.799999999999</v>
      </c>
      <c r="J519" s="107">
        <f>F519+500</f>
        <v>29328.799999999999</v>
      </c>
      <c r="K519" s="380">
        <f t="shared" si="1320"/>
        <v>29328.799999999999</v>
      </c>
      <c r="L519" s="107">
        <f>F519+410</f>
        <v>29238.799999999999</v>
      </c>
      <c r="M519" s="380">
        <f t="shared" ref="M519" si="1321">+L519*$X$1</f>
        <v>29238.799999999999</v>
      </c>
      <c r="N519" s="107">
        <f>F519+370</f>
        <v>29198.799999999999</v>
      </c>
      <c r="O519" s="380">
        <f t="shared" ref="O519" si="1322">+N519*$X$1</f>
        <v>29198.799999999999</v>
      </c>
      <c r="P519" s="107">
        <f>F519+360</f>
        <v>29188.799999999999</v>
      </c>
      <c r="Q519" s="380">
        <f t="shared" ref="Q519" si="1323">+P519*$X$1</f>
        <v>29188.799999999999</v>
      </c>
      <c r="R519" s="107">
        <f>F519+330</f>
        <v>29158.799999999999</v>
      </c>
      <c r="S519" s="380">
        <f t="shared" ref="S519" si="1324">+R519*$X$1</f>
        <v>29158.799999999999</v>
      </c>
      <c r="T519" s="107">
        <f>F519+290</f>
        <v>29118.799999999999</v>
      </c>
      <c r="U519" s="380">
        <f t="shared" ref="U519" si="1325">+T519*$X$1</f>
        <v>29118.799999999999</v>
      </c>
      <c r="V519" s="107">
        <f>F519+240</f>
        <v>29068.799999999999</v>
      </c>
      <c r="W519" s="380">
        <f t="shared" ref="W519" si="1326">+V519*$X$1</f>
        <v>29068.799999999999</v>
      </c>
      <c r="X519" s="150"/>
      <c r="Y519" s="145"/>
      <c r="Z519" s="151"/>
      <c r="AA519" s="152"/>
      <c r="AB519" s="522">
        <v>570</v>
      </c>
    </row>
    <row r="520" spans="1:34" ht="12.6" customHeight="1" x14ac:dyDescent="0.2">
      <c r="A520" s="4"/>
      <c r="B520" s="684" t="s">
        <v>893</v>
      </c>
      <c r="C520" s="685"/>
      <c r="D520" s="685"/>
      <c r="E520" s="685"/>
      <c r="F520" s="478">
        <f>5.1*X2</f>
        <v>4712.3999999999996</v>
      </c>
      <c r="G520" s="364">
        <f t="shared" ref="G520" si="1327">+F520*$X$1</f>
        <v>4712.3999999999996</v>
      </c>
      <c r="H520" s="108"/>
      <c r="I520" s="364"/>
      <c r="J520" s="108"/>
      <c r="K520" s="364"/>
      <c r="L520" s="108">
        <f>F520+410</f>
        <v>5122.3999999999996</v>
      </c>
      <c r="M520" s="364">
        <f t="shared" ref="M520" si="1328">+L520*$X$1</f>
        <v>5122.3999999999996</v>
      </c>
      <c r="N520" s="108">
        <f>F520+370</f>
        <v>5082.3999999999996</v>
      </c>
      <c r="O520" s="364">
        <f t="shared" ref="O520" si="1329">+N520*$X$1</f>
        <v>5082.3999999999996</v>
      </c>
      <c r="P520" s="108">
        <f>F520+360</f>
        <v>5072.3999999999996</v>
      </c>
      <c r="Q520" s="364">
        <f t="shared" ref="Q520" si="1330">+P520*$X$1</f>
        <v>5072.3999999999996</v>
      </c>
      <c r="R520" s="108">
        <f>F520+330</f>
        <v>5042.3999999999996</v>
      </c>
      <c r="S520" s="364">
        <f t="shared" ref="S520" si="1331">+R520*$X$1</f>
        <v>5042.3999999999996</v>
      </c>
      <c r="T520" s="108">
        <f>F520+290</f>
        <v>5002.3999999999996</v>
      </c>
      <c r="U520" s="364">
        <f t="shared" ref="U520" si="1332">+T520*$X$1</f>
        <v>5002.3999999999996</v>
      </c>
      <c r="V520" s="108">
        <f>F520+240</f>
        <v>4952.3999999999996</v>
      </c>
      <c r="W520" s="364">
        <f t="shared" ref="W520" si="1333">+V520*$X$1</f>
        <v>4952.3999999999996</v>
      </c>
      <c r="X520" s="150"/>
      <c r="Y520" s="145"/>
      <c r="Z520" s="151"/>
      <c r="AA520" s="152"/>
      <c r="AB520" s="522">
        <v>570</v>
      </c>
    </row>
    <row r="521" spans="1:34" ht="12.6" customHeight="1" x14ac:dyDescent="0.2">
      <c r="A521" s="4"/>
      <c r="B521" s="791" t="s">
        <v>872</v>
      </c>
      <c r="C521" s="923"/>
      <c r="D521" s="923"/>
      <c r="E521" s="923"/>
      <c r="F521" s="380">
        <v>26931</v>
      </c>
      <c r="G521" s="380">
        <f t="shared" ref="G521" si="1334">+F521*$X$1</f>
        <v>26931</v>
      </c>
      <c r="H521" s="107">
        <f t="shared" ref="H521:H533" si="1335">F521+2200</f>
        <v>29131</v>
      </c>
      <c r="I521" s="380">
        <f t="shared" ref="I521:I533" si="1336">+H521*$X$1</f>
        <v>29131</v>
      </c>
      <c r="J521" s="107">
        <f t="shared" ref="J521:J533" si="1337">F521+500</f>
        <v>27431</v>
      </c>
      <c r="K521" s="380">
        <f t="shared" ref="K521:K533" si="1338">+J521*$X$1</f>
        <v>27431</v>
      </c>
      <c r="L521" s="107">
        <f t="shared" ref="L521:L533" si="1339">F521+410</f>
        <v>27341</v>
      </c>
      <c r="M521" s="380">
        <f t="shared" ref="M521:M533" si="1340">+L521*$X$1</f>
        <v>27341</v>
      </c>
      <c r="N521" s="107">
        <f t="shared" ref="N521:N533" si="1341">F521+370</f>
        <v>27301</v>
      </c>
      <c r="O521" s="380">
        <f t="shared" ref="O521:O533" si="1342">+N521*$X$1</f>
        <v>27301</v>
      </c>
      <c r="P521" s="107">
        <f t="shared" ref="P521:P533" si="1343">F521+360</f>
        <v>27291</v>
      </c>
      <c r="Q521" s="380">
        <f t="shared" ref="Q521:Q533" si="1344">+P521*$X$1</f>
        <v>27291</v>
      </c>
      <c r="R521" s="107">
        <f t="shared" ref="R521:R533" si="1345">F521+330</f>
        <v>27261</v>
      </c>
      <c r="S521" s="380">
        <f t="shared" ref="S521:S533" si="1346">+R521*$X$1</f>
        <v>27261</v>
      </c>
      <c r="T521" s="107">
        <f t="shared" ref="T521:T533" si="1347">F521+290</f>
        <v>27221</v>
      </c>
      <c r="U521" s="380">
        <f t="shared" ref="U521:U533" si="1348">+T521*$X$1</f>
        <v>27221</v>
      </c>
      <c r="V521" s="107">
        <f t="shared" ref="V521:V533" si="1349">F521+240</f>
        <v>27171</v>
      </c>
      <c r="W521" s="380">
        <f t="shared" ref="W521:W533" si="1350">+V521*$X$1</f>
        <v>27171</v>
      </c>
      <c r="X521" s="150"/>
      <c r="Y521" s="145"/>
      <c r="Z521" s="151"/>
      <c r="AA521" s="152"/>
      <c r="AB521" s="522">
        <v>577</v>
      </c>
    </row>
    <row r="522" spans="1:34" ht="12.6" customHeight="1" x14ac:dyDescent="0.2">
      <c r="A522" s="4"/>
      <c r="B522" s="708" t="s">
        <v>871</v>
      </c>
      <c r="C522" s="751"/>
      <c r="D522" s="751"/>
      <c r="E522" s="751"/>
      <c r="F522" s="478">
        <f>29.9*X2</f>
        <v>27627.599999999999</v>
      </c>
      <c r="G522" s="364">
        <f t="shared" si="1320"/>
        <v>27627.599999999999</v>
      </c>
      <c r="H522" s="108">
        <f t="shared" si="1335"/>
        <v>29827.599999999999</v>
      </c>
      <c r="I522" s="364">
        <f t="shared" si="1336"/>
        <v>29827.599999999999</v>
      </c>
      <c r="J522" s="108">
        <f t="shared" si="1337"/>
        <v>28127.599999999999</v>
      </c>
      <c r="K522" s="364">
        <f t="shared" si="1338"/>
        <v>28127.599999999999</v>
      </c>
      <c r="L522" s="108">
        <f t="shared" si="1339"/>
        <v>28037.599999999999</v>
      </c>
      <c r="M522" s="364">
        <f t="shared" si="1340"/>
        <v>28037.599999999999</v>
      </c>
      <c r="N522" s="108">
        <f t="shared" si="1341"/>
        <v>27997.599999999999</v>
      </c>
      <c r="O522" s="364">
        <f t="shared" si="1342"/>
        <v>27997.599999999999</v>
      </c>
      <c r="P522" s="108">
        <f t="shared" si="1343"/>
        <v>27987.599999999999</v>
      </c>
      <c r="Q522" s="364">
        <f t="shared" si="1344"/>
        <v>27987.599999999999</v>
      </c>
      <c r="R522" s="108">
        <f t="shared" si="1345"/>
        <v>27957.599999999999</v>
      </c>
      <c r="S522" s="364">
        <f t="shared" si="1346"/>
        <v>27957.599999999999</v>
      </c>
      <c r="T522" s="108">
        <f t="shared" si="1347"/>
        <v>27917.599999999999</v>
      </c>
      <c r="U522" s="364">
        <f t="shared" si="1348"/>
        <v>27917.599999999999</v>
      </c>
      <c r="V522" s="108">
        <f t="shared" si="1349"/>
        <v>27867.599999999999</v>
      </c>
      <c r="W522" s="364">
        <f t="shared" si="1350"/>
        <v>27867.599999999999</v>
      </c>
      <c r="X522" s="150"/>
      <c r="Y522" s="145"/>
      <c r="Z522" s="151"/>
      <c r="AA522" s="152"/>
      <c r="AB522" s="522">
        <v>580</v>
      </c>
    </row>
    <row r="523" spans="1:34" ht="12.6" customHeight="1" x14ac:dyDescent="0.2">
      <c r="A523" s="4"/>
      <c r="B523" s="701" t="s">
        <v>870</v>
      </c>
      <c r="C523" s="702"/>
      <c r="D523" s="702"/>
      <c r="E523" s="702"/>
      <c r="F523" s="474">
        <f>31.2*X2</f>
        <v>28828.799999999999</v>
      </c>
      <c r="G523" s="338">
        <f t="shared" si="1320"/>
        <v>28828.799999999999</v>
      </c>
      <c r="H523" s="107">
        <f t="shared" si="1335"/>
        <v>31028.799999999999</v>
      </c>
      <c r="I523" s="380">
        <f t="shared" si="1336"/>
        <v>31028.799999999999</v>
      </c>
      <c r="J523" s="107">
        <f t="shared" si="1337"/>
        <v>29328.799999999999</v>
      </c>
      <c r="K523" s="380">
        <f t="shared" si="1338"/>
        <v>29328.799999999999</v>
      </c>
      <c r="L523" s="107">
        <f t="shared" si="1339"/>
        <v>29238.799999999999</v>
      </c>
      <c r="M523" s="380">
        <f t="shared" si="1340"/>
        <v>29238.799999999999</v>
      </c>
      <c r="N523" s="107">
        <f t="shared" si="1341"/>
        <v>29198.799999999999</v>
      </c>
      <c r="O523" s="380">
        <f t="shared" si="1342"/>
        <v>29198.799999999999</v>
      </c>
      <c r="P523" s="107">
        <f t="shared" si="1343"/>
        <v>29188.799999999999</v>
      </c>
      <c r="Q523" s="380">
        <f t="shared" si="1344"/>
        <v>29188.799999999999</v>
      </c>
      <c r="R523" s="107">
        <f t="shared" si="1345"/>
        <v>29158.799999999999</v>
      </c>
      <c r="S523" s="380">
        <f t="shared" si="1346"/>
        <v>29158.799999999999</v>
      </c>
      <c r="T523" s="107">
        <f t="shared" si="1347"/>
        <v>29118.799999999999</v>
      </c>
      <c r="U523" s="380">
        <f t="shared" si="1348"/>
        <v>29118.799999999999</v>
      </c>
      <c r="V523" s="107">
        <f t="shared" si="1349"/>
        <v>29068.799999999999</v>
      </c>
      <c r="W523" s="380">
        <f t="shared" si="1350"/>
        <v>29068.799999999999</v>
      </c>
      <c r="X523" s="150"/>
      <c r="Y523" s="145"/>
      <c r="Z523" s="151"/>
      <c r="AA523" s="152"/>
      <c r="AB523" s="522">
        <v>582</v>
      </c>
    </row>
    <row r="524" spans="1:34" ht="12.6" customHeight="1" x14ac:dyDescent="0.2">
      <c r="A524" s="4"/>
      <c r="B524" s="708" t="s">
        <v>869</v>
      </c>
      <c r="C524" s="751"/>
      <c r="D524" s="751"/>
      <c r="E524" s="751"/>
      <c r="F524" s="364">
        <v>46191</v>
      </c>
      <c r="G524" s="364">
        <f t="shared" si="1320"/>
        <v>46191</v>
      </c>
      <c r="H524" s="108">
        <f t="shared" si="1335"/>
        <v>48391</v>
      </c>
      <c r="I524" s="364">
        <f t="shared" si="1336"/>
        <v>48391</v>
      </c>
      <c r="J524" s="108">
        <f t="shared" si="1337"/>
        <v>46691</v>
      </c>
      <c r="K524" s="364">
        <f t="shared" si="1338"/>
        <v>46691</v>
      </c>
      <c r="L524" s="108">
        <f t="shared" si="1339"/>
        <v>46601</v>
      </c>
      <c r="M524" s="364">
        <f t="shared" si="1340"/>
        <v>46601</v>
      </c>
      <c r="N524" s="108">
        <f t="shared" si="1341"/>
        <v>46561</v>
      </c>
      <c r="O524" s="364">
        <f t="shared" si="1342"/>
        <v>46561</v>
      </c>
      <c r="P524" s="108">
        <f t="shared" si="1343"/>
        <v>46551</v>
      </c>
      <c r="Q524" s="364">
        <f t="shared" si="1344"/>
        <v>46551</v>
      </c>
      <c r="R524" s="108">
        <f t="shared" si="1345"/>
        <v>46521</v>
      </c>
      <c r="S524" s="364">
        <f t="shared" si="1346"/>
        <v>46521</v>
      </c>
      <c r="T524" s="108">
        <f t="shared" si="1347"/>
        <v>46481</v>
      </c>
      <c r="U524" s="364">
        <f t="shared" si="1348"/>
        <v>46481</v>
      </c>
      <c r="V524" s="108">
        <f t="shared" si="1349"/>
        <v>46431</v>
      </c>
      <c r="W524" s="364">
        <f t="shared" si="1350"/>
        <v>46431</v>
      </c>
      <c r="X524" s="150"/>
      <c r="Y524" s="145"/>
      <c r="Z524" s="151"/>
      <c r="AA524" s="152"/>
      <c r="AB524" s="522">
        <v>584</v>
      </c>
    </row>
    <row r="525" spans="1:34" ht="12.6" customHeight="1" x14ac:dyDescent="0.2">
      <c r="A525" s="4"/>
      <c r="B525" s="731" t="s">
        <v>882</v>
      </c>
      <c r="C525" s="732"/>
      <c r="D525" s="732"/>
      <c r="E525" s="733"/>
      <c r="F525" s="383">
        <v>38100</v>
      </c>
      <c r="G525" s="338">
        <f t="shared" si="1320"/>
        <v>38100</v>
      </c>
      <c r="H525" s="107"/>
      <c r="I525" s="380"/>
      <c r="J525" s="107">
        <f t="shared" si="1337"/>
        <v>38600</v>
      </c>
      <c r="K525" s="380">
        <f t="shared" si="1338"/>
        <v>38600</v>
      </c>
      <c r="L525" s="107">
        <f t="shared" si="1339"/>
        <v>38510</v>
      </c>
      <c r="M525" s="380">
        <f t="shared" si="1340"/>
        <v>38510</v>
      </c>
      <c r="N525" s="107">
        <f t="shared" si="1341"/>
        <v>38470</v>
      </c>
      <c r="O525" s="380">
        <f t="shared" si="1342"/>
        <v>38470</v>
      </c>
      <c r="P525" s="107">
        <f t="shared" si="1343"/>
        <v>38460</v>
      </c>
      <c r="Q525" s="380">
        <f t="shared" si="1344"/>
        <v>38460</v>
      </c>
      <c r="R525" s="107">
        <f t="shared" si="1345"/>
        <v>38430</v>
      </c>
      <c r="S525" s="380">
        <f t="shared" si="1346"/>
        <v>38430</v>
      </c>
      <c r="T525" s="107">
        <f t="shared" si="1347"/>
        <v>38390</v>
      </c>
      <c r="U525" s="380">
        <f t="shared" si="1348"/>
        <v>38390</v>
      </c>
      <c r="V525" s="107">
        <f t="shared" si="1349"/>
        <v>38340</v>
      </c>
      <c r="W525" s="380">
        <f t="shared" si="1350"/>
        <v>38340</v>
      </c>
      <c r="X525" s="150"/>
      <c r="Y525" s="145"/>
      <c r="Z525" s="151"/>
      <c r="AA525" s="152"/>
      <c r="AB525" s="522">
        <v>599</v>
      </c>
    </row>
    <row r="526" spans="1:34" ht="12.6" customHeight="1" x14ac:dyDescent="0.2">
      <c r="A526" s="4"/>
      <c r="B526" s="681" t="s">
        <v>868</v>
      </c>
      <c r="C526" s="682"/>
      <c r="D526" s="682"/>
      <c r="E526" s="683"/>
      <c r="F526" s="472">
        <f>24.6*X2</f>
        <v>22730.400000000001</v>
      </c>
      <c r="G526" s="337">
        <f t="shared" si="1320"/>
        <v>22730.400000000001</v>
      </c>
      <c r="H526" s="108">
        <f t="shared" si="1335"/>
        <v>24930.400000000001</v>
      </c>
      <c r="I526" s="364">
        <f t="shared" si="1336"/>
        <v>24930.400000000001</v>
      </c>
      <c r="J526" s="108">
        <f t="shared" si="1337"/>
        <v>23230.400000000001</v>
      </c>
      <c r="K526" s="364">
        <f t="shared" si="1338"/>
        <v>23230.400000000001</v>
      </c>
      <c r="L526" s="108">
        <f t="shared" si="1339"/>
        <v>23140.400000000001</v>
      </c>
      <c r="M526" s="364">
        <f t="shared" si="1340"/>
        <v>23140.400000000001</v>
      </c>
      <c r="N526" s="108">
        <f t="shared" si="1341"/>
        <v>23100.400000000001</v>
      </c>
      <c r="O526" s="364">
        <f t="shared" si="1342"/>
        <v>23100.400000000001</v>
      </c>
      <c r="P526" s="108">
        <f t="shared" si="1343"/>
        <v>23090.400000000001</v>
      </c>
      <c r="Q526" s="364">
        <f t="shared" si="1344"/>
        <v>23090.400000000001</v>
      </c>
      <c r="R526" s="108">
        <f t="shared" si="1345"/>
        <v>23060.400000000001</v>
      </c>
      <c r="S526" s="364">
        <f t="shared" si="1346"/>
        <v>23060.400000000001</v>
      </c>
      <c r="T526" s="108">
        <f t="shared" si="1347"/>
        <v>23020.400000000001</v>
      </c>
      <c r="U526" s="364">
        <f t="shared" si="1348"/>
        <v>23020.400000000001</v>
      </c>
      <c r="V526" s="108">
        <f t="shared" si="1349"/>
        <v>22970.400000000001</v>
      </c>
      <c r="W526" s="364">
        <f t="shared" si="1350"/>
        <v>22970.400000000001</v>
      </c>
      <c r="X526" s="150"/>
      <c r="Y526" s="145"/>
      <c r="Z526" s="151"/>
      <c r="AA526" s="152"/>
      <c r="AB526" s="522">
        <v>600</v>
      </c>
    </row>
    <row r="527" spans="1:34" ht="12.6" customHeight="1" x14ac:dyDescent="0.2">
      <c r="A527" s="4"/>
      <c r="B527" s="731" t="s">
        <v>873</v>
      </c>
      <c r="C527" s="732"/>
      <c r="D527" s="732"/>
      <c r="E527" s="733"/>
      <c r="F527" s="474">
        <f>74.5*X2</f>
        <v>68838</v>
      </c>
      <c r="G527" s="338">
        <f t="shared" ref="G527:G528" si="1351">+F527*$X$1</f>
        <v>68838</v>
      </c>
      <c r="H527" s="107">
        <f t="shared" si="1335"/>
        <v>71038</v>
      </c>
      <c r="I527" s="380">
        <f t="shared" si="1336"/>
        <v>71038</v>
      </c>
      <c r="J527" s="107">
        <f t="shared" si="1337"/>
        <v>69338</v>
      </c>
      <c r="K527" s="380">
        <f t="shared" si="1338"/>
        <v>69338</v>
      </c>
      <c r="L527" s="107">
        <f t="shared" si="1339"/>
        <v>69248</v>
      </c>
      <c r="M527" s="380">
        <f t="shared" si="1340"/>
        <v>69248</v>
      </c>
      <c r="N527" s="107">
        <f t="shared" si="1341"/>
        <v>69208</v>
      </c>
      <c r="O527" s="380">
        <f t="shared" si="1342"/>
        <v>69208</v>
      </c>
      <c r="P527" s="107">
        <f t="shared" si="1343"/>
        <v>69198</v>
      </c>
      <c r="Q527" s="380">
        <f t="shared" si="1344"/>
        <v>69198</v>
      </c>
      <c r="R527" s="107">
        <f t="shared" si="1345"/>
        <v>69168</v>
      </c>
      <c r="S527" s="380">
        <f t="shared" si="1346"/>
        <v>69168</v>
      </c>
      <c r="T527" s="107">
        <f t="shared" si="1347"/>
        <v>69128</v>
      </c>
      <c r="U527" s="380">
        <f t="shared" si="1348"/>
        <v>69128</v>
      </c>
      <c r="V527" s="107">
        <f t="shared" si="1349"/>
        <v>69078</v>
      </c>
      <c r="W527" s="380">
        <f t="shared" si="1350"/>
        <v>69078</v>
      </c>
      <c r="X527" s="150"/>
      <c r="Y527" s="145"/>
      <c r="Z527" s="151"/>
      <c r="AA527" s="152"/>
      <c r="AB527" s="522">
        <v>605</v>
      </c>
    </row>
    <row r="528" spans="1:34" ht="12.6" customHeight="1" x14ac:dyDescent="0.2">
      <c r="A528" s="4"/>
      <c r="B528" s="909" t="s">
        <v>892</v>
      </c>
      <c r="C528" s="948"/>
      <c r="D528" s="948"/>
      <c r="E528" s="949"/>
      <c r="F528" s="475">
        <f>53.4*X2</f>
        <v>49341.599999999999</v>
      </c>
      <c r="G528" s="337">
        <f t="shared" si="1351"/>
        <v>49341.599999999999</v>
      </c>
      <c r="H528" s="108">
        <f t="shared" ref="H528" si="1352">F528+2200</f>
        <v>51541.599999999999</v>
      </c>
      <c r="I528" s="364">
        <f t="shared" ref="I528" si="1353">+H528*$X$1</f>
        <v>51541.599999999999</v>
      </c>
      <c r="J528" s="108">
        <f t="shared" ref="J528" si="1354">F528+500</f>
        <v>49841.599999999999</v>
      </c>
      <c r="K528" s="364">
        <f t="shared" ref="K528" si="1355">+J528*$X$1</f>
        <v>49841.599999999999</v>
      </c>
      <c r="L528" s="108">
        <f t="shared" ref="L528" si="1356">F528+410</f>
        <v>49751.6</v>
      </c>
      <c r="M528" s="364">
        <f t="shared" ref="M528" si="1357">+L528*$X$1</f>
        <v>49751.6</v>
      </c>
      <c r="N528" s="108">
        <f t="shared" ref="N528" si="1358">F528+370</f>
        <v>49711.6</v>
      </c>
      <c r="O528" s="364">
        <f t="shared" ref="O528" si="1359">+N528*$X$1</f>
        <v>49711.6</v>
      </c>
      <c r="P528" s="108">
        <f t="shared" ref="P528" si="1360">F528+360</f>
        <v>49701.599999999999</v>
      </c>
      <c r="Q528" s="364">
        <f t="shared" ref="Q528" si="1361">+P528*$X$1</f>
        <v>49701.599999999999</v>
      </c>
      <c r="R528" s="108">
        <f t="shared" ref="R528" si="1362">F528+330</f>
        <v>49671.6</v>
      </c>
      <c r="S528" s="364">
        <f t="shared" ref="S528" si="1363">+R528*$X$1</f>
        <v>49671.6</v>
      </c>
      <c r="T528" s="108">
        <f t="shared" ref="T528" si="1364">F528+290</f>
        <v>49631.6</v>
      </c>
      <c r="U528" s="364">
        <f t="shared" ref="U528" si="1365">+T528*$X$1</f>
        <v>49631.6</v>
      </c>
      <c r="V528" s="108">
        <f t="shared" ref="V528" si="1366">F528+240</f>
        <v>49581.599999999999</v>
      </c>
      <c r="W528" s="364">
        <f t="shared" ref="W528" si="1367">+V528*$X$1</f>
        <v>49581.599999999999</v>
      </c>
      <c r="X528" s="150"/>
      <c r="Y528" s="145"/>
      <c r="Z528" s="151"/>
      <c r="AA528" s="152"/>
      <c r="AB528" s="522">
        <v>608</v>
      </c>
    </row>
    <row r="529" spans="1:28" ht="12.6" customHeight="1" x14ac:dyDescent="0.2">
      <c r="A529" s="4"/>
      <c r="B529" s="731" t="s">
        <v>874</v>
      </c>
      <c r="C529" s="732"/>
      <c r="D529" s="732"/>
      <c r="E529" s="733"/>
      <c r="F529" s="474">
        <f>47.5*X2</f>
        <v>43890</v>
      </c>
      <c r="G529" s="338">
        <f t="shared" ref="G529:G530" si="1368">+F529*$X$1</f>
        <v>43890</v>
      </c>
      <c r="H529" s="107">
        <f t="shared" si="1335"/>
        <v>46090</v>
      </c>
      <c r="I529" s="380">
        <f t="shared" si="1336"/>
        <v>46090</v>
      </c>
      <c r="J529" s="107">
        <f t="shared" si="1337"/>
        <v>44390</v>
      </c>
      <c r="K529" s="380">
        <f t="shared" si="1338"/>
        <v>44390</v>
      </c>
      <c r="L529" s="107">
        <f t="shared" si="1339"/>
        <v>44300</v>
      </c>
      <c r="M529" s="380">
        <f t="shared" si="1340"/>
        <v>44300</v>
      </c>
      <c r="N529" s="107">
        <f t="shared" si="1341"/>
        <v>44260</v>
      </c>
      <c r="O529" s="380">
        <f t="shared" si="1342"/>
        <v>44260</v>
      </c>
      <c r="P529" s="107">
        <f t="shared" si="1343"/>
        <v>44250</v>
      </c>
      <c r="Q529" s="380">
        <f t="shared" si="1344"/>
        <v>44250</v>
      </c>
      <c r="R529" s="107">
        <f t="shared" si="1345"/>
        <v>44220</v>
      </c>
      <c r="S529" s="380">
        <f t="shared" si="1346"/>
        <v>44220</v>
      </c>
      <c r="T529" s="107">
        <f t="shared" si="1347"/>
        <v>44180</v>
      </c>
      <c r="U529" s="380">
        <f t="shared" si="1348"/>
        <v>44180</v>
      </c>
      <c r="V529" s="107">
        <f t="shared" si="1349"/>
        <v>44130</v>
      </c>
      <c r="W529" s="380">
        <f t="shared" si="1350"/>
        <v>44130</v>
      </c>
      <c r="X529" s="150"/>
      <c r="Y529" s="145"/>
      <c r="Z529" s="151"/>
      <c r="AA529" s="152"/>
      <c r="AB529" s="522">
        <v>609</v>
      </c>
    </row>
    <row r="530" spans="1:28" ht="12.6" customHeight="1" x14ac:dyDescent="0.2">
      <c r="A530" s="4"/>
      <c r="B530" s="909" t="s">
        <v>875</v>
      </c>
      <c r="C530" s="948"/>
      <c r="D530" s="948"/>
      <c r="E530" s="949"/>
      <c r="F530" s="475">
        <f>55*X2</f>
        <v>50820</v>
      </c>
      <c r="G530" s="337">
        <f t="shared" si="1368"/>
        <v>50820</v>
      </c>
      <c r="H530" s="108">
        <f t="shared" si="1335"/>
        <v>53020</v>
      </c>
      <c r="I530" s="364">
        <f t="shared" si="1336"/>
        <v>53020</v>
      </c>
      <c r="J530" s="108">
        <f t="shared" si="1337"/>
        <v>51320</v>
      </c>
      <c r="K530" s="364">
        <f t="shared" si="1338"/>
        <v>51320</v>
      </c>
      <c r="L530" s="108">
        <f t="shared" si="1339"/>
        <v>51230</v>
      </c>
      <c r="M530" s="364">
        <f t="shared" si="1340"/>
        <v>51230</v>
      </c>
      <c r="N530" s="108">
        <f t="shared" si="1341"/>
        <v>51190</v>
      </c>
      <c r="O530" s="364">
        <f t="shared" si="1342"/>
        <v>51190</v>
      </c>
      <c r="P530" s="108">
        <f t="shared" si="1343"/>
        <v>51180</v>
      </c>
      <c r="Q530" s="364">
        <f t="shared" si="1344"/>
        <v>51180</v>
      </c>
      <c r="R530" s="108">
        <f t="shared" si="1345"/>
        <v>51150</v>
      </c>
      <c r="S530" s="364">
        <f t="shared" si="1346"/>
        <v>51150</v>
      </c>
      <c r="T530" s="108">
        <f t="shared" si="1347"/>
        <v>51110</v>
      </c>
      <c r="U530" s="364">
        <f t="shared" si="1348"/>
        <v>51110</v>
      </c>
      <c r="V530" s="108">
        <f t="shared" si="1349"/>
        <v>51060</v>
      </c>
      <c r="W530" s="364">
        <f t="shared" si="1350"/>
        <v>51060</v>
      </c>
      <c r="X530" s="150"/>
      <c r="Y530" s="145"/>
      <c r="Z530" s="151"/>
      <c r="AA530" s="152"/>
      <c r="AB530" s="522">
        <v>611</v>
      </c>
    </row>
    <row r="531" spans="1:28" ht="12.6" customHeight="1" x14ac:dyDescent="0.2">
      <c r="A531" s="4"/>
      <c r="B531" s="731" t="s">
        <v>726</v>
      </c>
      <c r="C531" s="732"/>
      <c r="D531" s="732"/>
      <c r="E531" s="733"/>
      <c r="F531" s="338">
        <v>5170</v>
      </c>
      <c r="G531" s="338">
        <f>+F531*$X$1</f>
        <v>5170</v>
      </c>
      <c r="H531" s="107"/>
      <c r="I531" s="380"/>
      <c r="J531" s="107"/>
      <c r="K531" s="380"/>
      <c r="L531" s="107">
        <f t="shared" si="1339"/>
        <v>5580</v>
      </c>
      <c r="M531" s="380">
        <f t="shared" si="1340"/>
        <v>5580</v>
      </c>
      <c r="N531" s="107">
        <f t="shared" si="1341"/>
        <v>5540</v>
      </c>
      <c r="O531" s="380">
        <f t="shared" si="1342"/>
        <v>5540</v>
      </c>
      <c r="P531" s="107">
        <f t="shared" si="1343"/>
        <v>5530</v>
      </c>
      <c r="Q531" s="380">
        <f t="shared" si="1344"/>
        <v>5530</v>
      </c>
      <c r="R531" s="107">
        <f t="shared" si="1345"/>
        <v>5500</v>
      </c>
      <c r="S531" s="380">
        <f t="shared" si="1346"/>
        <v>5500</v>
      </c>
      <c r="T531" s="107">
        <f t="shared" si="1347"/>
        <v>5460</v>
      </c>
      <c r="U531" s="380">
        <f t="shared" si="1348"/>
        <v>5460</v>
      </c>
      <c r="V531" s="107">
        <f t="shared" si="1349"/>
        <v>5410</v>
      </c>
      <c r="W531" s="380">
        <f t="shared" si="1350"/>
        <v>5410</v>
      </c>
      <c r="X531" s="150"/>
      <c r="Y531" s="145"/>
      <c r="Z531" s="151"/>
      <c r="AA531" s="152"/>
      <c r="AB531" s="208">
        <v>641</v>
      </c>
    </row>
    <row r="532" spans="1:28" ht="12.6" customHeight="1" x14ac:dyDescent="0.2">
      <c r="A532" s="4"/>
      <c r="B532" s="909" t="s">
        <v>727</v>
      </c>
      <c r="C532" s="948"/>
      <c r="D532" s="948"/>
      <c r="E532" s="949"/>
      <c r="F532" s="475">
        <f>6*X2</f>
        <v>5544</v>
      </c>
      <c r="G532" s="337">
        <f t="shared" ref="G532" si="1369">+F532*$X$1</f>
        <v>5544</v>
      </c>
      <c r="H532" s="108">
        <f t="shared" si="1335"/>
        <v>7744</v>
      </c>
      <c r="I532" s="364">
        <f t="shared" si="1336"/>
        <v>7744</v>
      </c>
      <c r="J532" s="108">
        <f t="shared" si="1337"/>
        <v>6044</v>
      </c>
      <c r="K532" s="364">
        <f t="shared" si="1338"/>
        <v>6044</v>
      </c>
      <c r="L532" s="108">
        <f t="shared" si="1339"/>
        <v>5954</v>
      </c>
      <c r="M532" s="364">
        <f t="shared" si="1340"/>
        <v>5954</v>
      </c>
      <c r="N532" s="108">
        <f t="shared" si="1341"/>
        <v>5914</v>
      </c>
      <c r="O532" s="364">
        <f t="shared" si="1342"/>
        <v>5914</v>
      </c>
      <c r="P532" s="108">
        <f t="shared" si="1343"/>
        <v>5904</v>
      </c>
      <c r="Q532" s="364">
        <f t="shared" si="1344"/>
        <v>5904</v>
      </c>
      <c r="R532" s="108">
        <f t="shared" si="1345"/>
        <v>5874</v>
      </c>
      <c r="S532" s="364">
        <f t="shared" si="1346"/>
        <v>5874</v>
      </c>
      <c r="T532" s="108">
        <f t="shared" si="1347"/>
        <v>5834</v>
      </c>
      <c r="U532" s="364">
        <f t="shared" si="1348"/>
        <v>5834</v>
      </c>
      <c r="V532" s="108">
        <f t="shared" si="1349"/>
        <v>5784</v>
      </c>
      <c r="W532" s="364">
        <f t="shared" si="1350"/>
        <v>5784</v>
      </c>
      <c r="X532" s="150"/>
      <c r="Y532" s="145"/>
      <c r="Z532" s="151"/>
      <c r="AA532" s="152"/>
      <c r="AB532" s="208">
        <v>642</v>
      </c>
    </row>
    <row r="533" spans="1:28" ht="12.6" customHeight="1" x14ac:dyDescent="0.2">
      <c r="A533" s="4"/>
      <c r="B533" s="731" t="s">
        <v>728</v>
      </c>
      <c r="C533" s="732"/>
      <c r="D533" s="732"/>
      <c r="E533" s="733"/>
      <c r="F533" s="474">
        <f>26.55*X2</f>
        <v>24532.2</v>
      </c>
      <c r="G533" s="338">
        <f t="shared" ref="G533" si="1370">+F533*$X$1</f>
        <v>24532.2</v>
      </c>
      <c r="H533" s="107">
        <f t="shared" si="1335"/>
        <v>26732.2</v>
      </c>
      <c r="I533" s="380">
        <f t="shared" si="1336"/>
        <v>26732.2</v>
      </c>
      <c r="J533" s="107">
        <f t="shared" si="1337"/>
        <v>25032.2</v>
      </c>
      <c r="K533" s="380">
        <f t="shared" si="1338"/>
        <v>25032.2</v>
      </c>
      <c r="L533" s="107">
        <f t="shared" si="1339"/>
        <v>24942.2</v>
      </c>
      <c r="M533" s="380">
        <f t="shared" si="1340"/>
        <v>24942.2</v>
      </c>
      <c r="N533" s="107">
        <f t="shared" si="1341"/>
        <v>24902.2</v>
      </c>
      <c r="O533" s="380">
        <f t="shared" si="1342"/>
        <v>24902.2</v>
      </c>
      <c r="P533" s="107">
        <f t="shared" si="1343"/>
        <v>24892.2</v>
      </c>
      <c r="Q533" s="380">
        <f t="shared" si="1344"/>
        <v>24892.2</v>
      </c>
      <c r="R533" s="107">
        <f t="shared" si="1345"/>
        <v>24862.2</v>
      </c>
      <c r="S533" s="380">
        <f t="shared" si="1346"/>
        <v>24862.2</v>
      </c>
      <c r="T533" s="107">
        <f t="shared" si="1347"/>
        <v>24822.2</v>
      </c>
      <c r="U533" s="380">
        <f t="shared" si="1348"/>
        <v>24822.2</v>
      </c>
      <c r="V533" s="107">
        <f t="shared" si="1349"/>
        <v>24772.2</v>
      </c>
      <c r="W533" s="380">
        <f t="shared" si="1350"/>
        <v>24772.2</v>
      </c>
      <c r="X533" s="150"/>
      <c r="Y533" s="145"/>
      <c r="Z533" s="151"/>
      <c r="AA533" s="152"/>
      <c r="AB533" s="208">
        <v>643</v>
      </c>
    </row>
    <row r="534" spans="1:28" ht="12.6" customHeight="1" x14ac:dyDescent="0.2">
      <c r="A534" s="4"/>
      <c r="B534" s="909" t="s">
        <v>876</v>
      </c>
      <c r="C534" s="948"/>
      <c r="D534" s="948"/>
      <c r="E534" s="949"/>
      <c r="F534" s="472">
        <f>42.332*X2</f>
        <v>39114.768000000004</v>
      </c>
      <c r="G534" s="337">
        <f t="shared" si="1320"/>
        <v>39114.768000000004</v>
      </c>
      <c r="H534" s="108">
        <f t="shared" ref="H534" si="1371">F534+2200</f>
        <v>41314.768000000004</v>
      </c>
      <c r="I534" s="364">
        <f t="shared" ref="I534" si="1372">+H534*$X$1</f>
        <v>41314.768000000004</v>
      </c>
      <c r="J534" s="108">
        <f t="shared" ref="J534" si="1373">F534+500</f>
        <v>39614.768000000004</v>
      </c>
      <c r="K534" s="364">
        <f t="shared" ref="K534" si="1374">+J534*$X$1</f>
        <v>39614.768000000004</v>
      </c>
      <c r="L534" s="108">
        <f t="shared" ref="L534" si="1375">F534+410</f>
        <v>39524.768000000004</v>
      </c>
      <c r="M534" s="364">
        <f t="shared" ref="M534" si="1376">+L534*$X$1</f>
        <v>39524.768000000004</v>
      </c>
      <c r="N534" s="108">
        <f t="shared" ref="N534" si="1377">F534+370</f>
        <v>39484.768000000004</v>
      </c>
      <c r="O534" s="364">
        <f t="shared" ref="O534" si="1378">+N534*$X$1</f>
        <v>39484.768000000004</v>
      </c>
      <c r="P534" s="108">
        <f t="shared" ref="P534" si="1379">F534+360</f>
        <v>39474.768000000004</v>
      </c>
      <c r="Q534" s="364">
        <f t="shared" ref="Q534" si="1380">+P534*$X$1</f>
        <v>39474.768000000004</v>
      </c>
      <c r="R534" s="108">
        <f t="shared" ref="R534" si="1381">F534+330</f>
        <v>39444.768000000004</v>
      </c>
      <c r="S534" s="364">
        <f t="shared" ref="S534" si="1382">+R534*$X$1</f>
        <v>39444.768000000004</v>
      </c>
      <c r="T534" s="108">
        <f t="shared" ref="T534" si="1383">F534+290</f>
        <v>39404.768000000004</v>
      </c>
      <c r="U534" s="364">
        <f t="shared" ref="U534" si="1384">+T534*$X$1</f>
        <v>39404.768000000004</v>
      </c>
      <c r="V534" s="108">
        <f t="shared" ref="V534" si="1385">F534+240</f>
        <v>39354.768000000004</v>
      </c>
      <c r="W534" s="364">
        <f t="shared" ref="W534" si="1386">+V534*$X$1</f>
        <v>39354.768000000004</v>
      </c>
      <c r="X534" s="150"/>
      <c r="Y534" s="145"/>
      <c r="Z534" s="151"/>
      <c r="AA534" s="152"/>
      <c r="AB534" s="522">
        <v>657</v>
      </c>
    </row>
    <row r="535" spans="1:28" ht="12.6" customHeight="1" x14ac:dyDescent="0.2">
      <c r="A535" s="4"/>
      <c r="B535" s="731" t="s">
        <v>877</v>
      </c>
      <c r="C535" s="732"/>
      <c r="D535" s="732"/>
      <c r="E535" s="733"/>
      <c r="F535" s="473">
        <f>36.045*X2</f>
        <v>33305.58</v>
      </c>
      <c r="G535" s="338">
        <f t="shared" ref="G535:G537" si="1387">+F535*$X$1</f>
        <v>33305.58</v>
      </c>
      <c r="H535" s="107">
        <f t="shared" ref="H535:H552" si="1388">F535+2200</f>
        <v>35505.58</v>
      </c>
      <c r="I535" s="380">
        <f t="shared" ref="I535:I552" si="1389">+H535*$X$1</f>
        <v>35505.58</v>
      </c>
      <c r="J535" s="107">
        <f t="shared" ref="J535:J552" si="1390">F535+500</f>
        <v>33805.58</v>
      </c>
      <c r="K535" s="380">
        <f t="shared" ref="K535:K552" si="1391">+J535*$X$1</f>
        <v>33805.58</v>
      </c>
      <c r="L535" s="107">
        <f t="shared" ref="L535:L552" si="1392">F535+410</f>
        <v>33715.58</v>
      </c>
      <c r="M535" s="380">
        <f t="shared" ref="M535:M552" si="1393">+L535*$X$1</f>
        <v>33715.58</v>
      </c>
      <c r="N535" s="107">
        <f t="shared" ref="N535:N552" si="1394">F535+370</f>
        <v>33675.58</v>
      </c>
      <c r="O535" s="380">
        <f t="shared" ref="O535:O552" si="1395">+N535*$X$1</f>
        <v>33675.58</v>
      </c>
      <c r="P535" s="107">
        <f t="shared" ref="P535:P552" si="1396">F535+360</f>
        <v>33665.58</v>
      </c>
      <c r="Q535" s="380">
        <f t="shared" ref="Q535:Q552" si="1397">+P535*$X$1</f>
        <v>33665.58</v>
      </c>
      <c r="R535" s="107">
        <f t="shared" ref="R535:R552" si="1398">F535+330</f>
        <v>33635.58</v>
      </c>
      <c r="S535" s="380">
        <f t="shared" ref="S535:S552" si="1399">+R535*$X$1</f>
        <v>33635.58</v>
      </c>
      <c r="T535" s="107">
        <f t="shared" ref="T535:T552" si="1400">F535+290</f>
        <v>33595.58</v>
      </c>
      <c r="U535" s="380">
        <f t="shared" ref="U535:U552" si="1401">+T535*$X$1</f>
        <v>33595.58</v>
      </c>
      <c r="V535" s="107">
        <f t="shared" ref="V535:V552" si="1402">F535+240</f>
        <v>33545.58</v>
      </c>
      <c r="W535" s="380">
        <f t="shared" ref="W535:W552" si="1403">+V535*$X$1</f>
        <v>33545.58</v>
      </c>
      <c r="X535" s="150"/>
      <c r="Y535" s="145"/>
      <c r="Z535" s="151"/>
      <c r="AA535" s="152"/>
      <c r="AB535" s="522">
        <v>658</v>
      </c>
    </row>
    <row r="536" spans="1:28" ht="12.6" customHeight="1" x14ac:dyDescent="0.2">
      <c r="A536" s="4"/>
      <c r="B536" s="909" t="s">
        <v>878</v>
      </c>
      <c r="C536" s="948"/>
      <c r="D536" s="948"/>
      <c r="E536" s="949"/>
      <c r="F536" s="472">
        <f>28.5*X2</f>
        <v>26334</v>
      </c>
      <c r="G536" s="337">
        <f t="shared" si="1387"/>
        <v>26334</v>
      </c>
      <c r="H536" s="108">
        <f t="shared" si="1388"/>
        <v>28534</v>
      </c>
      <c r="I536" s="364">
        <f t="shared" si="1389"/>
        <v>28534</v>
      </c>
      <c r="J536" s="108">
        <f t="shared" si="1390"/>
        <v>26834</v>
      </c>
      <c r="K536" s="364">
        <f t="shared" si="1391"/>
        <v>26834</v>
      </c>
      <c r="L536" s="108">
        <f t="shared" si="1392"/>
        <v>26744</v>
      </c>
      <c r="M536" s="364">
        <f t="shared" si="1393"/>
        <v>26744</v>
      </c>
      <c r="N536" s="108">
        <f t="shared" si="1394"/>
        <v>26704</v>
      </c>
      <c r="O536" s="364">
        <f t="shared" si="1395"/>
        <v>26704</v>
      </c>
      <c r="P536" s="108">
        <f t="shared" si="1396"/>
        <v>26694</v>
      </c>
      <c r="Q536" s="364">
        <f t="shared" si="1397"/>
        <v>26694</v>
      </c>
      <c r="R536" s="108">
        <f t="shared" si="1398"/>
        <v>26664</v>
      </c>
      <c r="S536" s="364">
        <f t="shared" si="1399"/>
        <v>26664</v>
      </c>
      <c r="T536" s="108">
        <f t="shared" si="1400"/>
        <v>26624</v>
      </c>
      <c r="U536" s="364">
        <f t="shared" si="1401"/>
        <v>26624</v>
      </c>
      <c r="V536" s="108">
        <f t="shared" si="1402"/>
        <v>26574</v>
      </c>
      <c r="W536" s="364">
        <f t="shared" si="1403"/>
        <v>26574</v>
      </c>
      <c r="X536" s="150"/>
      <c r="Y536" s="145"/>
      <c r="Z536" s="151"/>
      <c r="AA536" s="152"/>
      <c r="AB536" s="522">
        <v>659</v>
      </c>
    </row>
    <row r="537" spans="1:28" ht="12.6" customHeight="1" x14ac:dyDescent="0.2">
      <c r="A537" s="4"/>
      <c r="B537" s="731" t="s">
        <v>879</v>
      </c>
      <c r="C537" s="732"/>
      <c r="D537" s="732"/>
      <c r="E537" s="733"/>
      <c r="F537" s="473">
        <f>13.1*X2</f>
        <v>12104.4</v>
      </c>
      <c r="G537" s="338">
        <f t="shared" si="1387"/>
        <v>12104.4</v>
      </c>
      <c r="H537" s="107">
        <f t="shared" si="1388"/>
        <v>14304.4</v>
      </c>
      <c r="I537" s="380">
        <f t="shared" si="1389"/>
        <v>14304.4</v>
      </c>
      <c r="J537" s="107">
        <f t="shared" si="1390"/>
        <v>12604.4</v>
      </c>
      <c r="K537" s="380">
        <f t="shared" si="1391"/>
        <v>12604.4</v>
      </c>
      <c r="L537" s="107">
        <f t="shared" si="1392"/>
        <v>12514.4</v>
      </c>
      <c r="M537" s="380">
        <f t="shared" si="1393"/>
        <v>12514.4</v>
      </c>
      <c r="N537" s="107">
        <f t="shared" si="1394"/>
        <v>12474.4</v>
      </c>
      <c r="O537" s="380">
        <f t="shared" si="1395"/>
        <v>12474.4</v>
      </c>
      <c r="P537" s="107">
        <f t="shared" si="1396"/>
        <v>12464.4</v>
      </c>
      <c r="Q537" s="380">
        <f t="shared" si="1397"/>
        <v>12464.4</v>
      </c>
      <c r="R537" s="107">
        <f t="shared" si="1398"/>
        <v>12434.4</v>
      </c>
      <c r="S537" s="380">
        <f t="shared" si="1399"/>
        <v>12434.4</v>
      </c>
      <c r="T537" s="107">
        <f t="shared" si="1400"/>
        <v>12394.4</v>
      </c>
      <c r="U537" s="380">
        <f t="shared" si="1401"/>
        <v>12394.4</v>
      </c>
      <c r="V537" s="107">
        <f t="shared" si="1402"/>
        <v>12344.4</v>
      </c>
      <c r="W537" s="380">
        <f t="shared" si="1403"/>
        <v>12344.4</v>
      </c>
      <c r="X537" s="150"/>
      <c r="Y537" s="145"/>
      <c r="Z537" s="151"/>
      <c r="AA537" s="152"/>
      <c r="AB537" s="522">
        <v>660</v>
      </c>
    </row>
    <row r="538" spans="1:28" ht="12.6" customHeight="1" x14ac:dyDescent="0.2">
      <c r="A538" s="4"/>
      <c r="B538" s="909" t="s">
        <v>702</v>
      </c>
      <c r="C538" s="948"/>
      <c r="D538" s="948"/>
      <c r="E538" s="949"/>
      <c r="F538" s="337">
        <v>8100</v>
      </c>
      <c r="G538" s="337">
        <f t="shared" ref="G538:G544" si="1404">+F538*$X$1</f>
        <v>8100</v>
      </c>
      <c r="H538" s="108"/>
      <c r="I538" s="364"/>
      <c r="J538" s="108">
        <f t="shared" si="1390"/>
        <v>8600</v>
      </c>
      <c r="K538" s="364">
        <f t="shared" si="1391"/>
        <v>8600</v>
      </c>
      <c r="L538" s="108">
        <f t="shared" si="1392"/>
        <v>8510</v>
      </c>
      <c r="M538" s="364">
        <f t="shared" si="1393"/>
        <v>8510</v>
      </c>
      <c r="N538" s="108">
        <f t="shared" si="1394"/>
        <v>8470</v>
      </c>
      <c r="O538" s="364">
        <f t="shared" si="1395"/>
        <v>8470</v>
      </c>
      <c r="P538" s="108">
        <f t="shared" si="1396"/>
        <v>8460</v>
      </c>
      <c r="Q538" s="364">
        <f t="shared" si="1397"/>
        <v>8460</v>
      </c>
      <c r="R538" s="108">
        <f t="shared" si="1398"/>
        <v>8430</v>
      </c>
      <c r="S538" s="364">
        <f t="shared" si="1399"/>
        <v>8430</v>
      </c>
      <c r="T538" s="108">
        <f t="shared" si="1400"/>
        <v>8390</v>
      </c>
      <c r="U538" s="364">
        <f t="shared" si="1401"/>
        <v>8390</v>
      </c>
      <c r="V538" s="108">
        <f t="shared" si="1402"/>
        <v>8340</v>
      </c>
      <c r="W538" s="364">
        <f t="shared" si="1403"/>
        <v>8340</v>
      </c>
      <c r="X538" s="150"/>
      <c r="Y538" s="145"/>
      <c r="Z538" s="151"/>
      <c r="AA538" s="152"/>
      <c r="AB538" s="522">
        <v>661</v>
      </c>
    </row>
    <row r="539" spans="1:28" ht="12.6" customHeight="1" x14ac:dyDescent="0.2">
      <c r="A539" s="4"/>
      <c r="B539" s="731" t="s">
        <v>703</v>
      </c>
      <c r="C539" s="732"/>
      <c r="D539" s="732"/>
      <c r="E539" s="733"/>
      <c r="F539" s="338">
        <v>31720</v>
      </c>
      <c r="G539" s="338">
        <f t="shared" si="1404"/>
        <v>31720</v>
      </c>
      <c r="H539" s="107"/>
      <c r="I539" s="380"/>
      <c r="J539" s="107">
        <f t="shared" si="1390"/>
        <v>32220</v>
      </c>
      <c r="K539" s="380">
        <f t="shared" si="1391"/>
        <v>32220</v>
      </c>
      <c r="L539" s="107">
        <f t="shared" si="1392"/>
        <v>32130</v>
      </c>
      <c r="M539" s="380">
        <f t="shared" si="1393"/>
        <v>32130</v>
      </c>
      <c r="N539" s="107">
        <f t="shared" si="1394"/>
        <v>32090</v>
      </c>
      <c r="O539" s="380">
        <f t="shared" si="1395"/>
        <v>32090</v>
      </c>
      <c r="P539" s="107">
        <f t="shared" si="1396"/>
        <v>32080</v>
      </c>
      <c r="Q539" s="380">
        <f t="shared" si="1397"/>
        <v>32080</v>
      </c>
      <c r="R539" s="107">
        <f t="shared" si="1398"/>
        <v>32050</v>
      </c>
      <c r="S539" s="380">
        <f t="shared" si="1399"/>
        <v>32050</v>
      </c>
      <c r="T539" s="107">
        <f t="shared" si="1400"/>
        <v>32010</v>
      </c>
      <c r="U539" s="380">
        <f t="shared" si="1401"/>
        <v>32010</v>
      </c>
      <c r="V539" s="107">
        <f t="shared" si="1402"/>
        <v>31960</v>
      </c>
      <c r="W539" s="380">
        <f t="shared" si="1403"/>
        <v>31960</v>
      </c>
      <c r="X539" s="150"/>
      <c r="Y539" s="145"/>
      <c r="Z539" s="151"/>
      <c r="AA539" s="152"/>
      <c r="AB539" s="522">
        <v>664</v>
      </c>
    </row>
    <row r="540" spans="1:28" ht="12.6" customHeight="1" x14ac:dyDescent="0.2">
      <c r="A540" s="4"/>
      <c r="B540" s="681" t="s">
        <v>904</v>
      </c>
      <c r="C540" s="682"/>
      <c r="D540" s="682"/>
      <c r="E540" s="683"/>
      <c r="F540" s="472">
        <f>18.36*X2</f>
        <v>16964.64</v>
      </c>
      <c r="G540" s="337">
        <f t="shared" si="1404"/>
        <v>16964.64</v>
      </c>
      <c r="H540" s="108">
        <f t="shared" si="1388"/>
        <v>19164.64</v>
      </c>
      <c r="I540" s="364">
        <f t="shared" si="1389"/>
        <v>19164.64</v>
      </c>
      <c r="J540" s="108">
        <f t="shared" si="1390"/>
        <v>17464.64</v>
      </c>
      <c r="K540" s="364">
        <f t="shared" si="1391"/>
        <v>17464.64</v>
      </c>
      <c r="L540" s="108">
        <f t="shared" si="1392"/>
        <v>17374.64</v>
      </c>
      <c r="M540" s="364">
        <f t="shared" si="1393"/>
        <v>17374.64</v>
      </c>
      <c r="N540" s="108">
        <f t="shared" si="1394"/>
        <v>17334.64</v>
      </c>
      <c r="O540" s="364">
        <f t="shared" si="1395"/>
        <v>17334.64</v>
      </c>
      <c r="P540" s="108">
        <f t="shared" si="1396"/>
        <v>17324.64</v>
      </c>
      <c r="Q540" s="364">
        <f t="shared" si="1397"/>
        <v>17324.64</v>
      </c>
      <c r="R540" s="108">
        <f t="shared" si="1398"/>
        <v>17294.64</v>
      </c>
      <c r="S540" s="364">
        <f t="shared" si="1399"/>
        <v>17294.64</v>
      </c>
      <c r="T540" s="108">
        <f t="shared" si="1400"/>
        <v>17254.64</v>
      </c>
      <c r="U540" s="364">
        <f t="shared" si="1401"/>
        <v>17254.64</v>
      </c>
      <c r="V540" s="108">
        <f t="shared" si="1402"/>
        <v>17204.64</v>
      </c>
      <c r="W540" s="364">
        <f t="shared" si="1403"/>
        <v>17204.64</v>
      </c>
      <c r="X540" s="150"/>
      <c r="Y540" s="145"/>
      <c r="Z540" s="151"/>
      <c r="AA540" s="152"/>
      <c r="AB540" s="522">
        <v>667</v>
      </c>
    </row>
    <row r="541" spans="1:28" ht="12.6" customHeight="1" x14ac:dyDescent="0.2">
      <c r="A541" s="4"/>
      <c r="B541" s="681" t="s">
        <v>903</v>
      </c>
      <c r="C541" s="682"/>
      <c r="D541" s="682"/>
      <c r="E541" s="683"/>
      <c r="F541" s="473">
        <f>15*X2</f>
        <v>13860</v>
      </c>
      <c r="G541" s="338">
        <f t="shared" ref="G541" si="1405">+F541*$X$1</f>
        <v>13860</v>
      </c>
      <c r="H541" s="107">
        <f t="shared" ref="H541" si="1406">F541+2200</f>
        <v>16060</v>
      </c>
      <c r="I541" s="380">
        <f t="shared" ref="I541" si="1407">+H541*$X$1</f>
        <v>16060</v>
      </c>
      <c r="J541" s="107">
        <f t="shared" ref="J541" si="1408">F541+500</f>
        <v>14360</v>
      </c>
      <c r="K541" s="380">
        <f t="shared" ref="K541" si="1409">+J541*$X$1</f>
        <v>14360</v>
      </c>
      <c r="L541" s="107">
        <f t="shared" ref="L541" si="1410">F541+410</f>
        <v>14270</v>
      </c>
      <c r="M541" s="380">
        <f t="shared" ref="M541" si="1411">+L541*$X$1</f>
        <v>14270</v>
      </c>
      <c r="N541" s="107">
        <f t="shared" ref="N541" si="1412">F541+370</f>
        <v>14230</v>
      </c>
      <c r="O541" s="380">
        <f t="shared" ref="O541" si="1413">+N541*$X$1</f>
        <v>14230</v>
      </c>
      <c r="P541" s="107">
        <f t="shared" ref="P541" si="1414">F541+360</f>
        <v>14220</v>
      </c>
      <c r="Q541" s="380">
        <f t="shared" ref="Q541" si="1415">+P541*$X$1</f>
        <v>14220</v>
      </c>
      <c r="R541" s="107">
        <f t="shared" ref="R541" si="1416">F541+330</f>
        <v>14190</v>
      </c>
      <c r="S541" s="380">
        <f t="shared" ref="S541" si="1417">+R541*$X$1</f>
        <v>14190</v>
      </c>
      <c r="T541" s="107">
        <f t="shared" ref="T541" si="1418">F541+290</f>
        <v>14150</v>
      </c>
      <c r="U541" s="380">
        <f t="shared" ref="U541" si="1419">+T541*$X$1</f>
        <v>14150</v>
      </c>
      <c r="V541" s="107">
        <f t="shared" ref="V541" si="1420">F541+240</f>
        <v>14100</v>
      </c>
      <c r="W541" s="380">
        <f t="shared" ref="W541" si="1421">+V541*$X$1</f>
        <v>14100</v>
      </c>
      <c r="X541" s="150"/>
      <c r="Y541" s="145"/>
      <c r="Z541" s="151"/>
      <c r="AA541" s="152"/>
      <c r="AB541" s="522">
        <v>668</v>
      </c>
    </row>
    <row r="542" spans="1:28" ht="12.6" customHeight="1" x14ac:dyDescent="0.2">
      <c r="A542" s="4"/>
      <c r="B542" s="909" t="s">
        <v>609</v>
      </c>
      <c r="C542" s="948"/>
      <c r="D542" s="948"/>
      <c r="E542" s="949"/>
      <c r="F542" s="472">
        <f>17.5*X2</f>
        <v>16170</v>
      </c>
      <c r="G542" s="337">
        <f t="shared" si="1404"/>
        <v>16170</v>
      </c>
      <c r="H542" s="108">
        <f t="shared" si="1388"/>
        <v>18370</v>
      </c>
      <c r="I542" s="364">
        <f t="shared" si="1389"/>
        <v>18370</v>
      </c>
      <c r="J542" s="108">
        <f t="shared" si="1390"/>
        <v>16670</v>
      </c>
      <c r="K542" s="364">
        <f t="shared" si="1391"/>
        <v>16670</v>
      </c>
      <c r="L542" s="108">
        <f t="shared" si="1392"/>
        <v>16580</v>
      </c>
      <c r="M542" s="364">
        <f t="shared" si="1393"/>
        <v>16580</v>
      </c>
      <c r="N542" s="108">
        <f t="shared" si="1394"/>
        <v>16540</v>
      </c>
      <c r="O542" s="364">
        <f t="shared" si="1395"/>
        <v>16540</v>
      </c>
      <c r="P542" s="108">
        <f t="shared" si="1396"/>
        <v>16530</v>
      </c>
      <c r="Q542" s="364">
        <f t="shared" si="1397"/>
        <v>16530</v>
      </c>
      <c r="R542" s="108">
        <f t="shared" si="1398"/>
        <v>16500</v>
      </c>
      <c r="S542" s="364">
        <f t="shared" si="1399"/>
        <v>16500</v>
      </c>
      <c r="T542" s="108">
        <f t="shared" si="1400"/>
        <v>16460</v>
      </c>
      <c r="U542" s="364">
        <f t="shared" si="1401"/>
        <v>16460</v>
      </c>
      <c r="V542" s="108">
        <f t="shared" si="1402"/>
        <v>16410</v>
      </c>
      <c r="W542" s="364">
        <f t="shared" si="1403"/>
        <v>16410</v>
      </c>
      <c r="X542" s="150"/>
      <c r="Y542" s="145"/>
      <c r="Z542" s="151"/>
      <c r="AA542" s="152"/>
      <c r="AB542" s="208">
        <v>686</v>
      </c>
    </row>
    <row r="543" spans="1:28" ht="12.6" customHeight="1" x14ac:dyDescent="0.2">
      <c r="A543" s="4"/>
      <c r="B543" s="731" t="s">
        <v>654</v>
      </c>
      <c r="C543" s="732"/>
      <c r="D543" s="732"/>
      <c r="E543" s="733"/>
      <c r="F543" s="474">
        <f>33.5*X2</f>
        <v>30954</v>
      </c>
      <c r="G543" s="338">
        <f t="shared" si="1404"/>
        <v>30954</v>
      </c>
      <c r="H543" s="107">
        <f t="shared" si="1388"/>
        <v>33154</v>
      </c>
      <c r="I543" s="380">
        <f t="shared" si="1389"/>
        <v>33154</v>
      </c>
      <c r="J543" s="107">
        <f t="shared" si="1390"/>
        <v>31454</v>
      </c>
      <c r="K543" s="380">
        <f t="shared" si="1391"/>
        <v>31454</v>
      </c>
      <c r="L543" s="107">
        <f t="shared" si="1392"/>
        <v>31364</v>
      </c>
      <c r="M543" s="380">
        <f t="shared" si="1393"/>
        <v>31364</v>
      </c>
      <c r="N543" s="107">
        <f t="shared" si="1394"/>
        <v>31324</v>
      </c>
      <c r="O543" s="380">
        <f t="shared" si="1395"/>
        <v>31324</v>
      </c>
      <c r="P543" s="107">
        <f t="shared" si="1396"/>
        <v>31314</v>
      </c>
      <c r="Q543" s="380">
        <f t="shared" si="1397"/>
        <v>31314</v>
      </c>
      <c r="R543" s="107">
        <f t="shared" si="1398"/>
        <v>31284</v>
      </c>
      <c r="S543" s="380">
        <f t="shared" si="1399"/>
        <v>31284</v>
      </c>
      <c r="T543" s="107">
        <f t="shared" si="1400"/>
        <v>31244</v>
      </c>
      <c r="U543" s="380">
        <f t="shared" si="1401"/>
        <v>31244</v>
      </c>
      <c r="V543" s="107">
        <f t="shared" si="1402"/>
        <v>31194</v>
      </c>
      <c r="W543" s="380">
        <f t="shared" si="1403"/>
        <v>31194</v>
      </c>
      <c r="X543" s="150"/>
      <c r="Y543" s="145"/>
      <c r="Z543" s="151"/>
      <c r="AA543" s="152"/>
      <c r="AB543" s="522">
        <v>687</v>
      </c>
    </row>
    <row r="544" spans="1:28" ht="12.6" customHeight="1" x14ac:dyDescent="0.2">
      <c r="A544" s="4"/>
      <c r="B544" s="909" t="s">
        <v>880</v>
      </c>
      <c r="C544" s="948"/>
      <c r="D544" s="948"/>
      <c r="E544" s="949"/>
      <c r="F544" s="475">
        <f>18*X2</f>
        <v>16632</v>
      </c>
      <c r="G544" s="337">
        <f t="shared" si="1404"/>
        <v>16632</v>
      </c>
      <c r="H544" s="108">
        <f t="shared" si="1388"/>
        <v>18832</v>
      </c>
      <c r="I544" s="364">
        <f t="shared" si="1389"/>
        <v>18832</v>
      </c>
      <c r="J544" s="108">
        <f t="shared" si="1390"/>
        <v>17132</v>
      </c>
      <c r="K544" s="364">
        <f t="shared" si="1391"/>
        <v>17132</v>
      </c>
      <c r="L544" s="108">
        <f t="shared" si="1392"/>
        <v>17042</v>
      </c>
      <c r="M544" s="364">
        <f t="shared" si="1393"/>
        <v>17042</v>
      </c>
      <c r="N544" s="108">
        <f t="shared" si="1394"/>
        <v>17002</v>
      </c>
      <c r="O544" s="364">
        <f t="shared" si="1395"/>
        <v>17002</v>
      </c>
      <c r="P544" s="108">
        <f t="shared" si="1396"/>
        <v>16992</v>
      </c>
      <c r="Q544" s="364">
        <f t="shared" si="1397"/>
        <v>16992</v>
      </c>
      <c r="R544" s="108">
        <f t="shared" si="1398"/>
        <v>16962</v>
      </c>
      <c r="S544" s="364">
        <f t="shared" si="1399"/>
        <v>16962</v>
      </c>
      <c r="T544" s="108">
        <f t="shared" si="1400"/>
        <v>16922</v>
      </c>
      <c r="U544" s="364">
        <f t="shared" si="1401"/>
        <v>16922</v>
      </c>
      <c r="V544" s="108">
        <f t="shared" si="1402"/>
        <v>16872</v>
      </c>
      <c r="W544" s="364">
        <f t="shared" si="1403"/>
        <v>16872</v>
      </c>
      <c r="X544" s="150"/>
      <c r="Y544" s="145"/>
      <c r="Z544" s="151"/>
      <c r="AA544" s="152"/>
      <c r="AB544" s="522">
        <v>694</v>
      </c>
    </row>
    <row r="545" spans="1:34" ht="12.6" customHeight="1" x14ac:dyDescent="0.2">
      <c r="A545" s="4"/>
      <c r="B545" s="731" t="s">
        <v>881</v>
      </c>
      <c r="C545" s="732"/>
      <c r="D545" s="732"/>
      <c r="E545" s="733"/>
      <c r="F545" s="473">
        <f>39.2*X2</f>
        <v>36220.800000000003</v>
      </c>
      <c r="G545" s="338">
        <f t="shared" ref="G545" si="1422">+F545*$X$1</f>
        <v>36220.800000000003</v>
      </c>
      <c r="H545" s="107">
        <f t="shared" si="1388"/>
        <v>38420.800000000003</v>
      </c>
      <c r="I545" s="380">
        <f t="shared" si="1389"/>
        <v>38420.800000000003</v>
      </c>
      <c r="J545" s="107">
        <f t="shared" si="1390"/>
        <v>36720.800000000003</v>
      </c>
      <c r="K545" s="380">
        <f t="shared" si="1391"/>
        <v>36720.800000000003</v>
      </c>
      <c r="L545" s="107">
        <f t="shared" si="1392"/>
        <v>36630.800000000003</v>
      </c>
      <c r="M545" s="380">
        <f t="shared" si="1393"/>
        <v>36630.800000000003</v>
      </c>
      <c r="N545" s="107">
        <f t="shared" si="1394"/>
        <v>36590.800000000003</v>
      </c>
      <c r="O545" s="380">
        <f t="shared" si="1395"/>
        <v>36590.800000000003</v>
      </c>
      <c r="P545" s="107">
        <f t="shared" si="1396"/>
        <v>36580.800000000003</v>
      </c>
      <c r="Q545" s="380">
        <f t="shared" si="1397"/>
        <v>36580.800000000003</v>
      </c>
      <c r="R545" s="107">
        <f t="shared" si="1398"/>
        <v>36550.800000000003</v>
      </c>
      <c r="S545" s="380">
        <f t="shared" si="1399"/>
        <v>36550.800000000003</v>
      </c>
      <c r="T545" s="107">
        <f t="shared" si="1400"/>
        <v>36510.800000000003</v>
      </c>
      <c r="U545" s="380">
        <f t="shared" si="1401"/>
        <v>36510.800000000003</v>
      </c>
      <c r="V545" s="107">
        <f t="shared" si="1402"/>
        <v>36460.800000000003</v>
      </c>
      <c r="W545" s="380">
        <f t="shared" si="1403"/>
        <v>36460.800000000003</v>
      </c>
      <c r="X545" s="150"/>
      <c r="Y545" s="145"/>
      <c r="Z545" s="151"/>
      <c r="AA545" s="152"/>
      <c r="AB545" s="522">
        <v>698</v>
      </c>
    </row>
    <row r="546" spans="1:34" ht="12.6" customHeight="1" x14ac:dyDescent="0.2">
      <c r="A546" s="4"/>
      <c r="B546" s="909" t="s">
        <v>694</v>
      </c>
      <c r="C546" s="948"/>
      <c r="D546" s="948"/>
      <c r="E546" s="949"/>
      <c r="F546" s="472">
        <f>56.84*X2</f>
        <v>52520.160000000003</v>
      </c>
      <c r="G546" s="337">
        <f>+F546*$X$1</f>
        <v>52520.160000000003</v>
      </c>
      <c r="H546" s="108">
        <f t="shared" si="1388"/>
        <v>54720.160000000003</v>
      </c>
      <c r="I546" s="364">
        <f t="shared" si="1389"/>
        <v>54720.160000000003</v>
      </c>
      <c r="J546" s="108">
        <f t="shared" si="1390"/>
        <v>53020.160000000003</v>
      </c>
      <c r="K546" s="364">
        <f t="shared" si="1391"/>
        <v>53020.160000000003</v>
      </c>
      <c r="L546" s="108">
        <f t="shared" si="1392"/>
        <v>52930.16</v>
      </c>
      <c r="M546" s="364">
        <f t="shared" si="1393"/>
        <v>52930.16</v>
      </c>
      <c r="N546" s="108">
        <f t="shared" si="1394"/>
        <v>52890.16</v>
      </c>
      <c r="O546" s="364">
        <f t="shared" si="1395"/>
        <v>52890.16</v>
      </c>
      <c r="P546" s="108">
        <f t="shared" si="1396"/>
        <v>52880.160000000003</v>
      </c>
      <c r="Q546" s="364">
        <f t="shared" si="1397"/>
        <v>52880.160000000003</v>
      </c>
      <c r="R546" s="108">
        <f t="shared" si="1398"/>
        <v>52850.16</v>
      </c>
      <c r="S546" s="364">
        <f t="shared" si="1399"/>
        <v>52850.16</v>
      </c>
      <c r="T546" s="108">
        <f t="shared" si="1400"/>
        <v>52810.16</v>
      </c>
      <c r="U546" s="364">
        <f t="shared" si="1401"/>
        <v>52810.16</v>
      </c>
      <c r="V546" s="108">
        <f t="shared" si="1402"/>
        <v>52760.160000000003</v>
      </c>
      <c r="W546" s="364">
        <f t="shared" si="1403"/>
        <v>52760.160000000003</v>
      </c>
      <c r="X546" s="150"/>
      <c r="Y546" s="145"/>
      <c r="Z546" s="151"/>
      <c r="AA546" s="152"/>
      <c r="AB546" s="522">
        <v>710</v>
      </c>
    </row>
    <row r="547" spans="1:34" ht="12.6" customHeight="1" x14ac:dyDescent="0.2">
      <c r="A547" s="4"/>
      <c r="B547" s="731" t="s">
        <v>663</v>
      </c>
      <c r="C547" s="732"/>
      <c r="D547" s="732"/>
      <c r="E547" s="733"/>
      <c r="F547" s="473">
        <f>65.703*X2</f>
        <v>60709.572</v>
      </c>
      <c r="G547" s="338">
        <f t="shared" ref="G547" si="1423">+F547*$X$1</f>
        <v>60709.572</v>
      </c>
      <c r="H547" s="107">
        <f t="shared" si="1388"/>
        <v>62909.572</v>
      </c>
      <c r="I547" s="380">
        <f t="shared" si="1389"/>
        <v>62909.572</v>
      </c>
      <c r="J547" s="107">
        <f t="shared" si="1390"/>
        <v>61209.572</v>
      </c>
      <c r="K547" s="380">
        <f t="shared" si="1391"/>
        <v>61209.572</v>
      </c>
      <c r="L547" s="107">
        <f t="shared" si="1392"/>
        <v>61119.572</v>
      </c>
      <c r="M547" s="380">
        <f t="shared" si="1393"/>
        <v>61119.572</v>
      </c>
      <c r="N547" s="107">
        <f t="shared" si="1394"/>
        <v>61079.572</v>
      </c>
      <c r="O547" s="380">
        <f t="shared" si="1395"/>
        <v>61079.572</v>
      </c>
      <c r="P547" s="107">
        <f t="shared" si="1396"/>
        <v>61069.572</v>
      </c>
      <c r="Q547" s="380">
        <f t="shared" si="1397"/>
        <v>61069.572</v>
      </c>
      <c r="R547" s="107">
        <f t="shared" si="1398"/>
        <v>61039.572</v>
      </c>
      <c r="S547" s="380">
        <f t="shared" si="1399"/>
        <v>61039.572</v>
      </c>
      <c r="T547" s="107">
        <f t="shared" si="1400"/>
        <v>60999.572</v>
      </c>
      <c r="U547" s="380">
        <f t="shared" si="1401"/>
        <v>60999.572</v>
      </c>
      <c r="V547" s="107">
        <f t="shared" si="1402"/>
        <v>60949.572</v>
      </c>
      <c r="W547" s="380">
        <f t="shared" si="1403"/>
        <v>60949.572</v>
      </c>
      <c r="X547" s="150"/>
      <c r="Y547" s="145"/>
      <c r="Z547" s="151"/>
      <c r="AA547" s="152"/>
      <c r="AB547" s="522">
        <v>711</v>
      </c>
    </row>
    <row r="548" spans="1:34" ht="12.6" customHeight="1" x14ac:dyDescent="0.2">
      <c r="A548" s="4"/>
      <c r="B548" s="909" t="s">
        <v>697</v>
      </c>
      <c r="C548" s="948"/>
      <c r="D548" s="948"/>
      <c r="E548" s="949"/>
      <c r="F548" s="472">
        <f>62.17*X2</f>
        <v>57445.08</v>
      </c>
      <c r="G548" s="337">
        <f t="shared" ref="G548:G556" si="1424">+F548*$X$1</f>
        <v>57445.08</v>
      </c>
      <c r="H548" s="108">
        <f t="shared" si="1388"/>
        <v>59645.08</v>
      </c>
      <c r="I548" s="364">
        <f t="shared" si="1389"/>
        <v>59645.08</v>
      </c>
      <c r="J548" s="108">
        <f t="shared" si="1390"/>
        <v>57945.08</v>
      </c>
      <c r="K548" s="364">
        <f t="shared" si="1391"/>
        <v>57945.08</v>
      </c>
      <c r="L548" s="108">
        <f t="shared" si="1392"/>
        <v>57855.08</v>
      </c>
      <c r="M548" s="364">
        <f t="shared" si="1393"/>
        <v>57855.08</v>
      </c>
      <c r="N548" s="108">
        <f t="shared" si="1394"/>
        <v>57815.08</v>
      </c>
      <c r="O548" s="364">
        <f t="shared" si="1395"/>
        <v>57815.08</v>
      </c>
      <c r="P548" s="108">
        <f t="shared" si="1396"/>
        <v>57805.08</v>
      </c>
      <c r="Q548" s="364">
        <f t="shared" si="1397"/>
        <v>57805.08</v>
      </c>
      <c r="R548" s="108">
        <f t="shared" si="1398"/>
        <v>57775.08</v>
      </c>
      <c r="S548" s="364">
        <f t="shared" si="1399"/>
        <v>57775.08</v>
      </c>
      <c r="T548" s="108">
        <f t="shared" si="1400"/>
        <v>57735.08</v>
      </c>
      <c r="U548" s="364">
        <f t="shared" si="1401"/>
        <v>57735.08</v>
      </c>
      <c r="V548" s="108">
        <f t="shared" si="1402"/>
        <v>57685.08</v>
      </c>
      <c r="W548" s="364">
        <f t="shared" si="1403"/>
        <v>57685.08</v>
      </c>
      <c r="X548" s="150"/>
      <c r="Y548" s="145"/>
      <c r="Z548" s="151"/>
      <c r="AA548" s="152"/>
      <c r="AB548" s="522">
        <v>714</v>
      </c>
    </row>
    <row r="549" spans="1:34" ht="12.6" customHeight="1" x14ac:dyDescent="0.2">
      <c r="A549" s="4"/>
      <c r="B549" s="681" t="s">
        <v>865</v>
      </c>
      <c r="C549" s="682"/>
      <c r="D549" s="682"/>
      <c r="E549" s="683"/>
      <c r="F549" s="473">
        <f>15.72*X2</f>
        <v>14525.28</v>
      </c>
      <c r="G549" s="338">
        <f t="shared" ref="G549" si="1425">+F549*$X$1</f>
        <v>14525.28</v>
      </c>
      <c r="H549" s="107">
        <f t="shared" ref="H549" si="1426">F549+2200</f>
        <v>16725.28</v>
      </c>
      <c r="I549" s="380">
        <f t="shared" ref="I549" si="1427">+H549*$X$1</f>
        <v>16725.28</v>
      </c>
      <c r="J549" s="107">
        <f t="shared" ref="J549" si="1428">F549+500</f>
        <v>15025.28</v>
      </c>
      <c r="K549" s="380">
        <f t="shared" ref="K549" si="1429">+J549*$X$1</f>
        <v>15025.28</v>
      </c>
      <c r="L549" s="107">
        <f t="shared" ref="L549" si="1430">F549+410</f>
        <v>14935.28</v>
      </c>
      <c r="M549" s="380">
        <f t="shared" ref="M549" si="1431">+L549*$X$1</f>
        <v>14935.28</v>
      </c>
      <c r="N549" s="107">
        <f t="shared" ref="N549" si="1432">F549+370</f>
        <v>14895.28</v>
      </c>
      <c r="O549" s="380">
        <f t="shared" ref="O549" si="1433">+N549*$X$1</f>
        <v>14895.28</v>
      </c>
      <c r="P549" s="107">
        <f t="shared" ref="P549" si="1434">F549+360</f>
        <v>14885.28</v>
      </c>
      <c r="Q549" s="380">
        <f t="shared" ref="Q549" si="1435">+P549*$X$1</f>
        <v>14885.28</v>
      </c>
      <c r="R549" s="107">
        <f t="shared" ref="R549" si="1436">F549+330</f>
        <v>14855.28</v>
      </c>
      <c r="S549" s="380">
        <f t="shared" ref="S549" si="1437">+R549*$X$1</f>
        <v>14855.28</v>
      </c>
      <c r="T549" s="107">
        <f t="shared" ref="T549" si="1438">F549+290</f>
        <v>14815.28</v>
      </c>
      <c r="U549" s="380">
        <f t="shared" ref="U549" si="1439">+T549*$X$1</f>
        <v>14815.28</v>
      </c>
      <c r="V549" s="107">
        <f t="shared" ref="V549" si="1440">F549+240</f>
        <v>14765.28</v>
      </c>
      <c r="W549" s="380">
        <f t="shared" ref="W549" si="1441">+V549*$X$1</f>
        <v>14765.28</v>
      </c>
      <c r="X549" s="150"/>
      <c r="Y549" s="145"/>
      <c r="Z549" s="151"/>
      <c r="AA549" s="152"/>
      <c r="AB549" s="522">
        <v>716</v>
      </c>
    </row>
    <row r="550" spans="1:34" ht="12.6" customHeight="1" x14ac:dyDescent="0.2">
      <c r="A550" s="4"/>
      <c r="B550" s="681" t="s">
        <v>867</v>
      </c>
      <c r="C550" s="682"/>
      <c r="D550" s="682"/>
      <c r="E550" s="683"/>
      <c r="F550" s="472">
        <f>83.8*X2</f>
        <v>77431.199999999997</v>
      </c>
      <c r="G550" s="337">
        <f t="shared" ref="G550" si="1442">+F550*$X$1</f>
        <v>77431.199999999997</v>
      </c>
      <c r="H550" s="108">
        <f t="shared" ref="H550" si="1443">F550+2200</f>
        <v>79631.199999999997</v>
      </c>
      <c r="I550" s="364">
        <f t="shared" ref="I550" si="1444">+H550*$X$1</f>
        <v>79631.199999999997</v>
      </c>
      <c r="J550" s="108">
        <f t="shared" ref="J550" si="1445">F550+500</f>
        <v>77931.199999999997</v>
      </c>
      <c r="K550" s="364">
        <f t="shared" ref="K550" si="1446">+J550*$X$1</f>
        <v>77931.199999999997</v>
      </c>
      <c r="L550" s="108">
        <f t="shared" ref="L550" si="1447">F550+410</f>
        <v>77841.2</v>
      </c>
      <c r="M550" s="364">
        <f t="shared" ref="M550" si="1448">+L550*$X$1</f>
        <v>77841.2</v>
      </c>
      <c r="N550" s="108">
        <f t="shared" ref="N550" si="1449">F550+370</f>
        <v>77801.2</v>
      </c>
      <c r="O550" s="364">
        <f t="shared" ref="O550" si="1450">+N550*$X$1</f>
        <v>77801.2</v>
      </c>
      <c r="P550" s="108">
        <f t="shared" ref="P550" si="1451">F550+360</f>
        <v>77791.199999999997</v>
      </c>
      <c r="Q550" s="364">
        <f t="shared" ref="Q550" si="1452">+P550*$X$1</f>
        <v>77791.199999999997</v>
      </c>
      <c r="R550" s="108">
        <f t="shared" ref="R550" si="1453">F550+330</f>
        <v>77761.2</v>
      </c>
      <c r="S550" s="364">
        <f t="shared" ref="S550" si="1454">+R550*$X$1</f>
        <v>77761.2</v>
      </c>
      <c r="T550" s="108">
        <f t="shared" ref="T550" si="1455">F550+290</f>
        <v>77721.2</v>
      </c>
      <c r="U550" s="364">
        <f t="shared" ref="U550" si="1456">+T550*$X$1</f>
        <v>77721.2</v>
      </c>
      <c r="V550" s="108">
        <f t="shared" ref="V550" si="1457">F550+240</f>
        <v>77671.199999999997</v>
      </c>
      <c r="W550" s="364">
        <f t="shared" ref="W550" si="1458">+V550*$X$1</f>
        <v>77671.199999999997</v>
      </c>
      <c r="X550" s="150"/>
      <c r="Y550" s="145"/>
      <c r="Z550" s="151"/>
      <c r="AA550" s="152"/>
      <c r="AB550" s="522">
        <v>717</v>
      </c>
    </row>
    <row r="551" spans="1:34" ht="12.6" customHeight="1" x14ac:dyDescent="0.2">
      <c r="A551" s="4"/>
      <c r="B551" s="681" t="s">
        <v>866</v>
      </c>
      <c r="C551" s="682"/>
      <c r="D551" s="682"/>
      <c r="E551" s="683"/>
      <c r="F551" s="473">
        <f>100.9*X2</f>
        <v>93231.6</v>
      </c>
      <c r="G551" s="338">
        <f t="shared" ref="G551" si="1459">+F551*$X$1</f>
        <v>93231.6</v>
      </c>
      <c r="H551" s="107">
        <f t="shared" ref="H551" si="1460">F551+2200</f>
        <v>95431.6</v>
      </c>
      <c r="I551" s="380">
        <f t="shared" ref="I551" si="1461">+H551*$X$1</f>
        <v>95431.6</v>
      </c>
      <c r="J551" s="107">
        <f t="shared" ref="J551" si="1462">F551+500</f>
        <v>93731.6</v>
      </c>
      <c r="K551" s="380">
        <f t="shared" ref="K551" si="1463">+J551*$X$1</f>
        <v>93731.6</v>
      </c>
      <c r="L551" s="107">
        <f t="shared" ref="L551" si="1464">F551+410</f>
        <v>93641.600000000006</v>
      </c>
      <c r="M551" s="380">
        <f t="shared" ref="M551" si="1465">+L551*$X$1</f>
        <v>93641.600000000006</v>
      </c>
      <c r="N551" s="107">
        <f t="shared" ref="N551" si="1466">F551+370</f>
        <v>93601.600000000006</v>
      </c>
      <c r="O551" s="380">
        <f t="shared" ref="O551" si="1467">+N551*$X$1</f>
        <v>93601.600000000006</v>
      </c>
      <c r="P551" s="107">
        <f t="shared" ref="P551" si="1468">F551+360</f>
        <v>93591.6</v>
      </c>
      <c r="Q551" s="380">
        <f t="shared" ref="Q551" si="1469">+P551*$X$1</f>
        <v>93591.6</v>
      </c>
      <c r="R551" s="107">
        <f t="shared" ref="R551" si="1470">F551+330</f>
        <v>93561.600000000006</v>
      </c>
      <c r="S551" s="380">
        <f t="shared" ref="S551" si="1471">+R551*$X$1</f>
        <v>93561.600000000006</v>
      </c>
      <c r="T551" s="107">
        <f t="shared" ref="T551" si="1472">F551+290</f>
        <v>93521.600000000006</v>
      </c>
      <c r="U551" s="380">
        <f t="shared" ref="U551" si="1473">+T551*$X$1</f>
        <v>93521.600000000006</v>
      </c>
      <c r="V551" s="107">
        <f t="shared" ref="V551" si="1474">F551+240</f>
        <v>93471.6</v>
      </c>
      <c r="W551" s="380">
        <f t="shared" ref="W551" si="1475">+V551*$X$1</f>
        <v>93471.6</v>
      </c>
      <c r="X551" s="150"/>
      <c r="Y551" s="145"/>
      <c r="Z551" s="151"/>
      <c r="AA551" s="152"/>
      <c r="AB551" s="522">
        <v>718</v>
      </c>
    </row>
    <row r="552" spans="1:34" ht="12.6" customHeight="1" x14ac:dyDescent="0.2">
      <c r="A552" s="4"/>
      <c r="B552" s="909" t="s">
        <v>864</v>
      </c>
      <c r="C552" s="948"/>
      <c r="D552" s="948"/>
      <c r="E552" s="949"/>
      <c r="F552" s="472">
        <f>14.4*X2</f>
        <v>13305.6</v>
      </c>
      <c r="G552" s="337">
        <f t="shared" ref="G552" si="1476">+F552*$X$1</f>
        <v>13305.6</v>
      </c>
      <c r="H552" s="108">
        <f t="shared" si="1388"/>
        <v>15505.6</v>
      </c>
      <c r="I552" s="364">
        <f t="shared" si="1389"/>
        <v>15505.6</v>
      </c>
      <c r="J552" s="108">
        <f t="shared" si="1390"/>
        <v>13805.6</v>
      </c>
      <c r="K552" s="364">
        <f t="shared" si="1391"/>
        <v>13805.6</v>
      </c>
      <c r="L552" s="108">
        <f t="shared" si="1392"/>
        <v>13715.6</v>
      </c>
      <c r="M552" s="364">
        <f t="shared" si="1393"/>
        <v>13715.6</v>
      </c>
      <c r="N552" s="108">
        <f t="shared" si="1394"/>
        <v>13675.6</v>
      </c>
      <c r="O552" s="364">
        <f t="shared" si="1395"/>
        <v>13675.6</v>
      </c>
      <c r="P552" s="108">
        <f t="shared" si="1396"/>
        <v>13665.6</v>
      </c>
      <c r="Q552" s="364">
        <f t="shared" si="1397"/>
        <v>13665.6</v>
      </c>
      <c r="R552" s="108">
        <f t="shared" si="1398"/>
        <v>13635.6</v>
      </c>
      <c r="S552" s="364">
        <f t="shared" si="1399"/>
        <v>13635.6</v>
      </c>
      <c r="T552" s="108">
        <f t="shared" si="1400"/>
        <v>13595.6</v>
      </c>
      <c r="U552" s="364">
        <f t="shared" si="1401"/>
        <v>13595.6</v>
      </c>
      <c r="V552" s="108">
        <f t="shared" si="1402"/>
        <v>13545.6</v>
      </c>
      <c r="W552" s="364">
        <f t="shared" si="1403"/>
        <v>13545.6</v>
      </c>
      <c r="X552" s="150"/>
      <c r="Y552" s="145"/>
      <c r="Z552" s="151"/>
      <c r="AA552" s="152"/>
      <c r="AB552" s="522">
        <v>720</v>
      </c>
    </row>
    <row r="553" spans="1:34" ht="12.6" customHeight="1" x14ac:dyDescent="0.2">
      <c r="A553" s="4"/>
      <c r="B553" s="731" t="s">
        <v>863</v>
      </c>
      <c r="C553" s="732"/>
      <c r="D553" s="732"/>
      <c r="E553" s="733"/>
      <c r="F553" s="473">
        <f>40.98*X2</f>
        <v>37865.519999999997</v>
      </c>
      <c r="G553" s="338">
        <f t="shared" ref="G553" si="1477">+F553*$X$1</f>
        <v>37865.519999999997</v>
      </c>
      <c r="H553" s="107">
        <f t="shared" ref="H553" si="1478">F553+2200</f>
        <v>40065.519999999997</v>
      </c>
      <c r="I553" s="380">
        <f t="shared" ref="I553" si="1479">+H553*$X$1</f>
        <v>40065.519999999997</v>
      </c>
      <c r="J553" s="107">
        <f t="shared" ref="J553" si="1480">F553+500</f>
        <v>38365.519999999997</v>
      </c>
      <c r="K553" s="380">
        <f t="shared" ref="K553" si="1481">+J553*$X$1</f>
        <v>38365.519999999997</v>
      </c>
      <c r="L553" s="107">
        <f t="shared" ref="L553" si="1482">F553+410</f>
        <v>38275.519999999997</v>
      </c>
      <c r="M553" s="380">
        <f t="shared" ref="M553" si="1483">+L553*$X$1</f>
        <v>38275.519999999997</v>
      </c>
      <c r="N553" s="107">
        <f t="shared" ref="N553" si="1484">F553+370</f>
        <v>38235.519999999997</v>
      </c>
      <c r="O553" s="380">
        <f t="shared" ref="O553" si="1485">+N553*$X$1</f>
        <v>38235.519999999997</v>
      </c>
      <c r="P553" s="107">
        <f t="shared" ref="P553" si="1486">F553+360</f>
        <v>38225.519999999997</v>
      </c>
      <c r="Q553" s="380">
        <f t="shared" ref="Q553" si="1487">+P553*$X$1</f>
        <v>38225.519999999997</v>
      </c>
      <c r="R553" s="107">
        <f t="shared" ref="R553" si="1488">F553+330</f>
        <v>38195.519999999997</v>
      </c>
      <c r="S553" s="380">
        <f t="shared" ref="S553" si="1489">+R553*$X$1</f>
        <v>38195.519999999997</v>
      </c>
      <c r="T553" s="107">
        <f t="shared" ref="T553" si="1490">F553+290</f>
        <v>38155.519999999997</v>
      </c>
      <c r="U553" s="380">
        <f t="shared" ref="U553" si="1491">+T553*$X$1</f>
        <v>38155.519999999997</v>
      </c>
      <c r="V553" s="107">
        <f t="shared" ref="V553" si="1492">F553+240</f>
        <v>38105.519999999997</v>
      </c>
      <c r="W553" s="380">
        <f t="shared" ref="W553" si="1493">+V553*$X$1</f>
        <v>38105.519999999997</v>
      </c>
      <c r="X553" s="150"/>
      <c r="Y553" s="145"/>
      <c r="Z553" s="151"/>
      <c r="AA553" s="152"/>
      <c r="AB553" s="522">
        <v>721</v>
      </c>
    </row>
    <row r="554" spans="1:34" ht="12.6" customHeight="1" x14ac:dyDescent="0.2">
      <c r="A554" s="4"/>
      <c r="B554" s="909" t="s">
        <v>721</v>
      </c>
      <c r="C554" s="948"/>
      <c r="D554" s="948"/>
      <c r="E554" s="949"/>
      <c r="F554" s="472">
        <f>5.1*X2</f>
        <v>4712.3999999999996</v>
      </c>
      <c r="G554" s="337">
        <f t="shared" si="1424"/>
        <v>4712.3999999999996</v>
      </c>
      <c r="H554" s="108">
        <f t="shared" ref="H554:H556" si="1494">F554+2200</f>
        <v>6912.4</v>
      </c>
      <c r="I554" s="364">
        <f t="shared" ref="I554:I556" si="1495">+H554*$X$1</f>
        <v>6912.4</v>
      </c>
      <c r="J554" s="108">
        <f t="shared" ref="J554:J556" si="1496">F554+500</f>
        <v>5212.3999999999996</v>
      </c>
      <c r="K554" s="364">
        <f t="shared" ref="K554:K556" si="1497">+J554*$X$1</f>
        <v>5212.3999999999996</v>
      </c>
      <c r="L554" s="108">
        <f t="shared" ref="L554:L556" si="1498">F554+410</f>
        <v>5122.3999999999996</v>
      </c>
      <c r="M554" s="364">
        <f t="shared" ref="M554:M556" si="1499">+L554*$X$1</f>
        <v>5122.3999999999996</v>
      </c>
      <c r="N554" s="108">
        <f t="shared" ref="N554:N556" si="1500">F554+370</f>
        <v>5082.3999999999996</v>
      </c>
      <c r="O554" s="364">
        <f t="shared" ref="O554:O556" si="1501">+N554*$X$1</f>
        <v>5082.3999999999996</v>
      </c>
      <c r="P554" s="108">
        <f t="shared" ref="P554:P556" si="1502">F554+360</f>
        <v>5072.3999999999996</v>
      </c>
      <c r="Q554" s="364">
        <f t="shared" ref="Q554:Q556" si="1503">+P554*$X$1</f>
        <v>5072.3999999999996</v>
      </c>
      <c r="R554" s="108">
        <f t="shared" ref="R554:R556" si="1504">F554+330</f>
        <v>5042.3999999999996</v>
      </c>
      <c r="S554" s="364">
        <f t="shared" ref="S554:S556" si="1505">+R554*$X$1</f>
        <v>5042.3999999999996</v>
      </c>
      <c r="T554" s="108">
        <f t="shared" ref="T554:T556" si="1506">F554+290</f>
        <v>5002.3999999999996</v>
      </c>
      <c r="U554" s="364">
        <f t="shared" ref="U554:U556" si="1507">+T554*$X$1</f>
        <v>5002.3999999999996</v>
      </c>
      <c r="V554" s="108">
        <f t="shared" ref="V554:V556" si="1508">F554+240</f>
        <v>4952.3999999999996</v>
      </c>
      <c r="W554" s="364">
        <f t="shared" ref="W554:W556" si="1509">+V554*$X$1</f>
        <v>4952.3999999999996</v>
      </c>
      <c r="X554" s="150"/>
      <c r="Y554" s="145"/>
      <c r="Z554" s="151"/>
      <c r="AA554" s="152"/>
      <c r="AB554" s="208">
        <v>741</v>
      </c>
    </row>
    <row r="555" spans="1:34" ht="12.6" customHeight="1" x14ac:dyDescent="0.2">
      <c r="A555" s="4"/>
      <c r="B555" s="731" t="s">
        <v>731</v>
      </c>
      <c r="C555" s="732"/>
      <c r="D555" s="732"/>
      <c r="E555" s="733"/>
      <c r="F555" s="473">
        <f>29.2*X2</f>
        <v>26980.799999999999</v>
      </c>
      <c r="G555" s="338">
        <f t="shared" si="1424"/>
        <v>26980.799999999999</v>
      </c>
      <c r="H555" s="107">
        <f t="shared" si="1494"/>
        <v>29180.799999999999</v>
      </c>
      <c r="I555" s="380">
        <f t="shared" si="1495"/>
        <v>29180.799999999999</v>
      </c>
      <c r="J555" s="107">
        <f t="shared" si="1496"/>
        <v>27480.799999999999</v>
      </c>
      <c r="K555" s="380">
        <f t="shared" si="1497"/>
        <v>27480.799999999999</v>
      </c>
      <c r="L555" s="107">
        <f t="shared" si="1498"/>
        <v>27390.799999999999</v>
      </c>
      <c r="M555" s="380">
        <f t="shared" si="1499"/>
        <v>27390.799999999999</v>
      </c>
      <c r="N555" s="107">
        <f t="shared" si="1500"/>
        <v>27350.799999999999</v>
      </c>
      <c r="O555" s="380">
        <f t="shared" si="1501"/>
        <v>27350.799999999999</v>
      </c>
      <c r="P555" s="107">
        <f t="shared" si="1502"/>
        <v>27340.799999999999</v>
      </c>
      <c r="Q555" s="380">
        <f t="shared" si="1503"/>
        <v>27340.799999999999</v>
      </c>
      <c r="R555" s="107">
        <f t="shared" si="1504"/>
        <v>27310.799999999999</v>
      </c>
      <c r="S555" s="380">
        <f t="shared" si="1505"/>
        <v>27310.799999999999</v>
      </c>
      <c r="T555" s="107">
        <f t="shared" si="1506"/>
        <v>27270.799999999999</v>
      </c>
      <c r="U555" s="380">
        <f t="shared" si="1507"/>
        <v>27270.799999999999</v>
      </c>
      <c r="V555" s="107">
        <f t="shared" si="1508"/>
        <v>27220.799999999999</v>
      </c>
      <c r="W555" s="380">
        <f t="shared" si="1509"/>
        <v>27220.799999999999</v>
      </c>
      <c r="X555" s="150"/>
      <c r="Y555" s="145"/>
      <c r="Z555" s="151"/>
      <c r="AA555" s="152"/>
      <c r="AB555" s="208">
        <v>742</v>
      </c>
    </row>
    <row r="556" spans="1:34" ht="12.6" customHeight="1" x14ac:dyDescent="0.2">
      <c r="A556" s="4"/>
      <c r="B556" s="909" t="s">
        <v>732</v>
      </c>
      <c r="C556" s="948"/>
      <c r="D556" s="948"/>
      <c r="E556" s="949"/>
      <c r="F556" s="472">
        <f>29.74*X2</f>
        <v>27479.759999999998</v>
      </c>
      <c r="G556" s="337">
        <f t="shared" si="1424"/>
        <v>27479.759999999998</v>
      </c>
      <c r="H556" s="108">
        <f t="shared" si="1494"/>
        <v>29679.759999999998</v>
      </c>
      <c r="I556" s="364">
        <f t="shared" si="1495"/>
        <v>29679.759999999998</v>
      </c>
      <c r="J556" s="108">
        <f t="shared" si="1496"/>
        <v>27979.759999999998</v>
      </c>
      <c r="K556" s="364">
        <f t="shared" si="1497"/>
        <v>27979.759999999998</v>
      </c>
      <c r="L556" s="108">
        <f t="shared" si="1498"/>
        <v>27889.759999999998</v>
      </c>
      <c r="M556" s="364">
        <f t="shared" si="1499"/>
        <v>27889.759999999998</v>
      </c>
      <c r="N556" s="108">
        <f t="shared" si="1500"/>
        <v>27849.759999999998</v>
      </c>
      <c r="O556" s="364">
        <f t="shared" si="1501"/>
        <v>27849.759999999998</v>
      </c>
      <c r="P556" s="108">
        <f t="shared" si="1502"/>
        <v>27839.759999999998</v>
      </c>
      <c r="Q556" s="364">
        <f t="shared" si="1503"/>
        <v>27839.759999999998</v>
      </c>
      <c r="R556" s="108">
        <f t="shared" si="1504"/>
        <v>27809.759999999998</v>
      </c>
      <c r="S556" s="364">
        <f t="shared" si="1505"/>
        <v>27809.759999999998</v>
      </c>
      <c r="T556" s="108">
        <f t="shared" si="1506"/>
        <v>27769.759999999998</v>
      </c>
      <c r="U556" s="364">
        <f t="shared" si="1507"/>
        <v>27769.759999999998</v>
      </c>
      <c r="V556" s="108">
        <f t="shared" si="1508"/>
        <v>27719.759999999998</v>
      </c>
      <c r="W556" s="364">
        <f t="shared" si="1509"/>
        <v>27719.759999999998</v>
      </c>
      <c r="X556" s="150"/>
      <c r="Y556" s="145"/>
      <c r="Z556" s="151"/>
      <c r="AA556" s="152"/>
      <c r="AB556" s="208">
        <v>743</v>
      </c>
    </row>
    <row r="557" spans="1:34" ht="12.6" customHeight="1" x14ac:dyDescent="0.2">
      <c r="A557" s="4"/>
      <c r="B557" s="681" t="s">
        <v>830</v>
      </c>
      <c r="C557" s="682"/>
      <c r="D557" s="682"/>
      <c r="E557" s="683"/>
      <c r="F557" s="473">
        <f>27.3*X2</f>
        <v>25225.200000000001</v>
      </c>
      <c r="G557" s="338">
        <f t="shared" ref="G557" si="1510">+F557*$X$1</f>
        <v>25225.200000000001</v>
      </c>
      <c r="H557" s="107">
        <f t="shared" ref="H557" si="1511">F557+2200</f>
        <v>27425.200000000001</v>
      </c>
      <c r="I557" s="380">
        <f t="shared" ref="I557" si="1512">+H557*$X$1</f>
        <v>27425.200000000001</v>
      </c>
      <c r="J557" s="107">
        <f t="shared" ref="J557" si="1513">F557+500</f>
        <v>25725.200000000001</v>
      </c>
      <c r="K557" s="380">
        <f t="shared" ref="K557" si="1514">+J557*$X$1</f>
        <v>25725.200000000001</v>
      </c>
      <c r="L557" s="107">
        <f t="shared" ref="L557" si="1515">F557+410</f>
        <v>25635.200000000001</v>
      </c>
      <c r="M557" s="380">
        <f t="shared" ref="M557" si="1516">+L557*$X$1</f>
        <v>25635.200000000001</v>
      </c>
      <c r="N557" s="107">
        <f t="shared" ref="N557" si="1517">F557+370</f>
        <v>25595.200000000001</v>
      </c>
      <c r="O557" s="380">
        <f t="shared" ref="O557" si="1518">+N557*$X$1</f>
        <v>25595.200000000001</v>
      </c>
      <c r="P557" s="107">
        <f t="shared" ref="P557" si="1519">F557+360</f>
        <v>25585.200000000001</v>
      </c>
      <c r="Q557" s="380">
        <f t="shared" ref="Q557" si="1520">+P557*$X$1</f>
        <v>25585.200000000001</v>
      </c>
      <c r="R557" s="107">
        <f t="shared" ref="R557" si="1521">F557+330</f>
        <v>25555.200000000001</v>
      </c>
      <c r="S557" s="380">
        <f t="shared" ref="S557" si="1522">+R557*$X$1</f>
        <v>25555.200000000001</v>
      </c>
      <c r="T557" s="107">
        <f t="shared" ref="T557" si="1523">F557+290</f>
        <v>25515.200000000001</v>
      </c>
      <c r="U557" s="380">
        <f t="shared" ref="U557" si="1524">+T557*$X$1</f>
        <v>25515.200000000001</v>
      </c>
      <c r="V557" s="107">
        <f t="shared" ref="V557" si="1525">F557+240</f>
        <v>25465.200000000001</v>
      </c>
      <c r="W557" s="380">
        <f t="shared" ref="W557" si="1526">+V557*$X$1</f>
        <v>25465.200000000001</v>
      </c>
      <c r="X557" s="150"/>
      <c r="Y557" s="145"/>
      <c r="Z557" s="151"/>
      <c r="AA557" s="152"/>
      <c r="AB557" s="208"/>
    </row>
    <row r="558" spans="1:34" ht="12.6" customHeight="1" x14ac:dyDescent="0.2">
      <c r="A558" s="4"/>
      <c r="B558" s="1231" t="s">
        <v>700</v>
      </c>
      <c r="C558" s="1232"/>
      <c r="D558" s="1232"/>
      <c r="E558" s="1232"/>
      <c r="F558" s="494"/>
      <c r="G558" s="494"/>
      <c r="H558" s="375">
        <v>1700</v>
      </c>
      <c r="I558" s="337">
        <f t="shared" ref="I558:K558" si="1527">+H558*$X$1</f>
        <v>1700</v>
      </c>
      <c r="J558" s="375">
        <v>700</v>
      </c>
      <c r="K558" s="337">
        <f t="shared" si="1527"/>
        <v>700</v>
      </c>
      <c r="L558" s="375">
        <v>600</v>
      </c>
      <c r="M558" s="337">
        <f t="shared" ref="M558" si="1528">+L558*$X$1</f>
        <v>600</v>
      </c>
      <c r="N558" s="375">
        <v>520</v>
      </c>
      <c r="O558" s="337">
        <f t="shared" ref="O558" si="1529">+N558*$X$1</f>
        <v>520</v>
      </c>
      <c r="P558" s="375">
        <v>480</v>
      </c>
      <c r="Q558" s="337">
        <f t="shared" ref="Q558" si="1530">+P558*$X$1</f>
        <v>480</v>
      </c>
      <c r="R558" s="375">
        <v>430</v>
      </c>
      <c r="S558" s="337">
        <f t="shared" ref="S558" si="1531">+R558*$X$1</f>
        <v>430</v>
      </c>
      <c r="T558" s="375">
        <v>390</v>
      </c>
      <c r="U558" s="337">
        <f t="shared" ref="U558" si="1532">+T558*$X$1</f>
        <v>390</v>
      </c>
      <c r="V558" s="375">
        <v>360</v>
      </c>
      <c r="W558" s="337">
        <f t="shared" ref="W558" si="1533">+V558*$X$1</f>
        <v>360</v>
      </c>
      <c r="X558" s="150"/>
      <c r="Y558" s="145"/>
      <c r="Z558" s="151"/>
      <c r="AA558" s="152"/>
      <c r="AB558" s="34"/>
    </row>
    <row r="559" spans="1:34" ht="10.5" customHeight="1" thickBot="1" x14ac:dyDescent="0.25">
      <c r="A559" s="79"/>
      <c r="B559" s="115"/>
      <c r="C559" s="397"/>
      <c r="D559" s="397"/>
      <c r="E559" s="397"/>
      <c r="F559" s="398"/>
      <c r="G559" s="398"/>
      <c r="H559" s="127"/>
      <c r="I559" s="398"/>
      <c r="J559" s="127"/>
      <c r="K559" s="398"/>
      <c r="L559" s="127"/>
      <c r="M559" s="398"/>
      <c r="N559" s="127"/>
      <c r="O559" s="398"/>
      <c r="P559" s="127"/>
      <c r="Q559" s="398"/>
      <c r="R559" s="127"/>
      <c r="S559" s="398"/>
      <c r="T559" s="127"/>
      <c r="U559" s="398"/>
      <c r="V559" s="127"/>
      <c r="W559" s="398"/>
      <c r="X559" s="216"/>
      <c r="Y559" s="79"/>
      <c r="Z559" s="217"/>
      <c r="AA559" s="217"/>
      <c r="AB559" s="218"/>
    </row>
    <row r="560" spans="1:34" ht="14.25" customHeight="1" thickBot="1" x14ac:dyDescent="0.25">
      <c r="B560" s="1224" t="s">
        <v>701</v>
      </c>
      <c r="C560" s="1225"/>
      <c r="D560" s="1225"/>
      <c r="E560" s="1225"/>
      <c r="F560" s="1225"/>
      <c r="G560" s="1225"/>
      <c r="H560" s="1225"/>
      <c r="I560" s="1225"/>
      <c r="J560" s="1225"/>
      <c r="K560" s="1225"/>
      <c r="L560" s="1225"/>
      <c r="M560" s="1225"/>
      <c r="N560" s="1225"/>
      <c r="O560" s="1225"/>
      <c r="P560" s="1225"/>
      <c r="Q560" s="1225"/>
      <c r="R560" s="1225"/>
      <c r="S560" s="1225"/>
      <c r="T560" s="1225"/>
      <c r="U560" s="1225"/>
      <c r="V560" s="1225"/>
      <c r="W560" s="1226"/>
      <c r="AB560" s="4"/>
      <c r="AF560" s="741" t="s">
        <v>3</v>
      </c>
      <c r="AG560" s="742"/>
      <c r="AH560" s="742"/>
    </row>
    <row r="561" spans="1:34" ht="12" customHeight="1" x14ac:dyDescent="0.2">
      <c r="B561" s="1215" t="s">
        <v>11</v>
      </c>
      <c r="C561" s="951" t="s">
        <v>12</v>
      </c>
      <c r="D561" s="952"/>
      <c r="E561" s="952"/>
      <c r="F561" s="804" t="s">
        <v>307</v>
      </c>
      <c r="G561" s="804" t="s">
        <v>13</v>
      </c>
      <c r="H561" s="1179" t="s">
        <v>308</v>
      </c>
      <c r="I561" s="1179"/>
      <c r="J561" s="755"/>
      <c r="K561" s="755"/>
      <c r="L561" s="755"/>
      <c r="M561" s="755"/>
      <c r="N561" s="755"/>
      <c r="O561" s="755"/>
      <c r="P561" s="755"/>
      <c r="Q561" s="755"/>
      <c r="R561" s="755"/>
      <c r="S561" s="755"/>
      <c r="T561" s="755"/>
      <c r="U561" s="755"/>
      <c r="V561" s="755"/>
      <c r="W561" s="756"/>
      <c r="X561" s="745" t="s">
        <v>15</v>
      </c>
      <c r="Y561" s="746"/>
      <c r="Z561" s="746"/>
      <c r="AA561" s="746"/>
      <c r="AB561" s="743" t="s">
        <v>16</v>
      </c>
      <c r="AF561" s="741"/>
      <c r="AG561" s="742"/>
      <c r="AH561" s="742"/>
    </row>
    <row r="562" spans="1:34" ht="11.25" customHeight="1" thickBot="1" x14ac:dyDescent="0.25">
      <c r="B562" s="1216"/>
      <c r="C562" s="953"/>
      <c r="D562" s="953"/>
      <c r="E562" s="953"/>
      <c r="F562" s="805"/>
      <c r="G562" s="805"/>
      <c r="H562" s="290"/>
      <c r="I562" s="288" t="s">
        <v>309</v>
      </c>
      <c r="J562" s="290"/>
      <c r="K562" s="288" t="s">
        <v>310</v>
      </c>
      <c r="L562" s="290"/>
      <c r="M562" s="288" t="s">
        <v>655</v>
      </c>
      <c r="N562" s="290"/>
      <c r="O562" s="288" t="s">
        <v>18</v>
      </c>
      <c r="P562" s="290"/>
      <c r="Q562" s="288" t="s">
        <v>19</v>
      </c>
      <c r="R562" s="290"/>
      <c r="S562" s="288" t="s">
        <v>20</v>
      </c>
      <c r="T562" s="290"/>
      <c r="U562" s="288" t="s">
        <v>312</v>
      </c>
      <c r="V562" s="290"/>
      <c r="W562" s="289" t="s">
        <v>21</v>
      </c>
      <c r="X562" s="747"/>
      <c r="Y562" s="748"/>
      <c r="Z562" s="748"/>
      <c r="AA562" s="748"/>
      <c r="AB562" s="744"/>
    </row>
    <row r="563" spans="1:34" ht="12.6" customHeight="1" x14ac:dyDescent="0.2">
      <c r="A563" s="20"/>
      <c r="B563" s="795" t="s">
        <v>632</v>
      </c>
      <c r="C563" s="796"/>
      <c r="D563" s="796"/>
      <c r="E563" s="797"/>
      <c r="F563" s="380">
        <v>2625</v>
      </c>
      <c r="G563" s="363"/>
      <c r="H563" s="587"/>
      <c r="I563" s="338"/>
      <c r="J563" s="587">
        <f>F563+290</f>
        <v>2915</v>
      </c>
      <c r="K563" s="338">
        <f t="shared" ref="K563" si="1534">+J563*$X$1</f>
        <v>2915</v>
      </c>
      <c r="L563" s="587">
        <f t="shared" ref="L563:L574" si="1535">F563+240</f>
        <v>2865</v>
      </c>
      <c r="M563" s="338">
        <f t="shared" ref="M563" si="1536">+L563*$X$1</f>
        <v>2865</v>
      </c>
      <c r="N563" s="587">
        <f t="shared" ref="N563:N574" si="1537">F563+190</f>
        <v>2815</v>
      </c>
      <c r="O563" s="338">
        <f t="shared" ref="O563" si="1538">+N563*$X$1</f>
        <v>2815</v>
      </c>
      <c r="P563" s="587">
        <f t="shared" ref="P563:P574" si="1539">F563+150</f>
        <v>2775</v>
      </c>
      <c r="Q563" s="338">
        <f t="shared" ref="Q563" si="1540">+P563*$X$1</f>
        <v>2775</v>
      </c>
      <c r="R563" s="587">
        <f t="shared" ref="R563:R574" si="1541">F563+130</f>
        <v>2755</v>
      </c>
      <c r="S563" s="338">
        <f t="shared" ref="S563" si="1542">+R563*$X$1</f>
        <v>2755</v>
      </c>
      <c r="T563" s="587">
        <f t="shared" ref="T563:T574" si="1543">F563+115</f>
        <v>2740</v>
      </c>
      <c r="U563" s="338">
        <f t="shared" ref="U563" si="1544">+T563*$X$1</f>
        <v>2740</v>
      </c>
      <c r="V563" s="587">
        <f t="shared" ref="V563:V574" si="1545">F563+105</f>
        <v>2730</v>
      </c>
      <c r="W563" s="338">
        <f t="shared" ref="W563" si="1546">+V563*$X$1</f>
        <v>2730</v>
      </c>
      <c r="X563" s="156"/>
      <c r="Y563" s="157"/>
      <c r="Z563" s="157"/>
      <c r="AA563" s="157"/>
      <c r="AB563" s="34"/>
    </row>
    <row r="564" spans="1:34" ht="12.6" customHeight="1" x14ac:dyDescent="0.2">
      <c r="A564" s="20"/>
      <c r="B564" s="703" t="s">
        <v>459</v>
      </c>
      <c r="C564" s="752"/>
      <c r="D564" s="752"/>
      <c r="E564" s="753"/>
      <c r="F564" s="337">
        <v>1260</v>
      </c>
      <c r="G564" s="299"/>
      <c r="H564" s="375"/>
      <c r="I564" s="337"/>
      <c r="J564" s="375"/>
      <c r="K564" s="337"/>
      <c r="L564" s="375">
        <f t="shared" si="1535"/>
        <v>1500</v>
      </c>
      <c r="M564" s="337">
        <f t="shared" ref="M564" si="1547">+L564*$X$1</f>
        <v>1500</v>
      </c>
      <c r="N564" s="375">
        <f t="shared" si="1537"/>
        <v>1450</v>
      </c>
      <c r="O564" s="337">
        <f t="shared" ref="O564" si="1548">+N564*$X$1</f>
        <v>1450</v>
      </c>
      <c r="P564" s="375">
        <f t="shared" si="1539"/>
        <v>1410</v>
      </c>
      <c r="Q564" s="337">
        <f t="shared" ref="Q564" si="1549">+P564*$X$1</f>
        <v>1410</v>
      </c>
      <c r="R564" s="375">
        <f t="shared" si="1541"/>
        <v>1390</v>
      </c>
      <c r="S564" s="337">
        <f t="shared" ref="S564" si="1550">+R564*$X$1</f>
        <v>1390</v>
      </c>
      <c r="T564" s="375">
        <f t="shared" si="1543"/>
        <v>1375</v>
      </c>
      <c r="U564" s="337">
        <f t="shared" ref="U564" si="1551">+T564*$X$1</f>
        <v>1375</v>
      </c>
      <c r="V564" s="375">
        <f t="shared" si="1545"/>
        <v>1365</v>
      </c>
      <c r="W564" s="337">
        <f t="shared" ref="W564" si="1552">+V564*$X$1</f>
        <v>1365</v>
      </c>
      <c r="X564" s="156"/>
      <c r="Y564" s="157"/>
      <c r="Z564" s="157"/>
      <c r="AA564" s="157"/>
      <c r="AB564" s="34"/>
    </row>
    <row r="565" spans="1:34" ht="12.6" customHeight="1" x14ac:dyDescent="0.2">
      <c r="A565" s="20"/>
      <c r="B565" s="795" t="s">
        <v>518</v>
      </c>
      <c r="C565" s="796"/>
      <c r="D565" s="796"/>
      <c r="E565" s="797"/>
      <c r="F565" s="380">
        <v>2520</v>
      </c>
      <c r="G565" s="363"/>
      <c r="H565" s="587">
        <f t="shared" ref="H565:H571" si="1553">F565+570</f>
        <v>3090</v>
      </c>
      <c r="I565" s="338">
        <f t="shared" ref="I565:I571" si="1554">+H565*$X$1</f>
        <v>3090</v>
      </c>
      <c r="J565" s="587">
        <f t="shared" ref="J565:J574" si="1555">F565+290</f>
        <v>2810</v>
      </c>
      <c r="K565" s="338">
        <f t="shared" ref="K565:K567" si="1556">+J565*$X$1</f>
        <v>2810</v>
      </c>
      <c r="L565" s="587">
        <f t="shared" si="1535"/>
        <v>2760</v>
      </c>
      <c r="M565" s="338">
        <f t="shared" ref="M565:M567" si="1557">+L565*$X$1</f>
        <v>2760</v>
      </c>
      <c r="N565" s="587">
        <f t="shared" si="1537"/>
        <v>2710</v>
      </c>
      <c r="O565" s="338">
        <f t="shared" ref="O565:O567" si="1558">+N565*$X$1</f>
        <v>2710</v>
      </c>
      <c r="P565" s="587">
        <f t="shared" si="1539"/>
        <v>2670</v>
      </c>
      <c r="Q565" s="338">
        <f t="shared" ref="Q565:Q567" si="1559">+P565*$X$1</f>
        <v>2670</v>
      </c>
      <c r="R565" s="587">
        <f t="shared" si="1541"/>
        <v>2650</v>
      </c>
      <c r="S565" s="338">
        <f t="shared" ref="S565:S567" si="1560">+R565*$X$1</f>
        <v>2650</v>
      </c>
      <c r="T565" s="587">
        <f t="shared" si="1543"/>
        <v>2635</v>
      </c>
      <c r="U565" s="338">
        <f t="shared" ref="U565:U567" si="1561">+T565*$X$1</f>
        <v>2635</v>
      </c>
      <c r="V565" s="587">
        <f t="shared" si="1545"/>
        <v>2625</v>
      </c>
      <c r="W565" s="338">
        <f t="shared" ref="W565:W567" si="1562">+V565*$X$1</f>
        <v>2625</v>
      </c>
      <c r="X565" s="156"/>
      <c r="Y565" s="157"/>
      <c r="Z565" s="157"/>
      <c r="AA565" s="157"/>
      <c r="AB565" s="34"/>
    </row>
    <row r="566" spans="1:34" ht="12.6" customHeight="1" x14ac:dyDescent="0.2">
      <c r="A566" s="20"/>
      <c r="B566" s="703" t="s">
        <v>313</v>
      </c>
      <c r="C566" s="706"/>
      <c r="D566" s="706"/>
      <c r="E566" s="707"/>
      <c r="F566" s="364">
        <v>5040</v>
      </c>
      <c r="G566" s="299"/>
      <c r="H566" s="375">
        <f t="shared" si="1553"/>
        <v>5610</v>
      </c>
      <c r="I566" s="337">
        <f t="shared" si="1554"/>
        <v>5610</v>
      </c>
      <c r="J566" s="375">
        <f t="shared" si="1555"/>
        <v>5330</v>
      </c>
      <c r="K566" s="337">
        <f t="shared" si="1556"/>
        <v>5330</v>
      </c>
      <c r="L566" s="375">
        <f t="shared" si="1535"/>
        <v>5280</v>
      </c>
      <c r="M566" s="337">
        <f t="shared" si="1557"/>
        <v>5280</v>
      </c>
      <c r="N566" s="375">
        <f t="shared" si="1537"/>
        <v>5230</v>
      </c>
      <c r="O566" s="337">
        <f t="shared" si="1558"/>
        <v>5230</v>
      </c>
      <c r="P566" s="375">
        <f t="shared" si="1539"/>
        <v>5190</v>
      </c>
      <c r="Q566" s="337">
        <f t="shared" si="1559"/>
        <v>5190</v>
      </c>
      <c r="R566" s="375">
        <f t="shared" si="1541"/>
        <v>5170</v>
      </c>
      <c r="S566" s="337">
        <f t="shared" si="1560"/>
        <v>5170</v>
      </c>
      <c r="T566" s="375">
        <f t="shared" si="1543"/>
        <v>5155</v>
      </c>
      <c r="U566" s="337">
        <f t="shared" si="1561"/>
        <v>5155</v>
      </c>
      <c r="V566" s="375">
        <f t="shared" si="1545"/>
        <v>5145</v>
      </c>
      <c r="W566" s="337">
        <f t="shared" si="1562"/>
        <v>5145</v>
      </c>
      <c r="X566" s="156"/>
      <c r="Y566" s="157"/>
      <c r="Z566" s="157"/>
      <c r="AA566" s="157"/>
      <c r="AB566" s="34"/>
    </row>
    <row r="567" spans="1:34" ht="12.6" customHeight="1" x14ac:dyDescent="0.2">
      <c r="A567" s="20"/>
      <c r="B567" s="954" t="s">
        <v>314</v>
      </c>
      <c r="C567" s="955"/>
      <c r="D567" s="955"/>
      <c r="E567" s="956"/>
      <c r="F567" s="521">
        <v>2541</v>
      </c>
      <c r="G567" s="363">
        <f>+F567*$X$1</f>
        <v>2541</v>
      </c>
      <c r="H567" s="612">
        <f t="shared" si="1553"/>
        <v>3111</v>
      </c>
      <c r="I567" s="338">
        <f t="shared" si="1554"/>
        <v>3111</v>
      </c>
      <c r="J567" s="612">
        <f t="shared" si="1555"/>
        <v>2831</v>
      </c>
      <c r="K567" s="338">
        <f t="shared" si="1556"/>
        <v>2831</v>
      </c>
      <c r="L567" s="612">
        <f t="shared" si="1535"/>
        <v>2781</v>
      </c>
      <c r="M567" s="338">
        <f t="shared" si="1557"/>
        <v>2781</v>
      </c>
      <c r="N567" s="612">
        <f t="shared" si="1537"/>
        <v>2731</v>
      </c>
      <c r="O567" s="338">
        <f t="shared" si="1558"/>
        <v>2731</v>
      </c>
      <c r="P567" s="612">
        <f t="shared" si="1539"/>
        <v>2691</v>
      </c>
      <c r="Q567" s="338">
        <f t="shared" si="1559"/>
        <v>2691</v>
      </c>
      <c r="R567" s="612">
        <f t="shared" si="1541"/>
        <v>2671</v>
      </c>
      <c r="S567" s="338">
        <f t="shared" si="1560"/>
        <v>2671</v>
      </c>
      <c r="T567" s="612">
        <f t="shared" si="1543"/>
        <v>2656</v>
      </c>
      <c r="U567" s="338">
        <f t="shared" si="1561"/>
        <v>2656</v>
      </c>
      <c r="V567" s="612">
        <f t="shared" si="1545"/>
        <v>2646</v>
      </c>
      <c r="W567" s="338">
        <f t="shared" si="1562"/>
        <v>2646</v>
      </c>
      <c r="X567" s="156"/>
      <c r="Y567" s="157"/>
      <c r="Z567" s="157"/>
      <c r="AA567" s="157"/>
      <c r="AB567" s="34"/>
    </row>
    <row r="568" spans="1:34" ht="12.6" customHeight="1" x14ac:dyDescent="0.2">
      <c r="A568" s="20"/>
      <c r="B568" s="1101" t="s">
        <v>315</v>
      </c>
      <c r="C568" s="1102"/>
      <c r="D568" s="1102"/>
      <c r="E568" s="1102"/>
      <c r="F568" s="337">
        <v>2310</v>
      </c>
      <c r="G568" s="299">
        <f>+F568*$X$1</f>
        <v>2310</v>
      </c>
      <c r="H568" s="375">
        <f t="shared" si="1553"/>
        <v>2880</v>
      </c>
      <c r="I568" s="337">
        <f t="shared" si="1554"/>
        <v>2880</v>
      </c>
      <c r="J568" s="375">
        <f t="shared" si="1555"/>
        <v>2600</v>
      </c>
      <c r="K568" s="337">
        <f t="shared" ref="K568:K569" si="1563">+J568*$X$1</f>
        <v>2600</v>
      </c>
      <c r="L568" s="375">
        <f t="shared" si="1535"/>
        <v>2550</v>
      </c>
      <c r="M568" s="337">
        <f t="shared" ref="M568:M569" si="1564">+L568*$X$1</f>
        <v>2550</v>
      </c>
      <c r="N568" s="375">
        <f t="shared" si="1537"/>
        <v>2500</v>
      </c>
      <c r="O568" s="337">
        <f t="shared" ref="O568:O569" si="1565">+N568*$X$1</f>
        <v>2500</v>
      </c>
      <c r="P568" s="375">
        <f t="shared" si="1539"/>
        <v>2460</v>
      </c>
      <c r="Q568" s="337">
        <f t="shared" ref="Q568:Q569" si="1566">+P568*$X$1</f>
        <v>2460</v>
      </c>
      <c r="R568" s="375">
        <f t="shared" si="1541"/>
        <v>2440</v>
      </c>
      <c r="S568" s="337">
        <f t="shared" ref="S568:S569" si="1567">+R568*$X$1</f>
        <v>2440</v>
      </c>
      <c r="T568" s="375">
        <f t="shared" si="1543"/>
        <v>2425</v>
      </c>
      <c r="U568" s="337">
        <f t="shared" ref="U568:U569" si="1568">+T568*$X$1</f>
        <v>2425</v>
      </c>
      <c r="V568" s="375">
        <f t="shared" si="1545"/>
        <v>2415</v>
      </c>
      <c r="W568" s="337">
        <f t="shared" ref="W568:W569" si="1569">+V568*$X$1</f>
        <v>2415</v>
      </c>
      <c r="X568" s="156"/>
      <c r="Y568" s="157"/>
      <c r="Z568" s="157"/>
      <c r="AA568" s="157"/>
      <c r="AB568" s="34"/>
    </row>
    <row r="569" spans="1:34" ht="12.6" customHeight="1" x14ac:dyDescent="0.2">
      <c r="A569" s="20"/>
      <c r="B569" s="757" t="s">
        <v>598</v>
      </c>
      <c r="C569" s="758"/>
      <c r="D569" s="758"/>
      <c r="E569" s="759"/>
      <c r="F569" s="380">
        <v>4127</v>
      </c>
      <c r="G569" s="363">
        <f>+F569*$X$1</f>
        <v>4127</v>
      </c>
      <c r="H569" s="612">
        <f t="shared" si="1553"/>
        <v>4697</v>
      </c>
      <c r="I569" s="338">
        <f t="shared" si="1554"/>
        <v>4697</v>
      </c>
      <c r="J569" s="612">
        <f t="shared" si="1555"/>
        <v>4417</v>
      </c>
      <c r="K569" s="338">
        <f t="shared" si="1563"/>
        <v>4417</v>
      </c>
      <c r="L569" s="612">
        <f t="shared" si="1535"/>
        <v>4367</v>
      </c>
      <c r="M569" s="338">
        <f t="shared" si="1564"/>
        <v>4367</v>
      </c>
      <c r="N569" s="612">
        <f t="shared" si="1537"/>
        <v>4317</v>
      </c>
      <c r="O569" s="338">
        <f t="shared" si="1565"/>
        <v>4317</v>
      </c>
      <c r="P569" s="612">
        <f t="shared" si="1539"/>
        <v>4277</v>
      </c>
      <c r="Q569" s="338">
        <f t="shared" si="1566"/>
        <v>4277</v>
      </c>
      <c r="R569" s="612">
        <f t="shared" si="1541"/>
        <v>4257</v>
      </c>
      <c r="S569" s="338">
        <f t="shared" si="1567"/>
        <v>4257</v>
      </c>
      <c r="T569" s="612">
        <f t="shared" si="1543"/>
        <v>4242</v>
      </c>
      <c r="U569" s="338">
        <f t="shared" si="1568"/>
        <v>4242</v>
      </c>
      <c r="V569" s="612">
        <f t="shared" si="1545"/>
        <v>4232</v>
      </c>
      <c r="W569" s="338">
        <f t="shared" si="1569"/>
        <v>4232</v>
      </c>
      <c r="X569" s="156"/>
      <c r="Y569" s="157"/>
      <c r="Z569" s="157"/>
      <c r="AA569" s="157"/>
      <c r="AB569" s="34"/>
    </row>
    <row r="570" spans="1:34" ht="12.6" customHeight="1" x14ac:dyDescent="0.2">
      <c r="A570" s="20"/>
      <c r="B570" s="1046" t="s">
        <v>911</v>
      </c>
      <c r="C570" s="1047"/>
      <c r="D570" s="1047"/>
      <c r="E570" s="1048"/>
      <c r="F570" s="364">
        <v>6405</v>
      </c>
      <c r="G570" s="299">
        <f>+F570*$X$1</f>
        <v>6405</v>
      </c>
      <c r="H570" s="375">
        <f t="shared" si="1553"/>
        <v>6975</v>
      </c>
      <c r="I570" s="337">
        <f t="shared" si="1554"/>
        <v>6975</v>
      </c>
      <c r="J570" s="375">
        <f t="shared" si="1555"/>
        <v>6695</v>
      </c>
      <c r="K570" s="337">
        <f t="shared" ref="K570:K574" si="1570">+J570*$X$1</f>
        <v>6695</v>
      </c>
      <c r="L570" s="375">
        <f t="shared" si="1535"/>
        <v>6645</v>
      </c>
      <c r="M570" s="337">
        <f t="shared" ref="M570:M574" si="1571">+L570*$X$1</f>
        <v>6645</v>
      </c>
      <c r="N570" s="375">
        <f t="shared" si="1537"/>
        <v>6595</v>
      </c>
      <c r="O570" s="337">
        <f t="shared" ref="O570:O574" si="1572">+N570*$X$1</f>
        <v>6595</v>
      </c>
      <c r="P570" s="375">
        <f t="shared" si="1539"/>
        <v>6555</v>
      </c>
      <c r="Q570" s="337">
        <f t="shared" ref="Q570:Q574" si="1573">+P570*$X$1</f>
        <v>6555</v>
      </c>
      <c r="R570" s="375">
        <f t="shared" si="1541"/>
        <v>6535</v>
      </c>
      <c r="S570" s="337">
        <f t="shared" ref="S570:S574" si="1574">+R570*$X$1</f>
        <v>6535</v>
      </c>
      <c r="T570" s="375">
        <f t="shared" si="1543"/>
        <v>6520</v>
      </c>
      <c r="U570" s="337">
        <f t="shared" ref="U570:U574" si="1575">+T570*$X$1</f>
        <v>6520</v>
      </c>
      <c r="V570" s="375">
        <f t="shared" si="1545"/>
        <v>6510</v>
      </c>
      <c r="W570" s="337">
        <f t="shared" ref="W570:W574" si="1576">+V570*$X$1</f>
        <v>6510</v>
      </c>
      <c r="X570" s="156"/>
      <c r="Y570" s="157"/>
      <c r="Z570" s="157"/>
      <c r="AA570" s="157"/>
      <c r="AB570" s="34"/>
    </row>
    <row r="571" spans="1:34" ht="12.6" customHeight="1" x14ac:dyDescent="0.2">
      <c r="A571" s="20"/>
      <c r="B571" s="795" t="s">
        <v>582</v>
      </c>
      <c r="C571" s="796"/>
      <c r="D571" s="796"/>
      <c r="E571" s="797"/>
      <c r="F571" s="380">
        <v>6200</v>
      </c>
      <c r="G571" s="363">
        <f>+F571*$X$1</f>
        <v>6200</v>
      </c>
      <c r="H571" s="587">
        <f t="shared" si="1553"/>
        <v>6770</v>
      </c>
      <c r="I571" s="338">
        <f t="shared" si="1554"/>
        <v>6770</v>
      </c>
      <c r="J571" s="587">
        <f t="shared" si="1555"/>
        <v>6490</v>
      </c>
      <c r="K571" s="338">
        <f t="shared" si="1570"/>
        <v>6490</v>
      </c>
      <c r="L571" s="587">
        <f t="shared" si="1535"/>
        <v>6440</v>
      </c>
      <c r="M571" s="338">
        <f t="shared" si="1571"/>
        <v>6440</v>
      </c>
      <c r="N571" s="587">
        <f t="shared" si="1537"/>
        <v>6390</v>
      </c>
      <c r="O571" s="338">
        <f t="shared" si="1572"/>
        <v>6390</v>
      </c>
      <c r="P571" s="587">
        <f t="shared" si="1539"/>
        <v>6350</v>
      </c>
      <c r="Q571" s="338">
        <f t="shared" si="1573"/>
        <v>6350</v>
      </c>
      <c r="R571" s="587">
        <f t="shared" si="1541"/>
        <v>6330</v>
      </c>
      <c r="S571" s="338">
        <f t="shared" si="1574"/>
        <v>6330</v>
      </c>
      <c r="T571" s="587">
        <f t="shared" si="1543"/>
        <v>6315</v>
      </c>
      <c r="U571" s="338">
        <f t="shared" si="1575"/>
        <v>6315</v>
      </c>
      <c r="V571" s="587">
        <f t="shared" si="1545"/>
        <v>6305</v>
      </c>
      <c r="W571" s="338">
        <f t="shared" si="1576"/>
        <v>6305</v>
      </c>
      <c r="X571" s="156"/>
      <c r="Y571" s="157"/>
      <c r="Z571" s="157"/>
      <c r="AA571" s="157"/>
      <c r="AB571" s="34"/>
    </row>
    <row r="572" spans="1:34" ht="12.6" customHeight="1" x14ac:dyDescent="0.2">
      <c r="A572" s="4"/>
      <c r="B572" s="909" t="s">
        <v>524</v>
      </c>
      <c r="C572" s="706"/>
      <c r="D572" s="706"/>
      <c r="E572" s="707"/>
      <c r="F572" s="337">
        <v>1785</v>
      </c>
      <c r="G572" s="299">
        <f t="shared" ref="G572:G574" si="1577">+F572*$X$1</f>
        <v>1785</v>
      </c>
      <c r="H572" s="375"/>
      <c r="I572" s="337"/>
      <c r="J572" s="375">
        <f t="shared" si="1555"/>
        <v>2075</v>
      </c>
      <c r="K572" s="337">
        <f t="shared" si="1570"/>
        <v>2075</v>
      </c>
      <c r="L572" s="375">
        <f t="shared" si="1535"/>
        <v>2025</v>
      </c>
      <c r="M572" s="337">
        <f t="shared" si="1571"/>
        <v>2025</v>
      </c>
      <c r="N572" s="375">
        <f t="shared" si="1537"/>
        <v>1975</v>
      </c>
      <c r="O572" s="337">
        <f t="shared" si="1572"/>
        <v>1975</v>
      </c>
      <c r="P572" s="375">
        <f t="shared" si="1539"/>
        <v>1935</v>
      </c>
      <c r="Q572" s="337">
        <f t="shared" si="1573"/>
        <v>1935</v>
      </c>
      <c r="R572" s="375">
        <f t="shared" si="1541"/>
        <v>1915</v>
      </c>
      <c r="S572" s="337">
        <f t="shared" si="1574"/>
        <v>1915</v>
      </c>
      <c r="T572" s="375">
        <f t="shared" si="1543"/>
        <v>1900</v>
      </c>
      <c r="U572" s="337">
        <f t="shared" si="1575"/>
        <v>1900</v>
      </c>
      <c r="V572" s="375">
        <f t="shared" si="1545"/>
        <v>1890</v>
      </c>
      <c r="W572" s="337">
        <f t="shared" si="1576"/>
        <v>1890</v>
      </c>
      <c r="X572" s="156"/>
      <c r="Y572" s="141"/>
      <c r="Z572" s="158"/>
      <c r="AA572" s="158"/>
      <c r="AB572" s="522" t="s">
        <v>523</v>
      </c>
    </row>
    <row r="573" spans="1:34" ht="12.6" customHeight="1" x14ac:dyDescent="0.2">
      <c r="A573" s="4"/>
      <c r="B573" s="731" t="s">
        <v>522</v>
      </c>
      <c r="C573" s="796"/>
      <c r="D573" s="796"/>
      <c r="E573" s="797"/>
      <c r="F573" s="338">
        <v>1785</v>
      </c>
      <c r="G573" s="363">
        <f t="shared" si="1577"/>
        <v>1785</v>
      </c>
      <c r="H573" s="587"/>
      <c r="I573" s="338"/>
      <c r="J573" s="587">
        <f t="shared" si="1555"/>
        <v>2075</v>
      </c>
      <c r="K573" s="338">
        <f t="shared" si="1570"/>
        <v>2075</v>
      </c>
      <c r="L573" s="587">
        <f t="shared" si="1535"/>
        <v>2025</v>
      </c>
      <c r="M573" s="338">
        <f t="shared" si="1571"/>
        <v>2025</v>
      </c>
      <c r="N573" s="587">
        <f t="shared" si="1537"/>
        <v>1975</v>
      </c>
      <c r="O573" s="338">
        <f t="shared" si="1572"/>
        <v>1975</v>
      </c>
      <c r="P573" s="587">
        <f t="shared" si="1539"/>
        <v>1935</v>
      </c>
      <c r="Q573" s="338">
        <f t="shared" si="1573"/>
        <v>1935</v>
      </c>
      <c r="R573" s="587">
        <f t="shared" si="1541"/>
        <v>1915</v>
      </c>
      <c r="S573" s="338">
        <f t="shared" si="1574"/>
        <v>1915</v>
      </c>
      <c r="T573" s="587">
        <f t="shared" si="1543"/>
        <v>1900</v>
      </c>
      <c r="U573" s="338">
        <f t="shared" si="1575"/>
        <v>1900</v>
      </c>
      <c r="V573" s="587">
        <f t="shared" si="1545"/>
        <v>1890</v>
      </c>
      <c r="W573" s="338">
        <f t="shared" si="1576"/>
        <v>1890</v>
      </c>
      <c r="X573" s="156"/>
      <c r="Y573" s="141"/>
      <c r="Z573" s="158"/>
      <c r="AA573" s="158"/>
      <c r="AB573" s="522" t="s">
        <v>519</v>
      </c>
    </row>
    <row r="574" spans="1:34" ht="12.6" customHeight="1" x14ac:dyDescent="0.2">
      <c r="A574" s="4"/>
      <c r="B574" s="909" t="s">
        <v>520</v>
      </c>
      <c r="C574" s="706"/>
      <c r="D574" s="706"/>
      <c r="E574" s="707"/>
      <c r="F574" s="337">
        <v>2625</v>
      </c>
      <c r="G574" s="299">
        <f t="shared" si="1577"/>
        <v>2625</v>
      </c>
      <c r="H574" s="375"/>
      <c r="I574" s="337"/>
      <c r="J574" s="375">
        <f t="shared" si="1555"/>
        <v>2915</v>
      </c>
      <c r="K574" s="337">
        <f t="shared" si="1570"/>
        <v>2915</v>
      </c>
      <c r="L574" s="375">
        <f t="shared" si="1535"/>
        <v>2865</v>
      </c>
      <c r="M574" s="337">
        <f t="shared" si="1571"/>
        <v>2865</v>
      </c>
      <c r="N574" s="375">
        <f t="shared" si="1537"/>
        <v>2815</v>
      </c>
      <c r="O574" s="337">
        <f t="shared" si="1572"/>
        <v>2815</v>
      </c>
      <c r="P574" s="375">
        <f t="shared" si="1539"/>
        <v>2775</v>
      </c>
      <c r="Q574" s="337">
        <f t="shared" si="1573"/>
        <v>2775</v>
      </c>
      <c r="R574" s="375">
        <f t="shared" si="1541"/>
        <v>2755</v>
      </c>
      <c r="S574" s="337">
        <f t="shared" si="1574"/>
        <v>2755</v>
      </c>
      <c r="T574" s="375">
        <f t="shared" si="1543"/>
        <v>2740</v>
      </c>
      <c r="U574" s="337">
        <f t="shared" si="1575"/>
        <v>2740</v>
      </c>
      <c r="V574" s="375">
        <f t="shared" si="1545"/>
        <v>2730</v>
      </c>
      <c r="W574" s="337">
        <f t="shared" si="1576"/>
        <v>2730</v>
      </c>
      <c r="X574" s="156"/>
      <c r="Y574" s="141"/>
      <c r="Z574" s="158"/>
      <c r="AA574" s="158"/>
      <c r="AB574" s="522" t="s">
        <v>521</v>
      </c>
    </row>
    <row r="575" spans="1:34" ht="12.6" customHeight="1" x14ac:dyDescent="0.2">
      <c r="A575" s="4"/>
      <c r="B575" s="731" t="s">
        <v>316</v>
      </c>
      <c r="C575" s="796"/>
      <c r="D575" s="796"/>
      <c r="E575" s="797"/>
      <c r="F575" s="381"/>
      <c r="G575" s="98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156"/>
      <c r="Y575" s="141"/>
      <c r="Z575" s="158"/>
      <c r="AA575" s="158"/>
      <c r="AB575" s="522" t="s">
        <v>317</v>
      </c>
    </row>
    <row r="576" spans="1:34" ht="12.6" customHeight="1" x14ac:dyDescent="0.2">
      <c r="A576" s="4"/>
      <c r="B576" s="909" t="s">
        <v>318</v>
      </c>
      <c r="C576" s="706"/>
      <c r="D576" s="706"/>
      <c r="E576" s="707"/>
      <c r="F576" s="264"/>
      <c r="G576" s="100"/>
      <c r="H576" s="264"/>
      <c r="I576" s="264"/>
      <c r="J576" s="264"/>
      <c r="K576" s="264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156"/>
      <c r="Y576" s="141"/>
      <c r="Z576" s="158"/>
      <c r="AA576" s="158"/>
      <c r="AB576" s="522"/>
    </row>
    <row r="577" spans="1:34" ht="12.6" customHeight="1" x14ac:dyDescent="0.2">
      <c r="A577" s="4"/>
      <c r="B577" s="687" t="s">
        <v>319</v>
      </c>
      <c r="C577" s="688"/>
      <c r="D577" s="688"/>
      <c r="E577" s="688"/>
      <c r="F577" s="97"/>
      <c r="G577" s="98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156"/>
      <c r="Y577" s="141"/>
      <c r="Z577" s="158"/>
      <c r="AA577" s="158"/>
      <c r="AB577" s="522">
        <v>730</v>
      </c>
    </row>
    <row r="578" spans="1:34" ht="12.6" customHeight="1" x14ac:dyDescent="0.2">
      <c r="A578" s="4"/>
      <c r="B578" s="737" t="s">
        <v>320</v>
      </c>
      <c r="C578" s="709"/>
      <c r="D578" s="709"/>
      <c r="E578" s="709"/>
      <c r="F578" s="264"/>
      <c r="G578" s="100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156"/>
      <c r="Y578" s="141"/>
      <c r="Z578" s="158"/>
      <c r="AA578" s="158"/>
      <c r="AB578" s="522">
        <v>731</v>
      </c>
    </row>
    <row r="579" spans="1:34" ht="12.6" customHeight="1" x14ac:dyDescent="0.2">
      <c r="A579" s="4"/>
      <c r="B579" s="687" t="s">
        <v>461</v>
      </c>
      <c r="C579" s="688"/>
      <c r="D579" s="688"/>
      <c r="E579" s="688"/>
      <c r="F579" s="97"/>
      <c r="G579" s="98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150"/>
      <c r="Y579" s="145"/>
      <c r="Z579" s="151"/>
      <c r="AA579" s="152"/>
      <c r="AB579" s="522">
        <v>735</v>
      </c>
    </row>
    <row r="580" spans="1:34" ht="12.6" customHeight="1" x14ac:dyDescent="0.2">
      <c r="A580" s="4"/>
      <c r="B580" s="737" t="s">
        <v>460</v>
      </c>
      <c r="C580" s="709"/>
      <c r="D580" s="709"/>
      <c r="E580" s="709"/>
      <c r="F580" s="264"/>
      <c r="G580" s="100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150"/>
      <c r="Y580" s="145"/>
      <c r="Z580" s="151"/>
      <c r="AA580" s="152"/>
      <c r="AB580" s="522">
        <v>736</v>
      </c>
    </row>
    <row r="581" spans="1:34" ht="12.6" customHeight="1" x14ac:dyDescent="0.2">
      <c r="A581" s="4"/>
      <c r="B581" s="687" t="s">
        <v>321</v>
      </c>
      <c r="C581" s="702"/>
      <c r="D581" s="702"/>
      <c r="E581" s="702"/>
      <c r="F581" s="105"/>
      <c r="G581" s="98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150"/>
      <c r="Y581" s="145"/>
      <c r="Z581" s="151"/>
      <c r="AA581" s="152"/>
      <c r="AB581" s="522">
        <v>986</v>
      </c>
    </row>
    <row r="582" spans="1:34" ht="12.6" customHeight="1" x14ac:dyDescent="0.2">
      <c r="A582" s="4"/>
      <c r="B582" s="737" t="s">
        <v>477</v>
      </c>
      <c r="C582" s="751"/>
      <c r="D582" s="751"/>
      <c r="E582" s="751"/>
      <c r="F582" s="264"/>
      <c r="G582" s="100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150"/>
      <c r="Y582" s="145"/>
      <c r="Z582" s="151"/>
      <c r="AA582" s="152"/>
      <c r="AB582" s="522"/>
    </row>
    <row r="583" spans="1:34" ht="12.6" customHeight="1" x14ac:dyDescent="0.2">
      <c r="A583" s="4"/>
      <c r="B583" s="687" t="s">
        <v>419</v>
      </c>
      <c r="C583" s="702"/>
      <c r="D583" s="702"/>
      <c r="E583" s="702"/>
      <c r="F583" s="105"/>
      <c r="G583" s="98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150"/>
      <c r="Y583" s="145"/>
      <c r="Z583" s="151"/>
      <c r="AA583" s="152"/>
      <c r="AB583" s="522">
        <v>987</v>
      </c>
    </row>
    <row r="584" spans="1:34" ht="12.6" customHeight="1" x14ac:dyDescent="0.2">
      <c r="A584" s="4"/>
      <c r="B584" s="737" t="s">
        <v>478</v>
      </c>
      <c r="C584" s="751"/>
      <c r="D584" s="751"/>
      <c r="E584" s="751"/>
      <c r="F584" s="264"/>
      <c r="G584" s="100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150"/>
      <c r="Y584" s="145"/>
      <c r="Z584" s="151"/>
      <c r="AA584" s="152"/>
      <c r="AB584" s="522"/>
    </row>
    <row r="585" spans="1:34" ht="12.6" customHeight="1" x14ac:dyDescent="0.2">
      <c r="A585" s="4"/>
      <c r="B585" s="687" t="s">
        <v>322</v>
      </c>
      <c r="C585" s="688"/>
      <c r="D585" s="688"/>
      <c r="E585" s="688"/>
      <c r="F585" s="97"/>
      <c r="G585" s="98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150"/>
      <c r="Y585" s="145"/>
      <c r="Z585" s="151"/>
      <c r="AA585" s="152"/>
      <c r="AB585" s="522">
        <v>989</v>
      </c>
    </row>
    <row r="586" spans="1:34" ht="12.6" customHeight="1" x14ac:dyDescent="0.2">
      <c r="A586" s="4"/>
      <c r="B586" s="737" t="s">
        <v>323</v>
      </c>
      <c r="C586" s="709"/>
      <c r="D586" s="709"/>
      <c r="E586" s="709"/>
      <c r="F586" s="264"/>
      <c r="G586" s="100"/>
      <c r="H586" s="264"/>
      <c r="I586" s="264"/>
      <c r="J586" s="264"/>
      <c r="K586" s="264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150"/>
      <c r="Y586" s="145"/>
      <c r="Z586" s="151"/>
      <c r="AA586" s="152"/>
      <c r="AB586" s="545" t="s">
        <v>324</v>
      </c>
    </row>
    <row r="587" spans="1:34" ht="12.6" customHeight="1" x14ac:dyDescent="0.2">
      <c r="A587" s="4"/>
      <c r="B587" s="687" t="s">
        <v>325</v>
      </c>
      <c r="C587" s="702"/>
      <c r="D587" s="702"/>
      <c r="E587" s="702"/>
      <c r="F587" s="97"/>
      <c r="G587" s="98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153"/>
      <c r="Y587" s="143"/>
      <c r="Z587" s="154"/>
      <c r="AA587" s="155"/>
      <c r="AB587" s="34"/>
    </row>
    <row r="588" spans="1:34" ht="9" customHeight="1" thickBot="1" x14ac:dyDescent="0.25">
      <c r="A588" s="79"/>
      <c r="B588" s="115"/>
      <c r="C588" s="215"/>
      <c r="D588" s="215"/>
      <c r="E588" s="215"/>
      <c r="F588" s="139"/>
      <c r="G588" s="127"/>
      <c r="H588" s="127"/>
      <c r="I588" s="127"/>
      <c r="J588" s="127"/>
      <c r="K588" s="127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216"/>
      <c r="Y588" s="79"/>
      <c r="Z588" s="217"/>
      <c r="AA588" s="217"/>
      <c r="AB588" s="218"/>
    </row>
    <row r="589" spans="1:34" ht="13.5" customHeight="1" thickBot="1" x14ac:dyDescent="0.25">
      <c r="B589" s="1285" t="s">
        <v>326</v>
      </c>
      <c r="C589" s="1286"/>
      <c r="D589" s="1286"/>
      <c r="E589" s="1286"/>
      <c r="F589" s="1286"/>
      <c r="G589" s="1286"/>
      <c r="H589" s="1286"/>
      <c r="I589" s="1286"/>
      <c r="J589" s="1286"/>
      <c r="K589" s="1286"/>
      <c r="L589" s="1286"/>
      <c r="M589" s="1286"/>
      <c r="N589" s="1286"/>
      <c r="O589" s="1286"/>
      <c r="P589" s="1286"/>
      <c r="Q589" s="1286"/>
      <c r="R589" s="1286"/>
      <c r="S589" s="1286"/>
      <c r="T589" s="1287"/>
      <c r="U589" s="1287"/>
      <c r="V589" s="1288"/>
      <c r="W589" s="1289"/>
      <c r="AB589" s="4"/>
    </row>
    <row r="590" spans="1:34" ht="12" customHeight="1" x14ac:dyDescent="0.2">
      <c r="B590" s="1215" t="s">
        <v>11</v>
      </c>
      <c r="C590" s="951" t="s">
        <v>12</v>
      </c>
      <c r="D590" s="952"/>
      <c r="E590" s="952"/>
      <c r="F590" s="804" t="s">
        <v>307</v>
      </c>
      <c r="G590" s="804" t="s">
        <v>13</v>
      </c>
      <c r="H590" s="958" t="s">
        <v>327</v>
      </c>
      <c r="I590" s="959"/>
      <c r="J590" s="960"/>
      <c r="K590" s="960"/>
      <c r="L590" s="960"/>
      <c r="M590" s="960"/>
      <c r="N590" s="960"/>
      <c r="O590" s="960"/>
      <c r="P590" s="960"/>
      <c r="Q590" s="960"/>
      <c r="R590" s="960"/>
      <c r="S590" s="960"/>
      <c r="T590" s="961"/>
      <c r="U590" s="961"/>
      <c r="V590" s="962"/>
      <c r="W590" s="963"/>
      <c r="X590" s="746" t="s">
        <v>15</v>
      </c>
      <c r="Y590" s="868"/>
      <c r="Z590" s="868"/>
      <c r="AA590" s="869"/>
      <c r="AB590" s="743" t="s">
        <v>16</v>
      </c>
      <c r="AF590" s="741" t="s">
        <v>3</v>
      </c>
      <c r="AG590" s="742"/>
      <c r="AH590" s="742"/>
    </row>
    <row r="591" spans="1:34" ht="12" customHeight="1" thickBot="1" x14ac:dyDescent="0.25">
      <c r="B591" s="1216"/>
      <c r="C591" s="953"/>
      <c r="D591" s="953"/>
      <c r="E591" s="953"/>
      <c r="F591" s="805"/>
      <c r="G591" s="805"/>
      <c r="H591" s="287"/>
      <c r="I591" s="288" t="s">
        <v>653</v>
      </c>
      <c r="J591" s="287"/>
      <c r="K591" s="288" t="s">
        <v>309</v>
      </c>
      <c r="L591" s="288"/>
      <c r="M591" s="288" t="s">
        <v>310</v>
      </c>
      <c r="N591" s="288"/>
      <c r="O591" s="288" t="s">
        <v>311</v>
      </c>
      <c r="P591" s="288"/>
      <c r="Q591" s="288" t="s">
        <v>19</v>
      </c>
      <c r="R591" s="288"/>
      <c r="S591" s="288" t="s">
        <v>20</v>
      </c>
      <c r="T591" s="288"/>
      <c r="U591" s="288" t="s">
        <v>312</v>
      </c>
      <c r="V591" s="288"/>
      <c r="W591" s="289" t="s">
        <v>21</v>
      </c>
      <c r="X591" s="871"/>
      <c r="Y591" s="871"/>
      <c r="Z591" s="871"/>
      <c r="AA591" s="872"/>
      <c r="AB591" s="744"/>
    </row>
    <row r="592" spans="1:34" ht="12.6" customHeight="1" x14ac:dyDescent="0.2">
      <c r="B592" s="957" t="s">
        <v>889</v>
      </c>
      <c r="C592" s="957"/>
      <c r="D592" s="957"/>
      <c r="E592" s="957"/>
      <c r="F592" s="631">
        <f>21.73*X2</f>
        <v>20078.52</v>
      </c>
      <c r="G592" s="338">
        <f>+F592*$X$1</f>
        <v>20078.52</v>
      </c>
      <c r="H592" s="653">
        <f>F592+2400</f>
        <v>22478.52</v>
      </c>
      <c r="I592" s="338">
        <f t="shared" ref="I592" si="1578">+H592*$X$1</f>
        <v>22478.52</v>
      </c>
      <c r="J592" s="653">
        <f>F592+600</f>
        <v>20678.52</v>
      </c>
      <c r="K592" s="338">
        <f t="shared" ref="K592" si="1579">+J592*$X$1</f>
        <v>20678.52</v>
      </c>
      <c r="L592" s="653">
        <f>F592+350</f>
        <v>20428.52</v>
      </c>
      <c r="M592" s="338">
        <f t="shared" ref="M592" si="1580">+L592*$X$1</f>
        <v>20428.52</v>
      </c>
      <c r="N592" s="653">
        <f>F592+170</f>
        <v>20248.52</v>
      </c>
      <c r="O592" s="338">
        <f t="shared" ref="O592" si="1581">+N592*$X$1</f>
        <v>20248.52</v>
      </c>
      <c r="P592" s="653">
        <f>F592+130</f>
        <v>20208.52</v>
      </c>
      <c r="Q592" s="338">
        <f t="shared" ref="Q592" si="1582">+P592*$X$1</f>
        <v>20208.52</v>
      </c>
      <c r="R592" s="653">
        <f>F592+90</f>
        <v>20168.52</v>
      </c>
      <c r="S592" s="338">
        <f t="shared" ref="S592" si="1583">+R592*$X$1</f>
        <v>20168.52</v>
      </c>
      <c r="T592" s="653">
        <f>F592+75</f>
        <v>20153.52</v>
      </c>
      <c r="U592" s="338">
        <f t="shared" ref="U592" si="1584">+T592*$X$1</f>
        <v>20153.52</v>
      </c>
      <c r="V592" s="653">
        <f>F592+64</f>
        <v>20142.52</v>
      </c>
      <c r="W592" s="338">
        <f t="shared" ref="W592" si="1585">+V592*$X$1</f>
        <v>20142.52</v>
      </c>
      <c r="X592" s="652"/>
      <c r="Y592" s="147"/>
      <c r="Z592" s="145"/>
      <c r="AA592" s="148"/>
      <c r="AB592" s="545" t="s">
        <v>890</v>
      </c>
    </row>
    <row r="593" spans="2:36" ht="12.6" customHeight="1" x14ac:dyDescent="0.2">
      <c r="B593" s="691" t="s">
        <v>328</v>
      </c>
      <c r="C593" s="691"/>
      <c r="D593" s="691"/>
      <c r="E593" s="691"/>
      <c r="F593" s="626"/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643"/>
      <c r="W593" s="644"/>
      <c r="X593" s="147"/>
      <c r="Y593" s="147"/>
      <c r="Z593" s="145"/>
      <c r="AA593" s="148"/>
      <c r="AB593" s="546" t="s">
        <v>329</v>
      </c>
    </row>
    <row r="594" spans="2:36" ht="12.6" customHeight="1" x14ac:dyDescent="0.2">
      <c r="B594" s="731" t="s">
        <v>330</v>
      </c>
      <c r="C594" s="732"/>
      <c r="D594" s="732"/>
      <c r="E594" s="733"/>
      <c r="F594" s="627"/>
      <c r="G594" s="617"/>
      <c r="H594" s="617"/>
      <c r="I594" s="617"/>
      <c r="J594" s="617"/>
      <c r="K594" s="617"/>
      <c r="L594" s="617"/>
      <c r="M594" s="617"/>
      <c r="N594" s="617"/>
      <c r="O594" s="617"/>
      <c r="P594" s="617"/>
      <c r="Q594" s="617"/>
      <c r="R594" s="617"/>
      <c r="S594" s="617"/>
      <c r="T594" s="617"/>
      <c r="U594" s="617"/>
      <c r="V594" s="304"/>
      <c r="W594" s="638"/>
      <c r="X594" s="147"/>
      <c r="Y594" s="147"/>
      <c r="Z594" s="145"/>
      <c r="AA594" s="148"/>
      <c r="AB594" s="545" t="s">
        <v>331</v>
      </c>
    </row>
    <row r="595" spans="2:36" ht="12.6" customHeight="1" x14ac:dyDescent="0.2">
      <c r="B595" s="737" t="s">
        <v>332</v>
      </c>
      <c r="C595" s="737"/>
      <c r="D595" s="737"/>
      <c r="E595" s="737"/>
      <c r="F595" s="126"/>
      <c r="G595" s="375"/>
      <c r="H595" s="106"/>
      <c r="I595" s="106"/>
      <c r="J595" s="375"/>
      <c r="K595" s="375"/>
      <c r="L595" s="375"/>
      <c r="M595" s="375"/>
      <c r="N595" s="375"/>
      <c r="O595" s="375"/>
      <c r="P595" s="375"/>
      <c r="Q595" s="375"/>
      <c r="R595" s="375"/>
      <c r="S595" s="375"/>
      <c r="T595" s="375"/>
      <c r="U595" s="375"/>
      <c r="V595" s="632"/>
      <c r="W595" s="633"/>
      <c r="X595" s="147"/>
      <c r="Y595" s="147"/>
      <c r="Z595" s="145"/>
      <c r="AA595" s="148"/>
      <c r="AB595" s="545" t="s">
        <v>333</v>
      </c>
      <c r="AF595" s="1207"/>
      <c r="AG595" s="1207"/>
      <c r="AH595" s="1207"/>
      <c r="AI595" s="1207"/>
      <c r="AJ595" s="1208"/>
    </row>
    <row r="596" spans="2:36" ht="12.6" customHeight="1" x14ac:dyDescent="0.2">
      <c r="B596" s="687" t="s">
        <v>334</v>
      </c>
      <c r="C596" s="687"/>
      <c r="D596" s="687"/>
      <c r="E596" s="687"/>
      <c r="F596" s="628"/>
      <c r="G596" s="617"/>
      <c r="H596" s="617"/>
      <c r="I596" s="617"/>
      <c r="J596" s="617"/>
      <c r="K596" s="617"/>
      <c r="L596" s="617"/>
      <c r="M596" s="617"/>
      <c r="N596" s="617"/>
      <c r="O596" s="617"/>
      <c r="P596" s="617"/>
      <c r="Q596" s="617"/>
      <c r="R596" s="617"/>
      <c r="S596" s="617"/>
      <c r="T596" s="617"/>
      <c r="U596" s="617"/>
      <c r="V596" s="304"/>
      <c r="W596" s="638"/>
      <c r="X596" s="147"/>
      <c r="Y596" s="147"/>
      <c r="Z596" s="145"/>
      <c r="AA596" s="148"/>
      <c r="AB596" s="545" t="s">
        <v>335</v>
      </c>
    </row>
    <row r="597" spans="2:36" ht="12.6" customHeight="1" x14ac:dyDescent="0.2">
      <c r="B597" s="737" t="s">
        <v>336</v>
      </c>
      <c r="C597" s="737"/>
      <c r="D597" s="737"/>
      <c r="E597" s="737"/>
      <c r="F597" s="629"/>
      <c r="G597" s="375"/>
      <c r="H597" s="106"/>
      <c r="I597" s="106"/>
      <c r="J597" s="375"/>
      <c r="K597" s="375"/>
      <c r="L597" s="375"/>
      <c r="M597" s="375"/>
      <c r="N597" s="375"/>
      <c r="O597" s="375"/>
      <c r="P597" s="375"/>
      <c r="Q597" s="375"/>
      <c r="R597" s="375"/>
      <c r="S597" s="375"/>
      <c r="T597" s="375"/>
      <c r="U597" s="375"/>
      <c r="V597" s="632"/>
      <c r="W597" s="633"/>
      <c r="X597" s="147"/>
      <c r="Y597" s="147"/>
      <c r="Z597" s="145"/>
      <c r="AA597" s="148"/>
      <c r="AB597" s="545" t="s">
        <v>337</v>
      </c>
    </row>
    <row r="598" spans="2:36" ht="12.6" customHeight="1" x14ac:dyDescent="0.2">
      <c r="B598" s="731" t="s">
        <v>338</v>
      </c>
      <c r="C598" s="732"/>
      <c r="D598" s="732"/>
      <c r="E598" s="733"/>
      <c r="F598" s="628"/>
      <c r="G598" s="617"/>
      <c r="H598" s="112"/>
      <c r="I598" s="112"/>
      <c r="J598" s="617"/>
      <c r="K598" s="617"/>
      <c r="L598" s="617"/>
      <c r="M598" s="617"/>
      <c r="N598" s="617"/>
      <c r="O598" s="617"/>
      <c r="P598" s="617"/>
      <c r="Q598" s="617"/>
      <c r="R598" s="617"/>
      <c r="S598" s="617"/>
      <c r="T598" s="617"/>
      <c r="U598" s="617"/>
      <c r="V598" s="304"/>
      <c r="W598" s="638"/>
      <c r="X598" s="147"/>
      <c r="Y598" s="147"/>
      <c r="Z598" s="145"/>
      <c r="AA598" s="148"/>
      <c r="AB598" s="545" t="s">
        <v>851</v>
      </c>
    </row>
    <row r="599" spans="2:36" ht="12.6" customHeight="1" x14ac:dyDescent="0.2">
      <c r="B599" s="737" t="s">
        <v>339</v>
      </c>
      <c r="C599" s="737"/>
      <c r="D599" s="737"/>
      <c r="E599" s="737"/>
      <c r="F599" s="126"/>
      <c r="G599" s="375"/>
      <c r="H599" s="106"/>
      <c r="I599" s="106"/>
      <c r="J599" s="375"/>
      <c r="K599" s="375"/>
      <c r="L599" s="375"/>
      <c r="M599" s="375"/>
      <c r="N599" s="124"/>
      <c r="O599" s="375"/>
      <c r="P599" s="375"/>
      <c r="Q599" s="375"/>
      <c r="R599" s="375"/>
      <c r="S599" s="375"/>
      <c r="T599" s="375"/>
      <c r="U599" s="375"/>
      <c r="V599" s="632"/>
      <c r="W599" s="634"/>
      <c r="X599" s="145"/>
      <c r="Y599" s="145"/>
      <c r="Z599" s="145"/>
      <c r="AA599" s="148"/>
      <c r="AB599" s="545" t="s">
        <v>340</v>
      </c>
    </row>
    <row r="600" spans="2:36" ht="12.6" customHeight="1" x14ac:dyDescent="0.2">
      <c r="B600" s="687" t="s">
        <v>341</v>
      </c>
      <c r="C600" s="687"/>
      <c r="D600" s="687"/>
      <c r="E600" s="687"/>
      <c r="F600" s="628"/>
      <c r="G600" s="617"/>
      <c r="H600" s="112"/>
      <c r="I600" s="112"/>
      <c r="J600" s="617"/>
      <c r="K600" s="617"/>
      <c r="L600" s="617"/>
      <c r="M600" s="617"/>
      <c r="N600" s="125"/>
      <c r="O600" s="617"/>
      <c r="P600" s="617"/>
      <c r="Q600" s="617"/>
      <c r="R600" s="617"/>
      <c r="S600" s="617"/>
      <c r="T600" s="617"/>
      <c r="U600" s="617"/>
      <c r="V600" s="641"/>
      <c r="W600" s="642"/>
      <c r="X600" s="145"/>
      <c r="Y600" s="145"/>
      <c r="Z600" s="145"/>
      <c r="AA600" s="148"/>
      <c r="AB600" s="545" t="s">
        <v>342</v>
      </c>
    </row>
    <row r="601" spans="2:36" ht="12.6" customHeight="1" x14ac:dyDescent="0.2">
      <c r="B601" s="957" t="s">
        <v>847</v>
      </c>
      <c r="C601" s="957"/>
      <c r="D601" s="957"/>
      <c r="E601" s="957"/>
      <c r="F601" s="630">
        <f>20.583*X2</f>
        <v>19018.691999999999</v>
      </c>
      <c r="G601" s="337">
        <f>+F601*$X$1</f>
        <v>19018.691999999999</v>
      </c>
      <c r="H601" s="375">
        <f>F601+2400</f>
        <v>21418.691999999999</v>
      </c>
      <c r="I601" s="337">
        <f t="shared" ref="I601" si="1586">+H601*$X$1</f>
        <v>21418.691999999999</v>
      </c>
      <c r="J601" s="375">
        <f>F601+600</f>
        <v>19618.691999999999</v>
      </c>
      <c r="K601" s="337">
        <f t="shared" ref="K601" si="1587">+J601*$X$1</f>
        <v>19618.691999999999</v>
      </c>
      <c r="L601" s="375">
        <f>F601+350</f>
        <v>19368.691999999999</v>
      </c>
      <c r="M601" s="337">
        <f t="shared" ref="M601" si="1588">+L601*$X$1</f>
        <v>19368.691999999999</v>
      </c>
      <c r="N601" s="375">
        <f>F601+170</f>
        <v>19188.691999999999</v>
      </c>
      <c r="O601" s="337">
        <f t="shared" ref="O601" si="1589">+N601*$X$1</f>
        <v>19188.691999999999</v>
      </c>
      <c r="P601" s="375">
        <f>F601+130</f>
        <v>19148.691999999999</v>
      </c>
      <c r="Q601" s="337">
        <f t="shared" ref="Q601" si="1590">+P601*$X$1</f>
        <v>19148.691999999999</v>
      </c>
      <c r="R601" s="375">
        <f>F601+90</f>
        <v>19108.691999999999</v>
      </c>
      <c r="S601" s="337">
        <f t="shared" ref="S601" si="1591">+R601*$X$1</f>
        <v>19108.691999999999</v>
      </c>
      <c r="T601" s="375">
        <f>F601+75</f>
        <v>19093.691999999999</v>
      </c>
      <c r="U601" s="337">
        <f t="shared" ref="U601" si="1592">+T601*$X$1</f>
        <v>19093.691999999999</v>
      </c>
      <c r="V601" s="375">
        <f>F601+64</f>
        <v>19082.691999999999</v>
      </c>
      <c r="W601" s="337">
        <f t="shared" ref="W601" si="1593">+V601*$X$1</f>
        <v>19082.691999999999</v>
      </c>
      <c r="X601" s="611"/>
      <c r="Y601" s="147"/>
      <c r="Z601" s="145"/>
      <c r="AA601" s="148"/>
      <c r="AB601" s="545" t="s">
        <v>848</v>
      </c>
    </row>
    <row r="602" spans="2:36" ht="12.6" customHeight="1" x14ac:dyDescent="0.2">
      <c r="B602" s="957" t="s">
        <v>850</v>
      </c>
      <c r="C602" s="957"/>
      <c r="D602" s="957"/>
      <c r="E602" s="957"/>
      <c r="F602" s="631">
        <f>22.35*X2</f>
        <v>20651.400000000001</v>
      </c>
      <c r="G602" s="338">
        <f>+F602*$X$1</f>
        <v>20651.400000000001</v>
      </c>
      <c r="H602" s="645">
        <f>F602+2200</f>
        <v>22851.4</v>
      </c>
      <c r="I602" s="338">
        <f t="shared" ref="I602:I603" si="1594">+H602*$X$1</f>
        <v>22851.4</v>
      </c>
      <c r="J602" s="645">
        <f>F602+500</f>
        <v>21151.4</v>
      </c>
      <c r="K602" s="338">
        <f t="shared" ref="K602" si="1595">+J602*$X$1</f>
        <v>21151.4</v>
      </c>
      <c r="L602" s="617">
        <f>F602+250</f>
        <v>20901.400000000001</v>
      </c>
      <c r="M602" s="338">
        <f t="shared" ref="M602" si="1596">+L602*$X$1</f>
        <v>20901.400000000001</v>
      </c>
      <c r="N602" s="617">
        <f>F602+100</f>
        <v>20751.400000000001</v>
      </c>
      <c r="O602" s="338">
        <f t="shared" ref="O602" si="1597">+N602*$X$1</f>
        <v>20751.400000000001</v>
      </c>
      <c r="P602" s="617">
        <f>F602+80</f>
        <v>20731.400000000001</v>
      </c>
      <c r="Q602" s="338">
        <f t="shared" ref="Q602" si="1598">+P602*$X$1</f>
        <v>20731.400000000001</v>
      </c>
      <c r="R602" s="617">
        <f>F602+60</f>
        <v>20711.400000000001</v>
      </c>
      <c r="S602" s="338">
        <f t="shared" ref="S602" si="1599">+R602*$X$1</f>
        <v>20711.400000000001</v>
      </c>
      <c r="T602" s="617">
        <f>F602+50</f>
        <v>20701.400000000001</v>
      </c>
      <c r="U602" s="338">
        <f t="shared" ref="U602" si="1600">+T602*$X$1</f>
        <v>20701.400000000001</v>
      </c>
      <c r="V602" s="617">
        <f>F602+44</f>
        <v>20695.400000000001</v>
      </c>
      <c r="W602" s="338">
        <f t="shared" ref="W602" si="1601">+V602*$X$1</f>
        <v>20695.400000000001</v>
      </c>
      <c r="X602" s="611"/>
      <c r="Y602" s="147"/>
      <c r="Z602" s="145"/>
      <c r="AA602" s="148"/>
      <c r="AB602" s="545" t="s">
        <v>849</v>
      </c>
    </row>
    <row r="603" spans="2:36" ht="12.6" customHeight="1" x14ac:dyDescent="0.2">
      <c r="B603" s="957" t="s">
        <v>852</v>
      </c>
      <c r="C603" s="957"/>
      <c r="D603" s="957"/>
      <c r="E603" s="957"/>
      <c r="F603" s="630">
        <f>40.975*X2</f>
        <v>37860.9</v>
      </c>
      <c r="G603" s="337">
        <f>+F603*$X$1</f>
        <v>37860.9</v>
      </c>
      <c r="H603" s="375">
        <f>F603+2400</f>
        <v>40260.9</v>
      </c>
      <c r="I603" s="337">
        <f t="shared" si="1594"/>
        <v>40260.9</v>
      </c>
      <c r="J603" s="375">
        <f>F603+600</f>
        <v>38460.9</v>
      </c>
      <c r="K603" s="337">
        <f t="shared" ref="K603" si="1602">+J603*$X$1</f>
        <v>38460.9</v>
      </c>
      <c r="L603" s="375">
        <f>F603+350</f>
        <v>38210.9</v>
      </c>
      <c r="M603" s="337">
        <f t="shared" ref="M603" si="1603">+L603*$X$1</f>
        <v>38210.9</v>
      </c>
      <c r="N603" s="375">
        <f>F603+170</f>
        <v>38030.9</v>
      </c>
      <c r="O603" s="337">
        <f t="shared" ref="O603" si="1604">+N603*$X$1</f>
        <v>38030.9</v>
      </c>
      <c r="P603" s="375">
        <f>F603+130</f>
        <v>37990.9</v>
      </c>
      <c r="Q603" s="337">
        <f t="shared" ref="Q603" si="1605">+P603*$X$1</f>
        <v>37990.9</v>
      </c>
      <c r="R603" s="375">
        <f>F603+90</f>
        <v>37950.9</v>
      </c>
      <c r="S603" s="337">
        <f t="shared" ref="S603" si="1606">+R603*$X$1</f>
        <v>37950.9</v>
      </c>
      <c r="T603" s="375">
        <f>F603+75</f>
        <v>37935.9</v>
      </c>
      <c r="U603" s="337">
        <f t="shared" ref="U603" si="1607">+T603*$X$1</f>
        <v>37935.9</v>
      </c>
      <c r="V603" s="375">
        <f>F603+64</f>
        <v>37924.9</v>
      </c>
      <c r="W603" s="337">
        <f t="shared" ref="W603" si="1608">+V603*$X$1</f>
        <v>37924.9</v>
      </c>
      <c r="X603" s="611"/>
      <c r="Y603" s="147"/>
      <c r="Z603" s="145"/>
      <c r="AA603" s="148"/>
      <c r="AB603" s="545" t="s">
        <v>853</v>
      </c>
    </row>
    <row r="604" spans="2:36" ht="12.6" customHeight="1" x14ac:dyDescent="0.2">
      <c r="B604" s="687" t="s">
        <v>343</v>
      </c>
      <c r="C604" s="687"/>
      <c r="D604" s="687"/>
      <c r="E604" s="687"/>
      <c r="F604" s="628"/>
      <c r="G604" s="617"/>
      <c r="H604" s="112"/>
      <c r="I604" s="112"/>
      <c r="J604" s="617"/>
      <c r="K604" s="617"/>
      <c r="L604" s="617"/>
      <c r="M604" s="617"/>
      <c r="N604" s="617"/>
      <c r="O604" s="617"/>
      <c r="P604" s="125"/>
      <c r="Q604" s="617"/>
      <c r="R604" s="125"/>
      <c r="S604" s="617"/>
      <c r="T604" s="125"/>
      <c r="U604" s="617"/>
      <c r="V604" s="304"/>
      <c r="W604" s="640"/>
      <c r="X604" s="178"/>
      <c r="Y604" s="178"/>
      <c r="Z604" s="178"/>
      <c r="AA604" s="179"/>
      <c r="AB604" s="545" t="s">
        <v>344</v>
      </c>
    </row>
    <row r="605" spans="2:36" ht="12.6" customHeight="1" x14ac:dyDescent="0.2">
      <c r="B605" s="737" t="s">
        <v>345</v>
      </c>
      <c r="C605" s="737"/>
      <c r="D605" s="737"/>
      <c r="E605" s="737"/>
      <c r="F605" s="126"/>
      <c r="G605" s="375"/>
      <c r="H605" s="106"/>
      <c r="I605" s="106"/>
      <c r="J605" s="375"/>
      <c r="K605" s="375"/>
      <c r="L605" s="375"/>
      <c r="M605" s="375"/>
      <c r="N605" s="375"/>
      <c r="O605" s="375"/>
      <c r="P605" s="124"/>
      <c r="Q605" s="375"/>
      <c r="R605" s="124"/>
      <c r="S605" s="375"/>
      <c r="T605" s="124"/>
      <c r="U605" s="375"/>
      <c r="V605" s="632"/>
      <c r="W605" s="635"/>
      <c r="X605" s="178"/>
      <c r="Y605" s="178"/>
      <c r="Z605" s="178"/>
      <c r="AA605" s="179"/>
      <c r="AB605" s="545" t="s">
        <v>346</v>
      </c>
    </row>
    <row r="606" spans="2:36" ht="12.6" customHeight="1" x14ac:dyDescent="0.2">
      <c r="B606" s="687" t="s">
        <v>347</v>
      </c>
      <c r="C606" s="687"/>
      <c r="D606" s="687"/>
      <c r="E606" s="687"/>
      <c r="F606" s="628"/>
      <c r="G606" s="617"/>
      <c r="H606" s="112"/>
      <c r="I606" s="112"/>
      <c r="J606" s="617"/>
      <c r="K606" s="617"/>
      <c r="L606" s="617"/>
      <c r="M606" s="617"/>
      <c r="N606" s="617"/>
      <c r="O606" s="617"/>
      <c r="P606" s="125"/>
      <c r="Q606" s="617"/>
      <c r="R606" s="125"/>
      <c r="S606" s="617"/>
      <c r="T606" s="125"/>
      <c r="U606" s="617"/>
      <c r="V606" s="304"/>
      <c r="W606" s="640"/>
      <c r="X606" s="147"/>
      <c r="Y606" s="147"/>
      <c r="Z606" s="147"/>
      <c r="AA606" s="147"/>
      <c r="AB606" s="545" t="s">
        <v>501</v>
      </c>
    </row>
    <row r="607" spans="2:36" ht="12.6" customHeight="1" x14ac:dyDescent="0.2">
      <c r="B607" s="737" t="s">
        <v>431</v>
      </c>
      <c r="C607" s="737"/>
      <c r="D607" s="737"/>
      <c r="E607" s="737"/>
      <c r="F607" s="365"/>
      <c r="G607" s="337"/>
      <c r="H607" s="106"/>
      <c r="I607" s="106"/>
      <c r="J607" s="375"/>
      <c r="K607" s="337"/>
      <c r="L607" s="375"/>
      <c r="M607" s="337"/>
      <c r="N607" s="375"/>
      <c r="O607" s="337"/>
      <c r="P607" s="375"/>
      <c r="Q607" s="337"/>
      <c r="R607" s="375"/>
      <c r="S607" s="337"/>
      <c r="T607" s="375"/>
      <c r="U607" s="337"/>
      <c r="V607" s="632"/>
      <c r="W607" s="633"/>
      <c r="X607" s="190"/>
      <c r="Y607" s="147"/>
      <c r="Z607" s="145"/>
      <c r="AA607" s="148"/>
      <c r="AB607" s="545" t="s">
        <v>348</v>
      </c>
    </row>
    <row r="608" spans="2:36" ht="12.6" customHeight="1" x14ac:dyDescent="0.2">
      <c r="B608" s="687" t="s">
        <v>349</v>
      </c>
      <c r="C608" s="687"/>
      <c r="D608" s="687"/>
      <c r="E608" s="687"/>
      <c r="F608" s="405"/>
      <c r="G608" s="338"/>
      <c r="H608" s="112"/>
      <c r="I608" s="112"/>
      <c r="J608" s="617"/>
      <c r="K608" s="338"/>
      <c r="L608" s="617"/>
      <c r="M608" s="338"/>
      <c r="N608" s="617"/>
      <c r="O608" s="338"/>
      <c r="P608" s="617"/>
      <c r="Q608" s="338"/>
      <c r="R608" s="617"/>
      <c r="S608" s="338"/>
      <c r="T608" s="617"/>
      <c r="U608" s="338"/>
      <c r="V608" s="304"/>
      <c r="W608" s="638"/>
      <c r="X608" s="190"/>
      <c r="Y608" s="147"/>
      <c r="Z608" s="145"/>
      <c r="AA608" s="148"/>
      <c r="AB608" s="546" t="s">
        <v>350</v>
      </c>
    </row>
    <row r="609" spans="1:121" s="7" customFormat="1" ht="12.6" customHeight="1" x14ac:dyDescent="0.2">
      <c r="A609" s="11"/>
      <c r="B609" s="737" t="s">
        <v>351</v>
      </c>
      <c r="C609" s="737"/>
      <c r="D609" s="737"/>
      <c r="E609" s="737"/>
      <c r="F609" s="365"/>
      <c r="G609" s="337"/>
      <c r="H609" s="106"/>
      <c r="I609" s="106"/>
      <c r="J609" s="375"/>
      <c r="K609" s="337"/>
      <c r="L609" s="375"/>
      <c r="M609" s="337"/>
      <c r="N609" s="375"/>
      <c r="O609" s="337"/>
      <c r="P609" s="375"/>
      <c r="Q609" s="337"/>
      <c r="R609" s="375"/>
      <c r="S609" s="337"/>
      <c r="T609" s="375"/>
      <c r="U609" s="337"/>
      <c r="V609" s="632"/>
      <c r="W609" s="633"/>
      <c r="X609" s="190"/>
      <c r="Y609" s="147"/>
      <c r="Z609" s="145"/>
      <c r="AA609" s="148"/>
      <c r="AB609" s="545" t="s">
        <v>352</v>
      </c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</row>
    <row r="610" spans="1:121" ht="12.6" customHeight="1" x14ac:dyDescent="0.2">
      <c r="B610" s="687" t="s">
        <v>353</v>
      </c>
      <c r="C610" s="687"/>
      <c r="D610" s="687"/>
      <c r="E610" s="687"/>
      <c r="F610" s="370"/>
      <c r="G610" s="338"/>
      <c r="H610" s="112"/>
      <c r="I610" s="112"/>
      <c r="J610" s="617"/>
      <c r="K610" s="338"/>
      <c r="L610" s="617"/>
      <c r="M610" s="338"/>
      <c r="N610" s="617"/>
      <c r="O610" s="338"/>
      <c r="P610" s="617"/>
      <c r="Q610" s="338"/>
      <c r="R610" s="617"/>
      <c r="S610" s="338"/>
      <c r="T610" s="617"/>
      <c r="U610" s="338"/>
      <c r="V610" s="304"/>
      <c r="W610" s="638"/>
      <c r="X610" s="190"/>
      <c r="Y610" s="147"/>
      <c r="Z610" s="145"/>
      <c r="AA610" s="148"/>
      <c r="AB610" s="545" t="s">
        <v>354</v>
      </c>
    </row>
    <row r="611" spans="1:121" ht="12.6" customHeight="1" x14ac:dyDescent="0.2">
      <c r="B611" s="957" t="s">
        <v>861</v>
      </c>
      <c r="C611" s="957"/>
      <c r="D611" s="957"/>
      <c r="E611" s="957"/>
      <c r="F611" s="630">
        <f>33.53*X2</f>
        <v>30981.72</v>
      </c>
      <c r="G611" s="337">
        <f t="shared" ref="G611:G616" si="1609">+F611*$X$1</f>
        <v>30981.72</v>
      </c>
      <c r="H611" s="375">
        <f>F611+2200</f>
        <v>33181.72</v>
      </c>
      <c r="I611" s="337">
        <f t="shared" ref="I611" si="1610">+H611*$X$1</f>
        <v>33181.72</v>
      </c>
      <c r="J611" s="375">
        <f>F611+500</f>
        <v>31481.72</v>
      </c>
      <c r="K611" s="337">
        <f t="shared" ref="K611" si="1611">+J611*$X$1</f>
        <v>31481.72</v>
      </c>
      <c r="L611" s="108">
        <f>F611+410</f>
        <v>31391.72</v>
      </c>
      <c r="M611" s="364">
        <f>+L611*$X$1</f>
        <v>31391.72</v>
      </c>
      <c r="N611" s="108">
        <f>F611+370</f>
        <v>31351.72</v>
      </c>
      <c r="O611" s="364">
        <f>+N611*$X$1</f>
        <v>31351.72</v>
      </c>
      <c r="P611" s="108">
        <f>F611+330</f>
        <v>31311.72</v>
      </c>
      <c r="Q611" s="364">
        <f>+P611*$X$1</f>
        <v>31311.72</v>
      </c>
      <c r="R611" s="108">
        <f>F611+290</f>
        <v>31271.72</v>
      </c>
      <c r="S611" s="364">
        <f>+R611*$X$1</f>
        <v>31271.72</v>
      </c>
      <c r="T611" s="375">
        <f>F611+240</f>
        <v>31221.72</v>
      </c>
      <c r="U611" s="337">
        <f t="shared" ref="U611" si="1612">+T611*$X$1</f>
        <v>31221.72</v>
      </c>
      <c r="V611" s="375">
        <f>F611+220</f>
        <v>31201.72</v>
      </c>
      <c r="W611" s="337">
        <f t="shared" ref="W611" si="1613">+V611*$X$1</f>
        <v>31201.72</v>
      </c>
      <c r="X611" s="616"/>
      <c r="Y611" s="147"/>
      <c r="Z611" s="145"/>
      <c r="AA611" s="148"/>
      <c r="AB611" s="545" t="s">
        <v>862</v>
      </c>
    </row>
    <row r="612" spans="1:121" ht="12.6" customHeight="1" x14ac:dyDescent="0.2">
      <c r="B612" s="957" t="s">
        <v>857</v>
      </c>
      <c r="C612" s="957"/>
      <c r="D612" s="957"/>
      <c r="E612" s="957"/>
      <c r="F612" s="631">
        <f>29.5*X2</f>
        <v>27258</v>
      </c>
      <c r="G612" s="338">
        <f t="shared" si="1609"/>
        <v>27258</v>
      </c>
      <c r="H612" s="304"/>
      <c r="I612" s="304"/>
      <c r="J612" s="617">
        <f>F612+600</f>
        <v>27858</v>
      </c>
      <c r="K612" s="338">
        <f t="shared" ref="K612" si="1614">+J612*$X$1</f>
        <v>27858</v>
      </c>
      <c r="L612" s="617">
        <f>F612+350</f>
        <v>27608</v>
      </c>
      <c r="M612" s="338">
        <f t="shared" ref="M612" si="1615">+L612*$X$1</f>
        <v>27608</v>
      </c>
      <c r="N612" s="617">
        <f>F612+170</f>
        <v>27428</v>
      </c>
      <c r="O612" s="338">
        <f t="shared" ref="O612" si="1616">+N612*$X$1</f>
        <v>27428</v>
      </c>
      <c r="P612" s="617">
        <f>F612+130</f>
        <v>27388</v>
      </c>
      <c r="Q612" s="338">
        <f t="shared" ref="Q612" si="1617">+P612*$X$1</f>
        <v>27388</v>
      </c>
      <c r="R612" s="617">
        <f>F612+90</f>
        <v>27348</v>
      </c>
      <c r="S612" s="338">
        <f t="shared" ref="S612" si="1618">+R612*$X$1</f>
        <v>27348</v>
      </c>
      <c r="T612" s="617">
        <f>F612+75</f>
        <v>27333</v>
      </c>
      <c r="U612" s="338">
        <f t="shared" ref="U612" si="1619">+T612*$X$1</f>
        <v>27333</v>
      </c>
      <c r="V612" s="617">
        <f>F612+64</f>
        <v>27322</v>
      </c>
      <c r="W612" s="338">
        <f t="shared" ref="W612" si="1620">+V612*$X$1</f>
        <v>27322</v>
      </c>
      <c r="X612" s="616"/>
      <c r="Y612" s="147"/>
      <c r="Z612" s="145"/>
      <c r="AA612" s="148"/>
      <c r="AB612" s="545" t="s">
        <v>855</v>
      </c>
    </row>
    <row r="613" spans="1:121" ht="12.6" customHeight="1" x14ac:dyDescent="0.2">
      <c r="B613" s="957" t="s">
        <v>856</v>
      </c>
      <c r="C613" s="957"/>
      <c r="D613" s="957"/>
      <c r="E613" s="957"/>
      <c r="F613" s="630">
        <f>23.85*X2</f>
        <v>22037.4</v>
      </c>
      <c r="G613" s="337">
        <f t="shared" si="1609"/>
        <v>22037.4</v>
      </c>
      <c r="H613" s="307"/>
      <c r="I613" s="307"/>
      <c r="J613" s="375">
        <f>F613+600</f>
        <v>22637.4</v>
      </c>
      <c r="K613" s="337">
        <f t="shared" ref="K613" si="1621">+J613*$X$1</f>
        <v>22637.4</v>
      </c>
      <c r="L613" s="375">
        <f>F613+350</f>
        <v>22387.4</v>
      </c>
      <c r="M613" s="337">
        <f t="shared" ref="M613" si="1622">+L613*$X$1</f>
        <v>22387.4</v>
      </c>
      <c r="N613" s="375">
        <f>F613+170</f>
        <v>22207.4</v>
      </c>
      <c r="O613" s="337">
        <f t="shared" ref="O613" si="1623">+N613*$X$1</f>
        <v>22207.4</v>
      </c>
      <c r="P613" s="375">
        <f>F613+130</f>
        <v>22167.4</v>
      </c>
      <c r="Q613" s="337">
        <f t="shared" ref="Q613" si="1624">+P613*$X$1</f>
        <v>22167.4</v>
      </c>
      <c r="R613" s="375">
        <f>F613+90</f>
        <v>22127.4</v>
      </c>
      <c r="S613" s="337">
        <f t="shared" ref="S613" si="1625">+R613*$X$1</f>
        <v>22127.4</v>
      </c>
      <c r="T613" s="375">
        <f>F613+75</f>
        <v>22112.400000000001</v>
      </c>
      <c r="U613" s="337">
        <f t="shared" ref="U613" si="1626">+T613*$X$1</f>
        <v>22112.400000000001</v>
      </c>
      <c r="V613" s="375">
        <f>F613+64</f>
        <v>22101.4</v>
      </c>
      <c r="W613" s="337">
        <f t="shared" ref="W613" si="1627">+V613*$X$1</f>
        <v>22101.4</v>
      </c>
      <c r="X613" s="616"/>
      <c r="Y613" s="147"/>
      <c r="Z613" s="145"/>
      <c r="AA613" s="148"/>
      <c r="AB613" s="545" t="s">
        <v>858</v>
      </c>
    </row>
    <row r="614" spans="1:121" ht="12.6" customHeight="1" x14ac:dyDescent="0.2">
      <c r="B614" s="957" t="s">
        <v>859</v>
      </c>
      <c r="C614" s="957"/>
      <c r="D614" s="957"/>
      <c r="E614" s="957"/>
      <c r="F614" s="631">
        <f>36.3*X2</f>
        <v>33541.199999999997</v>
      </c>
      <c r="G614" s="338">
        <f t="shared" si="1609"/>
        <v>33541.199999999997</v>
      </c>
      <c r="H614" s="304"/>
      <c r="I614" s="304"/>
      <c r="J614" s="617">
        <f>F614+600</f>
        <v>34141.199999999997</v>
      </c>
      <c r="K614" s="338">
        <f t="shared" ref="K614" si="1628">+J614*$X$1</f>
        <v>34141.199999999997</v>
      </c>
      <c r="L614" s="617">
        <f>F614+350</f>
        <v>33891.199999999997</v>
      </c>
      <c r="M614" s="338">
        <f t="shared" ref="M614:M615" si="1629">+L614*$X$1</f>
        <v>33891.199999999997</v>
      </c>
      <c r="N614" s="617">
        <f>F614+170</f>
        <v>33711.199999999997</v>
      </c>
      <c r="O614" s="338">
        <f t="shared" ref="O614:O615" si="1630">+N614*$X$1</f>
        <v>33711.199999999997</v>
      </c>
      <c r="P614" s="617">
        <f>F614+130</f>
        <v>33671.199999999997</v>
      </c>
      <c r="Q614" s="338">
        <f t="shared" ref="Q614:Q615" si="1631">+P614*$X$1</f>
        <v>33671.199999999997</v>
      </c>
      <c r="R614" s="617">
        <f>F614+90</f>
        <v>33631.199999999997</v>
      </c>
      <c r="S614" s="338">
        <f t="shared" ref="S614:S615" si="1632">+R614*$X$1</f>
        <v>33631.199999999997</v>
      </c>
      <c r="T614" s="617">
        <f>F614+75</f>
        <v>33616.199999999997</v>
      </c>
      <c r="U614" s="338">
        <f t="shared" ref="U614:U615" si="1633">+T614*$X$1</f>
        <v>33616.199999999997</v>
      </c>
      <c r="V614" s="617">
        <f>F614+64</f>
        <v>33605.199999999997</v>
      </c>
      <c r="W614" s="338">
        <f t="shared" ref="W614:W615" si="1634">+V614*$X$1</f>
        <v>33605.199999999997</v>
      </c>
      <c r="X614" s="616"/>
      <c r="Y614" s="147"/>
      <c r="Z614" s="145"/>
      <c r="AA614" s="148"/>
      <c r="AB614" s="545" t="s">
        <v>860</v>
      </c>
    </row>
    <row r="615" spans="1:121" s="1" customFormat="1" ht="12.6" customHeight="1" x14ac:dyDescent="0.2">
      <c r="A615" s="21"/>
      <c r="B615" s="703" t="s">
        <v>644</v>
      </c>
      <c r="C615" s="706"/>
      <c r="D615" s="706"/>
      <c r="E615" s="707"/>
      <c r="F615" s="646">
        <v>8330</v>
      </c>
      <c r="G615" s="339">
        <f t="shared" si="1609"/>
        <v>8330</v>
      </c>
      <c r="H615" s="375">
        <f>F615+2200</f>
        <v>10530</v>
      </c>
      <c r="I615" s="337">
        <f t="shared" ref="I615" si="1635">+H615*$X$1</f>
        <v>10530</v>
      </c>
      <c r="J615" s="75">
        <f>F615+500</f>
        <v>8830</v>
      </c>
      <c r="K615" s="337">
        <f>+J615*$X$1</f>
        <v>8830</v>
      </c>
      <c r="L615" s="375">
        <f>F615+250</f>
        <v>8580</v>
      </c>
      <c r="M615" s="337">
        <f t="shared" si="1629"/>
        <v>8580</v>
      </c>
      <c r="N615" s="375">
        <f>F615+100</f>
        <v>8430</v>
      </c>
      <c r="O615" s="337">
        <f t="shared" si="1630"/>
        <v>8430</v>
      </c>
      <c r="P615" s="375">
        <f>F615+80</f>
        <v>8410</v>
      </c>
      <c r="Q615" s="337">
        <f t="shared" si="1631"/>
        <v>8410</v>
      </c>
      <c r="R615" s="375">
        <f>F615+60</f>
        <v>8390</v>
      </c>
      <c r="S615" s="337">
        <f t="shared" si="1632"/>
        <v>8390</v>
      </c>
      <c r="T615" s="375">
        <f>F615+50</f>
        <v>8380</v>
      </c>
      <c r="U615" s="337">
        <f t="shared" si="1633"/>
        <v>8380</v>
      </c>
      <c r="V615" s="375">
        <f>F615+44</f>
        <v>8374</v>
      </c>
      <c r="W615" s="337">
        <f t="shared" si="1634"/>
        <v>8374</v>
      </c>
      <c r="X615" s="717"/>
      <c r="Y615" s="699"/>
      <c r="Z615" s="699"/>
      <c r="AA615" s="700"/>
      <c r="AB615" s="208">
        <v>1010</v>
      </c>
      <c r="AC615" s="4"/>
      <c r="AD615" s="4"/>
      <c r="AE615" s="4"/>
      <c r="AF615" s="4"/>
      <c r="AG615" s="4"/>
      <c r="AH615" s="138"/>
      <c r="AI615" s="4"/>
      <c r="AJ615" s="4"/>
      <c r="AK615" s="4"/>
      <c r="AL615" s="4"/>
    </row>
    <row r="616" spans="1:121" s="1" customFormat="1" ht="12.6" customHeight="1" x14ac:dyDescent="0.2">
      <c r="A616" s="21"/>
      <c r="B616" s="795" t="s">
        <v>645</v>
      </c>
      <c r="C616" s="796"/>
      <c r="D616" s="796"/>
      <c r="E616" s="797"/>
      <c r="F616" s="392">
        <v>20824</v>
      </c>
      <c r="G616" s="338">
        <f t="shared" si="1609"/>
        <v>20824</v>
      </c>
      <c r="H616" s="645">
        <f>F616+2200</f>
        <v>23024</v>
      </c>
      <c r="I616" s="338">
        <f t="shared" ref="I616" si="1636">+H616*$X$1</f>
        <v>23024</v>
      </c>
      <c r="J616" s="93">
        <f>F616+500</f>
        <v>21324</v>
      </c>
      <c r="K616" s="338">
        <f>+J616*$X$1</f>
        <v>21324</v>
      </c>
      <c r="L616" s="645">
        <f>F616+250</f>
        <v>21074</v>
      </c>
      <c r="M616" s="338">
        <f t="shared" ref="M616" si="1637">+L616*$X$1</f>
        <v>21074</v>
      </c>
      <c r="N616" s="645">
        <f>F616+100</f>
        <v>20924</v>
      </c>
      <c r="O616" s="338">
        <f t="shared" ref="O616" si="1638">+N616*$X$1</f>
        <v>20924</v>
      </c>
      <c r="P616" s="645">
        <f>F616+80</f>
        <v>20904</v>
      </c>
      <c r="Q616" s="338">
        <f t="shared" ref="Q616" si="1639">+P616*$X$1</f>
        <v>20904</v>
      </c>
      <c r="R616" s="645">
        <f>F616+60</f>
        <v>20884</v>
      </c>
      <c r="S616" s="338">
        <f t="shared" ref="S616" si="1640">+R616*$X$1</f>
        <v>20884</v>
      </c>
      <c r="T616" s="645">
        <f>F616+50</f>
        <v>20874</v>
      </c>
      <c r="U616" s="338">
        <f t="shared" ref="U616" si="1641">+T616*$X$1</f>
        <v>20874</v>
      </c>
      <c r="V616" s="645">
        <f>F616+44</f>
        <v>20868</v>
      </c>
      <c r="W616" s="338">
        <f t="shared" ref="W616" si="1642">+V616*$X$1</f>
        <v>20868</v>
      </c>
      <c r="X616" s="717"/>
      <c r="Y616" s="699"/>
      <c r="Z616" s="699"/>
      <c r="AA616" s="700"/>
      <c r="AB616" s="208">
        <v>1011</v>
      </c>
      <c r="AC616" s="4"/>
      <c r="AD616" s="4"/>
      <c r="AE616" s="4"/>
      <c r="AF616" s="4"/>
      <c r="AG616" s="4"/>
      <c r="AH616" s="138"/>
      <c r="AI616" s="4"/>
      <c r="AJ616" s="4"/>
      <c r="AK616" s="4"/>
      <c r="AL616" s="4"/>
    </row>
    <row r="617" spans="1:121" ht="12.6" customHeight="1" x14ac:dyDescent="0.2">
      <c r="A617" s="219"/>
      <c r="B617" s="691" t="s">
        <v>409</v>
      </c>
      <c r="C617" s="692"/>
      <c r="D617" s="692"/>
      <c r="E617" s="692"/>
      <c r="F617" s="337"/>
      <c r="G617" s="409"/>
      <c r="H617" s="622"/>
      <c r="I617" s="623"/>
      <c r="J617" s="105"/>
      <c r="K617" s="409"/>
      <c r="L617" s="622"/>
      <c r="M617" s="409"/>
      <c r="N617" s="622"/>
      <c r="O617" s="409"/>
      <c r="P617" s="622"/>
      <c r="Q617" s="409"/>
      <c r="R617" s="624"/>
      <c r="S617" s="409"/>
      <c r="T617" s="624"/>
      <c r="U617" s="409"/>
      <c r="V617" s="307"/>
      <c r="W617" s="636"/>
      <c r="X617" s="165"/>
      <c r="Y617" s="165"/>
      <c r="Z617" s="165"/>
      <c r="AA617" s="165"/>
      <c r="AB617" s="248"/>
    </row>
    <row r="618" spans="1:121" ht="12.6" customHeight="1" x14ac:dyDescent="0.2">
      <c r="A618" s="219"/>
      <c r="B618" s="898" t="s">
        <v>410</v>
      </c>
      <c r="C618" s="792"/>
      <c r="D618" s="792"/>
      <c r="E618" s="792"/>
      <c r="F618" s="338"/>
      <c r="G618" s="407"/>
      <c r="H618" s="622"/>
      <c r="I618" s="622"/>
      <c r="J618" s="105"/>
      <c r="K618" s="407"/>
      <c r="L618" s="622"/>
      <c r="M618" s="407"/>
      <c r="N618" s="622"/>
      <c r="O618" s="407"/>
      <c r="P618" s="622"/>
      <c r="Q618" s="407"/>
      <c r="R618" s="625"/>
      <c r="S618" s="407"/>
      <c r="T618" s="625"/>
      <c r="U618" s="407"/>
      <c r="V618" s="304"/>
      <c r="W618" s="639"/>
      <c r="X618" s="165"/>
      <c r="Y618" s="165"/>
      <c r="Z618" s="165"/>
      <c r="AA618" s="165"/>
      <c r="AB618" s="225"/>
    </row>
    <row r="619" spans="1:121" ht="12.6" customHeight="1" x14ac:dyDescent="0.2">
      <c r="A619" s="219"/>
      <c r="B619" s="691" t="s">
        <v>411</v>
      </c>
      <c r="C619" s="692"/>
      <c r="D619" s="692"/>
      <c r="E619" s="692"/>
      <c r="F619" s="337"/>
      <c r="G619" s="409"/>
      <c r="H619" s="622"/>
      <c r="I619" s="623"/>
      <c r="J619" s="105"/>
      <c r="K619" s="409"/>
      <c r="L619" s="622"/>
      <c r="M619" s="409"/>
      <c r="N619" s="622"/>
      <c r="O619" s="409"/>
      <c r="P619" s="622"/>
      <c r="Q619" s="409"/>
      <c r="R619" s="624"/>
      <c r="S619" s="409"/>
      <c r="T619" s="624"/>
      <c r="U619" s="409"/>
      <c r="V619" s="307"/>
      <c r="W619" s="636"/>
      <c r="X619" s="165"/>
      <c r="Y619" s="165"/>
      <c r="Z619" s="165"/>
      <c r="AA619" s="165"/>
      <c r="AB619" s="225"/>
    </row>
    <row r="620" spans="1:121" ht="12.6" customHeight="1" x14ac:dyDescent="0.2">
      <c r="A620" s="219"/>
      <c r="B620" s="898" t="s">
        <v>408</v>
      </c>
      <c r="C620" s="792"/>
      <c r="D620" s="792"/>
      <c r="E620" s="792"/>
      <c r="F620" s="338"/>
      <c r="G620" s="407"/>
      <c r="H620" s="622"/>
      <c r="I620" s="622"/>
      <c r="J620" s="105"/>
      <c r="K620" s="407"/>
      <c r="L620" s="622"/>
      <c r="M620" s="407"/>
      <c r="N620" s="622"/>
      <c r="O620" s="407"/>
      <c r="P620" s="622"/>
      <c r="Q620" s="407"/>
      <c r="R620" s="625"/>
      <c r="S620" s="407"/>
      <c r="T620" s="625"/>
      <c r="U620" s="407"/>
      <c r="V620" s="304"/>
      <c r="W620" s="639"/>
      <c r="X620" s="165"/>
      <c r="Y620" s="165"/>
      <c r="Z620" s="165"/>
      <c r="AA620" s="165"/>
      <c r="AB620" s="225"/>
    </row>
    <row r="621" spans="1:121" ht="12.6" customHeight="1" x14ac:dyDescent="0.2">
      <c r="B621" s="957" t="s">
        <v>768</v>
      </c>
      <c r="C621" s="957"/>
      <c r="D621" s="957"/>
      <c r="E621" s="957"/>
      <c r="F621" s="472">
        <f>3.054*X2</f>
        <v>2821.8959999999997</v>
      </c>
      <c r="G621" s="337">
        <f>+F621*$X$1</f>
        <v>2821.8959999999997</v>
      </c>
      <c r="H621" s="106"/>
      <c r="I621" s="106"/>
      <c r="J621" s="19"/>
      <c r="K621" s="19"/>
      <c r="L621" s="375">
        <f>F621+250</f>
        <v>3071.8959999999997</v>
      </c>
      <c r="M621" s="337">
        <f t="shared" ref="M621" si="1643">+L621*$X$1</f>
        <v>3071.8959999999997</v>
      </c>
      <c r="N621" s="375">
        <f>F621+100</f>
        <v>2921.8959999999997</v>
      </c>
      <c r="O621" s="337">
        <f t="shared" ref="O621" si="1644">+N621*$X$1</f>
        <v>2921.8959999999997</v>
      </c>
      <c r="P621" s="375">
        <f>F621+80</f>
        <v>2901.8959999999997</v>
      </c>
      <c r="Q621" s="337">
        <f t="shared" ref="Q621" si="1645">+P621*$X$1</f>
        <v>2901.8959999999997</v>
      </c>
      <c r="R621" s="375">
        <f>F621+60</f>
        <v>2881.8959999999997</v>
      </c>
      <c r="S621" s="337">
        <f t="shared" ref="S621" si="1646">+R621*$X$1</f>
        <v>2881.8959999999997</v>
      </c>
      <c r="T621" s="375">
        <f>F621+50</f>
        <v>2871.8959999999997</v>
      </c>
      <c r="U621" s="337">
        <f t="shared" ref="U621" si="1647">+T621*$X$1</f>
        <v>2871.8959999999997</v>
      </c>
      <c r="V621" s="375">
        <f>F621+44</f>
        <v>2865.8959999999997</v>
      </c>
      <c r="W621" s="337">
        <f t="shared" ref="W621" si="1648">+V621*$X$1</f>
        <v>2865.8959999999997</v>
      </c>
      <c r="X621" s="547"/>
      <c r="Y621" s="147"/>
      <c r="Z621" s="145"/>
      <c r="AA621" s="148"/>
      <c r="AB621" s="545" t="s">
        <v>769</v>
      </c>
    </row>
    <row r="622" spans="1:121" ht="12.6" customHeight="1" x14ac:dyDescent="0.2">
      <c r="B622" s="957" t="s">
        <v>778</v>
      </c>
      <c r="C622" s="957"/>
      <c r="D622" s="957"/>
      <c r="E622" s="957"/>
      <c r="F622" s="473">
        <f>11.3*X2</f>
        <v>10441.200000000001</v>
      </c>
      <c r="G622" s="338">
        <f>+F622*$X$1</f>
        <v>10441.200000000001</v>
      </c>
      <c r="H622" s="112"/>
      <c r="I622" s="112"/>
      <c r="J622" s="304"/>
      <c r="K622" s="304"/>
      <c r="L622" s="617">
        <f>F622+250</f>
        <v>10691.2</v>
      </c>
      <c r="M622" s="338">
        <f t="shared" ref="M622" si="1649">+L622*$X$1</f>
        <v>10691.2</v>
      </c>
      <c r="N622" s="617">
        <f>F622+100</f>
        <v>10541.2</v>
      </c>
      <c r="O622" s="338">
        <f t="shared" ref="O622" si="1650">+N622*$X$1</f>
        <v>10541.2</v>
      </c>
      <c r="P622" s="617">
        <f>F622+80</f>
        <v>10521.2</v>
      </c>
      <c r="Q622" s="338">
        <f t="shared" ref="Q622" si="1651">+P622*$X$1</f>
        <v>10521.2</v>
      </c>
      <c r="R622" s="617">
        <f>F622+60</f>
        <v>10501.2</v>
      </c>
      <c r="S622" s="338">
        <f t="shared" ref="S622" si="1652">+R622*$X$1</f>
        <v>10501.2</v>
      </c>
      <c r="T622" s="617">
        <f>F622+50</f>
        <v>10491.2</v>
      </c>
      <c r="U622" s="338">
        <f t="shared" ref="U622" si="1653">+T622*$X$1</f>
        <v>10491.2</v>
      </c>
      <c r="V622" s="617">
        <f>F622+44</f>
        <v>10485.200000000001</v>
      </c>
      <c r="W622" s="338">
        <f t="shared" ref="W622" si="1654">+V622*$X$1</f>
        <v>10485.200000000001</v>
      </c>
      <c r="X622" s="548"/>
      <c r="Y622" s="147"/>
      <c r="Z622" s="145"/>
      <c r="AA622" s="148"/>
      <c r="AB622" s="545" t="s">
        <v>779</v>
      </c>
    </row>
    <row r="623" spans="1:121" ht="12.6" customHeight="1" x14ac:dyDescent="0.2">
      <c r="B623" s="737" t="s">
        <v>571</v>
      </c>
      <c r="C623" s="737"/>
      <c r="D623" s="737"/>
      <c r="E623" s="737"/>
      <c r="F623" s="472">
        <f>4.5*X2</f>
        <v>4158</v>
      </c>
      <c r="G623" s="337">
        <f>+F623*$X$1</f>
        <v>4158</v>
      </c>
      <c r="H623" s="106"/>
      <c r="I623" s="106"/>
      <c r="J623" s="19"/>
      <c r="K623" s="19"/>
      <c r="L623" s="375">
        <f>F623+250</f>
        <v>4408</v>
      </c>
      <c r="M623" s="337">
        <f t="shared" ref="M623" si="1655">+L623*$X$1</f>
        <v>4408</v>
      </c>
      <c r="N623" s="375">
        <f>F623+100</f>
        <v>4258</v>
      </c>
      <c r="O623" s="337">
        <f t="shared" ref="O623" si="1656">+N623*$X$1</f>
        <v>4258</v>
      </c>
      <c r="P623" s="375">
        <f>F623+80</f>
        <v>4238</v>
      </c>
      <c r="Q623" s="337">
        <f t="shared" ref="Q623" si="1657">+P623*$X$1</f>
        <v>4238</v>
      </c>
      <c r="R623" s="375">
        <f>F623+60</f>
        <v>4218</v>
      </c>
      <c r="S623" s="337">
        <f t="shared" ref="S623" si="1658">+R623*$X$1</f>
        <v>4218</v>
      </c>
      <c r="T623" s="375">
        <f>F623+50</f>
        <v>4208</v>
      </c>
      <c r="U623" s="337">
        <f t="shared" ref="U623" si="1659">+T623*$X$1</f>
        <v>4208</v>
      </c>
      <c r="V623" s="375">
        <f>F623+44</f>
        <v>4202</v>
      </c>
      <c r="W623" s="337">
        <f t="shared" ref="W623" si="1660">+V623*$X$1</f>
        <v>4202</v>
      </c>
      <c r="X623" s="261"/>
      <c r="Y623" s="147"/>
      <c r="Z623" s="145"/>
      <c r="AA623" s="148"/>
      <c r="AB623" s="545" t="s">
        <v>494</v>
      </c>
    </row>
    <row r="624" spans="1:121" ht="12.6" customHeight="1" x14ac:dyDescent="0.2">
      <c r="B624" s="687" t="s">
        <v>780</v>
      </c>
      <c r="C624" s="687"/>
      <c r="D624" s="687"/>
      <c r="E624" s="687"/>
      <c r="F624" s="473"/>
      <c r="G624" s="338"/>
      <c r="H624" s="617"/>
      <c r="I624" s="338"/>
      <c r="J624" s="304"/>
      <c r="K624" s="304"/>
      <c r="L624" s="617"/>
      <c r="M624" s="338"/>
      <c r="N624" s="617"/>
      <c r="O624" s="338"/>
      <c r="P624" s="617"/>
      <c r="Q624" s="338"/>
      <c r="R624" s="617"/>
      <c r="S624" s="338"/>
      <c r="T624" s="617"/>
      <c r="U624" s="338"/>
      <c r="V624" s="617"/>
      <c r="W624" s="338"/>
      <c r="X624" s="296"/>
      <c r="Y624" s="147"/>
      <c r="Z624" s="145"/>
      <c r="AA624" s="148"/>
      <c r="AB624" s="545" t="s">
        <v>781</v>
      </c>
    </row>
    <row r="625" spans="1:34" ht="12.6" customHeight="1" x14ac:dyDescent="0.2">
      <c r="A625" s="12"/>
      <c r="B625" s="1217" t="s">
        <v>355</v>
      </c>
      <c r="C625" s="1217"/>
      <c r="D625" s="1217"/>
      <c r="E625" s="1217"/>
      <c r="F625" s="472">
        <f>35.44*X2</f>
        <v>32746.559999999998</v>
      </c>
      <c r="G625" s="337">
        <f t="shared" ref="G625" si="1661">+F625*$X$1</f>
        <v>32746.559999999998</v>
      </c>
      <c r="H625" s="106"/>
      <c r="I625" s="106"/>
      <c r="J625" s="19"/>
      <c r="K625" s="19"/>
      <c r="L625" s="375">
        <f>F625+220</f>
        <v>32966.559999999998</v>
      </c>
      <c r="M625" s="337">
        <f t="shared" ref="M625" si="1662">+L625*$X$1</f>
        <v>32966.559999999998</v>
      </c>
      <c r="N625" s="375">
        <f>F625+100</f>
        <v>32846.559999999998</v>
      </c>
      <c r="O625" s="337">
        <f t="shared" ref="O625" si="1663">+N625*$X$1</f>
        <v>32846.559999999998</v>
      </c>
      <c r="P625" s="375">
        <f>F625+80</f>
        <v>32826.559999999998</v>
      </c>
      <c r="Q625" s="337">
        <f t="shared" ref="Q625" si="1664">+P625*$X$1</f>
        <v>32826.559999999998</v>
      </c>
      <c r="R625" s="375">
        <f>F625+60</f>
        <v>32806.559999999998</v>
      </c>
      <c r="S625" s="337">
        <f t="shared" ref="S625" si="1665">+R625*$X$1</f>
        <v>32806.559999999998</v>
      </c>
      <c r="T625" s="375">
        <f>F625+50</f>
        <v>32796.559999999998</v>
      </c>
      <c r="U625" s="337">
        <f t="shared" ref="U625" si="1666">+T625*$X$1</f>
        <v>32796.559999999998</v>
      </c>
      <c r="V625" s="375"/>
      <c r="W625" s="337"/>
      <c r="X625" s="145"/>
      <c r="Y625" s="149"/>
      <c r="Z625" s="145"/>
      <c r="AA625" s="148"/>
      <c r="AB625" s="545" t="s">
        <v>513</v>
      </c>
    </row>
    <row r="626" spans="1:34" ht="12.6" customHeight="1" x14ac:dyDescent="0.2">
      <c r="A626" s="12"/>
      <c r="B626" s="1180" t="s">
        <v>512</v>
      </c>
      <c r="C626" s="1180"/>
      <c r="D626" s="1180"/>
      <c r="E626" s="1180"/>
      <c r="F626" s="338"/>
      <c r="G626" s="338"/>
      <c r="H626" s="112"/>
      <c r="I626" s="112"/>
      <c r="J626" s="617"/>
      <c r="K626" s="338"/>
      <c r="L626" s="617"/>
      <c r="M626" s="338"/>
      <c r="N626" s="617"/>
      <c r="O626" s="338"/>
      <c r="P626" s="617"/>
      <c r="Q626" s="338"/>
      <c r="R626" s="617"/>
      <c r="S626" s="338"/>
      <c r="T626" s="617"/>
      <c r="U626" s="338"/>
      <c r="V626" s="637"/>
      <c r="W626" s="638"/>
      <c r="X626" s="145"/>
      <c r="Y626" s="149"/>
      <c r="Z626" s="145"/>
      <c r="AA626" s="148"/>
      <c r="AB626" s="545" t="s">
        <v>356</v>
      </c>
    </row>
    <row r="627" spans="1:34" ht="12.6" customHeight="1" x14ac:dyDescent="0.2">
      <c r="A627" s="219"/>
      <c r="B627" s="691" t="s">
        <v>624</v>
      </c>
      <c r="C627" s="692"/>
      <c r="D627" s="692"/>
      <c r="E627" s="692"/>
      <c r="F627" s="393">
        <v>14100</v>
      </c>
      <c r="G627" s="364">
        <f t="shared" ref="G627" si="1667">+F627*$X$1</f>
        <v>14100</v>
      </c>
      <c r="H627" s="621"/>
      <c r="I627" s="621"/>
      <c r="J627" s="108">
        <f t="shared" ref="J627:J635" si="1668">F627+500</f>
        <v>14600</v>
      </c>
      <c r="K627" s="364">
        <f t="shared" ref="K627:K629" si="1669">+J627*$X$1</f>
        <v>14600</v>
      </c>
      <c r="L627" s="108">
        <f>F627+410</f>
        <v>14510</v>
      </c>
      <c r="M627" s="364">
        <f>+L627*$X$1</f>
        <v>14510</v>
      </c>
      <c r="N627" s="108">
        <f>F627+370</f>
        <v>14470</v>
      </c>
      <c r="O627" s="364">
        <f>+N627*$X$1</f>
        <v>14470</v>
      </c>
      <c r="P627" s="108">
        <f>F627+330</f>
        <v>14430</v>
      </c>
      <c r="Q627" s="364">
        <f>+P627*$X$1</f>
        <v>14430</v>
      </c>
      <c r="R627" s="108">
        <f>F627+290</f>
        <v>14390</v>
      </c>
      <c r="S627" s="364">
        <f>+R627*$X$1</f>
        <v>14390</v>
      </c>
      <c r="T627" s="108">
        <f>F627+240</f>
        <v>14340</v>
      </c>
      <c r="U627" s="364">
        <f t="shared" ref="U627" si="1670">+T627*$X$1</f>
        <v>14340</v>
      </c>
      <c r="V627" s="368"/>
      <c r="W627" s="364"/>
      <c r="X627" s="366"/>
      <c r="Y627" s="366"/>
      <c r="Z627" s="366"/>
      <c r="AA627" s="366"/>
      <c r="AB627" s="545" t="s">
        <v>782</v>
      </c>
    </row>
    <row r="628" spans="1:34" ht="12.6" customHeight="1" x14ac:dyDescent="0.2">
      <c r="A628" s="219"/>
      <c r="B628" s="898" t="s">
        <v>490</v>
      </c>
      <c r="C628" s="792"/>
      <c r="D628" s="792"/>
      <c r="E628" s="792"/>
      <c r="F628" s="392">
        <v>15920</v>
      </c>
      <c r="G628" s="338">
        <f t="shared" ref="G628:G633" si="1671">+F628*$X$1</f>
        <v>15920</v>
      </c>
      <c r="H628" s="304"/>
      <c r="I628" s="304"/>
      <c r="J628" s="617"/>
      <c r="K628" s="338"/>
      <c r="L628" s="617">
        <f>F628+250</f>
        <v>16170</v>
      </c>
      <c r="M628" s="338">
        <f t="shared" ref="M628" si="1672">+L628*$X$1</f>
        <v>16170</v>
      </c>
      <c r="N628" s="617">
        <f>F628+100</f>
        <v>16020</v>
      </c>
      <c r="O628" s="338">
        <f t="shared" ref="O628" si="1673">+N628*$X$1</f>
        <v>16020</v>
      </c>
      <c r="P628" s="617">
        <f>F628+80</f>
        <v>16000</v>
      </c>
      <c r="Q628" s="338">
        <f t="shared" ref="Q628" si="1674">+P628*$X$1</f>
        <v>16000</v>
      </c>
      <c r="R628" s="617">
        <f>F628+60</f>
        <v>15980</v>
      </c>
      <c r="S628" s="338">
        <f t="shared" ref="S628" si="1675">+R628*$X$1</f>
        <v>15980</v>
      </c>
      <c r="T628" s="617">
        <f>F628+50</f>
        <v>15970</v>
      </c>
      <c r="U628" s="338">
        <f t="shared" ref="U628" si="1676">+T628*$X$1</f>
        <v>15970</v>
      </c>
      <c r="V628" s="617"/>
      <c r="W628" s="338"/>
      <c r="X628" s="165"/>
      <c r="Y628" s="165"/>
      <c r="Z628" s="165"/>
      <c r="AA628" s="165"/>
      <c r="AB628" s="545" t="s">
        <v>493</v>
      </c>
    </row>
    <row r="629" spans="1:34" ht="12.6" customHeight="1" x14ac:dyDescent="0.2">
      <c r="A629" s="219"/>
      <c r="B629" s="691" t="s">
        <v>623</v>
      </c>
      <c r="C629" s="692"/>
      <c r="D629" s="692"/>
      <c r="E629" s="692"/>
      <c r="F629" s="393">
        <v>21780</v>
      </c>
      <c r="G629" s="337">
        <f t="shared" ref="G629:G630" si="1677">+F629*$X$1</f>
        <v>21780</v>
      </c>
      <c r="H629" s="375">
        <f>F629+2400</f>
        <v>24180</v>
      </c>
      <c r="I629" s="337">
        <f t="shared" ref="I629" si="1678">+H629*$X$1</f>
        <v>24180</v>
      </c>
      <c r="J629" s="375">
        <f t="shared" si="1668"/>
        <v>22280</v>
      </c>
      <c r="K629" s="337">
        <f t="shared" si="1669"/>
        <v>22280</v>
      </c>
      <c r="L629" s="375">
        <f>F629+250</f>
        <v>22030</v>
      </c>
      <c r="M629" s="337">
        <f t="shared" ref="M629:M630" si="1679">+L629*$X$1</f>
        <v>22030</v>
      </c>
      <c r="N629" s="375">
        <f>F629+100</f>
        <v>21880</v>
      </c>
      <c r="O629" s="337">
        <f t="shared" ref="O629:O630" si="1680">+N629*$X$1</f>
        <v>21880</v>
      </c>
      <c r="P629" s="375">
        <f>F629+80</f>
        <v>21860</v>
      </c>
      <c r="Q629" s="337">
        <f t="shared" ref="Q629:Q630" si="1681">+P629*$X$1</f>
        <v>21860</v>
      </c>
      <c r="R629" s="375">
        <f>F629+60</f>
        <v>21840</v>
      </c>
      <c r="S629" s="337">
        <f t="shared" ref="S629:S630" si="1682">+R629*$X$1</f>
        <v>21840</v>
      </c>
      <c r="T629" s="375">
        <f>F629+50</f>
        <v>21830</v>
      </c>
      <c r="U629" s="337">
        <f t="shared" ref="U629:U635" si="1683">+T629*$X$1</f>
        <v>21830</v>
      </c>
      <c r="V629" s="375"/>
      <c r="W629" s="337"/>
      <c r="X629" s="366"/>
      <c r="Y629" s="366"/>
      <c r="Z629" s="366"/>
      <c r="AA629" s="366"/>
      <c r="AB629" s="545" t="s">
        <v>625</v>
      </c>
    </row>
    <row r="630" spans="1:34" ht="12.6" customHeight="1" x14ac:dyDescent="0.2">
      <c r="A630" s="219"/>
      <c r="B630" s="689" t="s">
        <v>894</v>
      </c>
      <c r="C630" s="690"/>
      <c r="D630" s="690"/>
      <c r="E630" s="690"/>
      <c r="F630" s="392">
        <v>16570</v>
      </c>
      <c r="G630" s="338">
        <f t="shared" si="1677"/>
        <v>16570</v>
      </c>
      <c r="H630" s="662">
        <f>F630+2400</f>
        <v>18970</v>
      </c>
      <c r="I630" s="338">
        <f t="shared" ref="I630" si="1684">+H630*$X$1</f>
        <v>18970</v>
      </c>
      <c r="J630" s="662">
        <f t="shared" ref="J630" si="1685">F630+500</f>
        <v>17070</v>
      </c>
      <c r="K630" s="338">
        <f t="shared" ref="K630" si="1686">+J630*$X$1</f>
        <v>17070</v>
      </c>
      <c r="L630" s="662">
        <f>F630+250</f>
        <v>16820</v>
      </c>
      <c r="M630" s="338">
        <f t="shared" si="1679"/>
        <v>16820</v>
      </c>
      <c r="N630" s="662">
        <f>F630+100</f>
        <v>16670</v>
      </c>
      <c r="O630" s="338">
        <f t="shared" si="1680"/>
        <v>16670</v>
      </c>
      <c r="P630" s="662">
        <f>F630+80</f>
        <v>16650</v>
      </c>
      <c r="Q630" s="338">
        <f t="shared" si="1681"/>
        <v>16650</v>
      </c>
      <c r="R630" s="662">
        <f>F630+60</f>
        <v>16630</v>
      </c>
      <c r="S630" s="338">
        <f t="shared" si="1682"/>
        <v>16630</v>
      </c>
      <c r="T630" s="662">
        <f>F630+50</f>
        <v>16620</v>
      </c>
      <c r="U630" s="338">
        <f t="shared" si="1683"/>
        <v>16620</v>
      </c>
      <c r="V630" s="662"/>
      <c r="W630" s="338"/>
      <c r="X630" s="664"/>
      <c r="Y630" s="664"/>
      <c r="Z630" s="664"/>
      <c r="AA630" s="664"/>
      <c r="AB630" s="545" t="s">
        <v>895</v>
      </c>
    </row>
    <row r="631" spans="1:34" ht="12.6" customHeight="1" x14ac:dyDescent="0.2">
      <c r="A631" s="219"/>
      <c r="B631" s="691" t="s">
        <v>489</v>
      </c>
      <c r="C631" s="692"/>
      <c r="D631" s="692"/>
      <c r="E631" s="692"/>
      <c r="F631" s="393">
        <v>16540</v>
      </c>
      <c r="G631" s="337">
        <f t="shared" si="1671"/>
        <v>16540</v>
      </c>
      <c r="H631" s="307"/>
      <c r="I631" s="307"/>
      <c r="J631" s="375">
        <f t="shared" si="1668"/>
        <v>17040</v>
      </c>
      <c r="K631" s="337">
        <f t="shared" ref="K631:K635" si="1687">+J631*$X$1</f>
        <v>17040</v>
      </c>
      <c r="L631" s="108">
        <f>F631+410</f>
        <v>16950</v>
      </c>
      <c r="M631" s="364">
        <f>+L631*$X$1</f>
        <v>16950</v>
      </c>
      <c r="N631" s="108">
        <f>F631+370</f>
        <v>16910</v>
      </c>
      <c r="O631" s="364">
        <f>+N631*$X$1</f>
        <v>16910</v>
      </c>
      <c r="P631" s="108">
        <f>F631+330</f>
        <v>16870</v>
      </c>
      <c r="Q631" s="364">
        <f>+P631*$X$1</f>
        <v>16870</v>
      </c>
      <c r="R631" s="108">
        <f>F631+290</f>
        <v>16830</v>
      </c>
      <c r="S631" s="364">
        <f>+R631*$X$1</f>
        <v>16830</v>
      </c>
      <c r="T631" s="375">
        <f>F631+240</f>
        <v>16780</v>
      </c>
      <c r="U631" s="337">
        <f t="shared" si="1683"/>
        <v>16780</v>
      </c>
      <c r="V631" s="368"/>
      <c r="W631" s="337"/>
      <c r="X631" s="165"/>
      <c r="Y631" s="165"/>
      <c r="Z631" s="165"/>
      <c r="AA631" s="165"/>
      <c r="AB631" s="545" t="s">
        <v>492</v>
      </c>
    </row>
    <row r="632" spans="1:34" ht="12.6" customHeight="1" x14ac:dyDescent="0.2">
      <c r="A632" s="219"/>
      <c r="B632" s="938" t="s">
        <v>626</v>
      </c>
      <c r="C632" s="939"/>
      <c r="D632" s="939"/>
      <c r="E632" s="939"/>
      <c r="F632" s="476">
        <f>12.4*X2</f>
        <v>11457.6</v>
      </c>
      <c r="G632" s="402">
        <f t="shared" ref="G632" si="1688">+F632*$X$1</f>
        <v>11457.6</v>
      </c>
      <c r="H632" s="305"/>
      <c r="I632" s="305"/>
      <c r="J632" s="657">
        <f t="shared" si="1668"/>
        <v>11957.6</v>
      </c>
      <c r="K632" s="402">
        <f t="shared" si="1687"/>
        <v>11957.6</v>
      </c>
      <c r="L632" s="122">
        <f>F632+410</f>
        <v>11867.6</v>
      </c>
      <c r="M632" s="403">
        <f>+L632*$X$1</f>
        <v>11867.6</v>
      </c>
      <c r="N632" s="122">
        <f>F632+370</f>
        <v>11827.6</v>
      </c>
      <c r="O632" s="403">
        <f>+N632*$X$1</f>
        <v>11827.6</v>
      </c>
      <c r="P632" s="122">
        <f>F632+330</f>
        <v>11787.6</v>
      </c>
      <c r="Q632" s="403">
        <f>+P632*$X$1</f>
        <v>11787.6</v>
      </c>
      <c r="R632" s="122">
        <f>F632+290</f>
        <v>11747.6</v>
      </c>
      <c r="S632" s="403">
        <f>+R632*$X$1</f>
        <v>11747.6</v>
      </c>
      <c r="T632" s="657">
        <f>F632+240</f>
        <v>11697.6</v>
      </c>
      <c r="U632" s="402">
        <f t="shared" si="1683"/>
        <v>11697.6</v>
      </c>
      <c r="V632" s="659"/>
      <c r="W632" s="402"/>
      <c r="X632" s="369"/>
      <c r="Y632" s="369"/>
      <c r="Z632" s="369"/>
      <c r="AA632" s="369"/>
      <c r="AB632" s="545" t="s">
        <v>783</v>
      </c>
    </row>
    <row r="633" spans="1:34" ht="12.6" customHeight="1" x14ac:dyDescent="0.2">
      <c r="A633" s="219"/>
      <c r="B633" s="691" t="s">
        <v>543</v>
      </c>
      <c r="C633" s="692"/>
      <c r="D633" s="692"/>
      <c r="E633" s="692"/>
      <c r="F633" s="472">
        <f>8.7*X2</f>
        <v>8038.7999999999993</v>
      </c>
      <c r="G633" s="337">
        <f t="shared" si="1671"/>
        <v>8038.7999999999993</v>
      </c>
      <c r="H633" s="307"/>
      <c r="I633" s="307"/>
      <c r="J633" s="375">
        <f t="shared" si="1668"/>
        <v>8538.7999999999993</v>
      </c>
      <c r="K633" s="337">
        <f t="shared" si="1687"/>
        <v>8538.7999999999993</v>
      </c>
      <c r="L633" s="108">
        <f>F633+410</f>
        <v>8448.7999999999993</v>
      </c>
      <c r="M633" s="364">
        <f>+L633*$X$1</f>
        <v>8448.7999999999993</v>
      </c>
      <c r="N633" s="108">
        <f>F633+370</f>
        <v>8408.7999999999993</v>
      </c>
      <c r="O633" s="364">
        <f>+N633*$X$1</f>
        <v>8408.7999999999993</v>
      </c>
      <c r="P633" s="108">
        <f>F633+330</f>
        <v>8368.7999999999993</v>
      </c>
      <c r="Q633" s="364">
        <f>+P633*$X$1</f>
        <v>8368.7999999999993</v>
      </c>
      <c r="R633" s="108">
        <f>F633+290</f>
        <v>8328.7999999999993</v>
      </c>
      <c r="S633" s="364">
        <f>+R633*$X$1</f>
        <v>8328.7999999999993</v>
      </c>
      <c r="T633" s="375">
        <f>F633+240</f>
        <v>8278.7999999999993</v>
      </c>
      <c r="U633" s="337">
        <f t="shared" si="1683"/>
        <v>8278.7999999999993</v>
      </c>
      <c r="V633" s="375"/>
      <c r="W633" s="337"/>
      <c r="X633" s="165"/>
      <c r="Y633" s="165"/>
      <c r="Z633" s="165"/>
      <c r="AA633" s="165"/>
      <c r="AB633" s="545" t="s">
        <v>752</v>
      </c>
    </row>
    <row r="634" spans="1:34" ht="12.6" customHeight="1" x14ac:dyDescent="0.2">
      <c r="A634" s="219"/>
      <c r="B634" s="898" t="s">
        <v>786</v>
      </c>
      <c r="C634" s="792"/>
      <c r="D634" s="792"/>
      <c r="E634" s="792"/>
      <c r="F634" s="473">
        <f>14.53*X2</f>
        <v>13425.72</v>
      </c>
      <c r="G634" s="338">
        <f t="shared" ref="G634" si="1689">+F634*$X$1</f>
        <v>13425.72</v>
      </c>
      <c r="H634" s="304"/>
      <c r="I634" s="304"/>
      <c r="J634" s="662">
        <f t="shared" si="1668"/>
        <v>13925.72</v>
      </c>
      <c r="K634" s="338">
        <f t="shared" si="1687"/>
        <v>13925.72</v>
      </c>
      <c r="L634" s="107">
        <f>F634+410</f>
        <v>13835.72</v>
      </c>
      <c r="M634" s="380">
        <f>+L634*$X$1</f>
        <v>13835.72</v>
      </c>
      <c r="N634" s="107">
        <f>F634+370</f>
        <v>13795.72</v>
      </c>
      <c r="O634" s="380">
        <f>+N634*$X$1</f>
        <v>13795.72</v>
      </c>
      <c r="P634" s="107">
        <f>F634+330</f>
        <v>13755.72</v>
      </c>
      <c r="Q634" s="380">
        <f>+P634*$X$1</f>
        <v>13755.72</v>
      </c>
      <c r="R634" s="107">
        <f>F634+290</f>
        <v>13715.72</v>
      </c>
      <c r="S634" s="380">
        <f>+R634*$X$1</f>
        <v>13715.72</v>
      </c>
      <c r="T634" s="662">
        <f>F634+240</f>
        <v>13665.72</v>
      </c>
      <c r="U634" s="338">
        <f t="shared" si="1683"/>
        <v>13665.72</v>
      </c>
      <c r="V634" s="662"/>
      <c r="W634" s="338"/>
      <c r="X634" s="496"/>
      <c r="Y634" s="496"/>
      <c r="Z634" s="496"/>
      <c r="AA634" s="496"/>
      <c r="AB634" s="545" t="s">
        <v>753</v>
      </c>
    </row>
    <row r="635" spans="1:34" ht="12.6" customHeight="1" x14ac:dyDescent="0.2">
      <c r="A635" s="219"/>
      <c r="B635" s="691" t="s">
        <v>542</v>
      </c>
      <c r="C635" s="692"/>
      <c r="D635" s="692"/>
      <c r="E635" s="692"/>
      <c r="F635" s="472">
        <f>10.53*X2</f>
        <v>9729.7199999999993</v>
      </c>
      <c r="G635" s="337">
        <f t="shared" ref="G635" si="1690">+F635*$X$1</f>
        <v>9729.7199999999993</v>
      </c>
      <c r="H635" s="307"/>
      <c r="I635" s="307"/>
      <c r="J635" s="375">
        <f t="shared" si="1668"/>
        <v>10229.719999999999</v>
      </c>
      <c r="K635" s="337">
        <f t="shared" si="1687"/>
        <v>10229.719999999999</v>
      </c>
      <c r="L635" s="108">
        <f>F635+410</f>
        <v>10139.719999999999</v>
      </c>
      <c r="M635" s="364">
        <f>+L635*$X$1</f>
        <v>10139.719999999999</v>
      </c>
      <c r="N635" s="108">
        <f>F635+370</f>
        <v>10099.719999999999</v>
      </c>
      <c r="O635" s="364">
        <f>+N635*$X$1</f>
        <v>10099.719999999999</v>
      </c>
      <c r="P635" s="108">
        <f>F635+330</f>
        <v>10059.719999999999</v>
      </c>
      <c r="Q635" s="364">
        <f>+P635*$X$1</f>
        <v>10059.719999999999</v>
      </c>
      <c r="R635" s="108">
        <f>F635+290</f>
        <v>10019.719999999999</v>
      </c>
      <c r="S635" s="364">
        <f>+R635*$X$1</f>
        <v>10019.719999999999</v>
      </c>
      <c r="T635" s="375">
        <f>F635+240</f>
        <v>9969.7199999999993</v>
      </c>
      <c r="U635" s="337">
        <f t="shared" si="1683"/>
        <v>9969.7199999999993</v>
      </c>
      <c r="V635" s="375"/>
      <c r="W635" s="337"/>
      <c r="X635" s="165"/>
      <c r="Y635" s="165"/>
      <c r="Z635" s="165"/>
      <c r="AA635" s="165"/>
      <c r="AB635" s="545" t="s">
        <v>754</v>
      </c>
    </row>
    <row r="636" spans="1:34" ht="12.6" customHeight="1" x14ac:dyDescent="0.2">
      <c r="A636" s="219"/>
      <c r="B636" s="115"/>
      <c r="C636" s="551"/>
      <c r="D636" s="551"/>
      <c r="E636" s="551"/>
      <c r="F636" s="557"/>
      <c r="G636" s="398"/>
      <c r="H636" s="127"/>
      <c r="I636" s="398"/>
      <c r="J636" s="127"/>
      <c r="K636" s="398"/>
      <c r="L636" s="127"/>
      <c r="M636" s="398"/>
      <c r="N636" s="127"/>
      <c r="O636" s="398"/>
      <c r="P636" s="127"/>
      <c r="Q636" s="398"/>
      <c r="R636" s="127"/>
      <c r="S636" s="398"/>
      <c r="T636" s="127"/>
      <c r="U636" s="398"/>
      <c r="V636" s="79"/>
      <c r="W636" s="554"/>
      <c r="X636" s="552"/>
      <c r="Y636" s="552"/>
      <c r="Z636" s="552"/>
      <c r="AA636" s="552"/>
      <c r="AB636" s="558"/>
    </row>
    <row r="637" spans="1:34" ht="12.6" customHeight="1" x14ac:dyDescent="0.2">
      <c r="A637" s="219"/>
      <c r="B637" s="115"/>
      <c r="C637" s="665"/>
      <c r="D637" s="665"/>
      <c r="E637" s="665"/>
      <c r="F637" s="557"/>
      <c r="G637" s="398"/>
      <c r="H637" s="127"/>
      <c r="I637" s="398"/>
      <c r="J637" s="127"/>
      <c r="K637" s="398"/>
      <c r="L637" s="127"/>
      <c r="M637" s="398"/>
      <c r="N637" s="127"/>
      <c r="O637" s="398"/>
      <c r="P637" s="127"/>
      <c r="Q637" s="398"/>
      <c r="R637" s="127"/>
      <c r="S637" s="398"/>
      <c r="T637" s="127"/>
      <c r="U637" s="398"/>
      <c r="V637" s="79"/>
      <c r="W637" s="661"/>
      <c r="X637" s="663"/>
      <c r="Y637" s="663"/>
      <c r="Z637" s="663"/>
      <c r="AA637" s="663"/>
      <c r="AB637" s="558"/>
    </row>
    <row r="638" spans="1:34" ht="12.6" customHeight="1" thickBot="1" x14ac:dyDescent="0.25">
      <c r="A638" s="219"/>
      <c r="B638" s="115"/>
      <c r="C638" s="551"/>
      <c r="D638" s="551"/>
      <c r="E638" s="551"/>
      <c r="F638" s="557"/>
      <c r="G638" s="398"/>
      <c r="H638" s="127"/>
      <c r="I638" s="398"/>
      <c r="J638" s="127"/>
      <c r="K638" s="398"/>
      <c r="L638" s="127"/>
      <c r="M638" s="398"/>
      <c r="N638" s="127"/>
      <c r="O638" s="398"/>
      <c r="P638" s="127"/>
      <c r="Q638" s="398"/>
      <c r="R638" s="127"/>
      <c r="S638" s="398"/>
      <c r="T638" s="127"/>
      <c r="U638" s="398"/>
      <c r="V638" s="79"/>
      <c r="W638" s="554"/>
      <c r="X638" s="552"/>
      <c r="Y638" s="552"/>
      <c r="Z638" s="552"/>
      <c r="AA638" s="552"/>
      <c r="AB638" s="558"/>
    </row>
    <row r="639" spans="1:34" ht="20.25" customHeight="1" thickBot="1" x14ac:dyDescent="0.25">
      <c r="A639" s="30"/>
      <c r="B639" s="1181" t="s">
        <v>357</v>
      </c>
      <c r="C639" s="1182"/>
      <c r="D639" s="1182"/>
      <c r="E639" s="1182"/>
      <c r="F639" s="1182"/>
      <c r="G639" s="1182"/>
      <c r="H639" s="1182"/>
      <c r="I639" s="1182"/>
      <c r="J639" s="1182"/>
      <c r="K639" s="1182"/>
      <c r="L639" s="1182"/>
      <c r="M639" s="1182"/>
      <c r="N639" s="1182"/>
      <c r="O639" s="1182"/>
      <c r="P639" s="1182"/>
      <c r="Q639" s="1182"/>
      <c r="R639" s="1182"/>
      <c r="S639" s="1182"/>
      <c r="T639" s="1182"/>
      <c r="U639" s="1182"/>
      <c r="V639" s="1182"/>
      <c r="W639" s="1183"/>
      <c r="AF639" s="741"/>
      <c r="AG639" s="742"/>
      <c r="AH639" s="742"/>
    </row>
    <row r="640" spans="1:34" ht="12.6" customHeight="1" x14ac:dyDescent="0.2">
      <c r="A640" s="20"/>
      <c r="B640" s="943"/>
      <c r="C640" s="944"/>
      <c r="D640" s="944"/>
      <c r="E640" s="944"/>
      <c r="F640" s="944"/>
      <c r="G640" s="945"/>
      <c r="H640" s="348"/>
      <c r="I640" s="349" t="s">
        <v>310</v>
      </c>
      <c r="J640" s="349"/>
      <c r="K640" s="349" t="s">
        <v>18</v>
      </c>
      <c r="L640" s="349"/>
      <c r="M640" s="349" t="s">
        <v>19</v>
      </c>
      <c r="N640" s="349"/>
      <c r="O640" s="349" t="s">
        <v>20</v>
      </c>
      <c r="P640" s="349"/>
      <c r="Q640" s="349" t="s">
        <v>312</v>
      </c>
      <c r="R640" s="349"/>
      <c r="S640" s="349" t="s">
        <v>21</v>
      </c>
      <c r="T640" s="349"/>
      <c r="U640" s="349" t="s">
        <v>22</v>
      </c>
      <c r="V640" s="349"/>
      <c r="W640" s="350" t="s">
        <v>23</v>
      </c>
    </row>
    <row r="641" spans="1:35" ht="12.6" customHeight="1" x14ac:dyDescent="0.2">
      <c r="A641" s="931"/>
      <c r="B641" s="1212" t="s">
        <v>589</v>
      </c>
      <c r="C641" s="1213"/>
      <c r="D641" s="1213"/>
      <c r="E641" s="1213"/>
      <c r="F641" s="1213"/>
      <c r="G641" s="1214"/>
      <c r="H641" s="346"/>
      <c r="I641" s="498"/>
      <c r="J641" s="499"/>
      <c r="K641" s="448"/>
      <c r="L641" s="345">
        <v>50</v>
      </c>
      <c r="M641" s="448">
        <f>+L641*$X$1</f>
        <v>50</v>
      </c>
      <c r="N641" s="497">
        <v>40</v>
      </c>
      <c r="O641" s="448">
        <f>+N641*$X$1</f>
        <v>40</v>
      </c>
      <c r="P641" s="497">
        <v>35</v>
      </c>
      <c r="Q641" s="448">
        <f>+P641*$X$1</f>
        <v>35</v>
      </c>
      <c r="R641" s="497">
        <v>31</v>
      </c>
      <c r="S641" s="448">
        <f>+R641*$X$1</f>
        <v>31</v>
      </c>
      <c r="T641" s="497">
        <v>28</v>
      </c>
      <c r="U641" s="449">
        <f>+T641*$X$1</f>
        <v>28</v>
      </c>
      <c r="V641" s="497">
        <v>25</v>
      </c>
      <c r="W641" s="450">
        <f>+V641*$X$1</f>
        <v>25</v>
      </c>
    </row>
    <row r="642" spans="1:35" ht="12.6" customHeight="1" x14ac:dyDescent="0.2">
      <c r="A642" s="931"/>
      <c r="B642" s="1056" t="s">
        <v>358</v>
      </c>
      <c r="C642" s="1057"/>
      <c r="D642" s="1057"/>
      <c r="E642" s="1057"/>
      <c r="F642" s="1057"/>
      <c r="G642" s="1058"/>
      <c r="H642" s="79"/>
      <c r="I642" s="500"/>
      <c r="J642" s="501">
        <v>120</v>
      </c>
      <c r="K642" s="451">
        <f>+J642*$X$1</f>
        <v>120</v>
      </c>
      <c r="L642" s="502">
        <v>90</v>
      </c>
      <c r="M642" s="503">
        <f>+L642*$X$1</f>
        <v>90</v>
      </c>
      <c r="N642" s="120">
        <v>70</v>
      </c>
      <c r="O642" s="503">
        <f>+N642*$X$1</f>
        <v>70</v>
      </c>
      <c r="P642" s="120">
        <v>60</v>
      </c>
      <c r="Q642" s="503">
        <f>+P642*$X$1</f>
        <v>60</v>
      </c>
      <c r="R642" s="120">
        <v>50</v>
      </c>
      <c r="S642" s="503">
        <f>+R642*$X$1</f>
        <v>50</v>
      </c>
      <c r="T642" s="120">
        <v>45</v>
      </c>
      <c r="U642" s="503">
        <f>+T642*$X$1</f>
        <v>45</v>
      </c>
      <c r="V642" s="120">
        <v>40</v>
      </c>
      <c r="W642" s="504">
        <f>+V642*$X$1</f>
        <v>40</v>
      </c>
    </row>
    <row r="643" spans="1:35" ht="12.6" customHeight="1" x14ac:dyDescent="0.2">
      <c r="A643" s="931"/>
      <c r="B643" s="1212" t="s">
        <v>590</v>
      </c>
      <c r="C643" s="1213"/>
      <c r="D643" s="1213"/>
      <c r="E643" s="1213"/>
      <c r="F643" s="1213"/>
      <c r="G643" s="1214"/>
      <c r="H643" s="345"/>
      <c r="I643" s="448"/>
      <c r="J643" s="345"/>
      <c r="K643" s="448"/>
      <c r="L643" s="345">
        <v>75</v>
      </c>
      <c r="M643" s="448">
        <f>+L643*$X$1</f>
        <v>75</v>
      </c>
      <c r="N643" s="497">
        <v>60</v>
      </c>
      <c r="O643" s="448">
        <f>+N643*$X$1</f>
        <v>60</v>
      </c>
      <c r="P643" s="497">
        <v>55</v>
      </c>
      <c r="Q643" s="448">
        <f>+P643*$X$1</f>
        <v>55</v>
      </c>
      <c r="R643" s="497">
        <v>50</v>
      </c>
      <c r="S643" s="448">
        <f>+R643*$X$1</f>
        <v>50</v>
      </c>
      <c r="T643" s="497">
        <v>46</v>
      </c>
      <c r="U643" s="449">
        <f>+T643*$X$1</f>
        <v>46</v>
      </c>
      <c r="V643" s="497">
        <v>42</v>
      </c>
      <c r="W643" s="450">
        <f>+V643*$X$1</f>
        <v>42</v>
      </c>
    </row>
    <row r="644" spans="1:35" ht="12.6" customHeight="1" x14ac:dyDescent="0.2">
      <c r="A644" s="931"/>
      <c r="B644" s="1221" t="s">
        <v>588</v>
      </c>
      <c r="C644" s="1222"/>
      <c r="D644" s="1222"/>
      <c r="E644" s="1222"/>
      <c r="F644" s="1222"/>
      <c r="G644" s="1223"/>
      <c r="H644" s="505">
        <v>290</v>
      </c>
      <c r="I644" s="451">
        <f>+H644*$X$1</f>
        <v>290</v>
      </c>
      <c r="J644" s="505">
        <v>150</v>
      </c>
      <c r="K644" s="451">
        <f>+J644*$X$1</f>
        <v>150</v>
      </c>
      <c r="L644" s="505">
        <v>120</v>
      </c>
      <c r="M644" s="451">
        <f>+L644*$X$1</f>
        <v>120</v>
      </c>
      <c r="N644" s="375">
        <v>100</v>
      </c>
      <c r="O644" s="451">
        <f>+N644*$X$1</f>
        <v>100</v>
      </c>
      <c r="P644" s="375">
        <v>85</v>
      </c>
      <c r="Q644" s="451">
        <f>+P644*$X$1</f>
        <v>85</v>
      </c>
      <c r="R644" s="375">
        <v>78</v>
      </c>
      <c r="S644" s="451">
        <f>+R644*$X$1</f>
        <v>78</v>
      </c>
      <c r="T644" s="375">
        <v>73</v>
      </c>
      <c r="U644" s="503">
        <f>+T644*$X$1</f>
        <v>73</v>
      </c>
      <c r="V644" s="375">
        <v>68</v>
      </c>
      <c r="W644" s="506">
        <f>+V644*$X$1</f>
        <v>68</v>
      </c>
    </row>
    <row r="645" spans="1:35" ht="12.75" customHeight="1" thickBot="1" x14ac:dyDescent="0.25">
      <c r="A645" s="931"/>
      <c r="B645" s="1204" t="s">
        <v>591</v>
      </c>
      <c r="C645" s="1205"/>
      <c r="D645" s="1205"/>
      <c r="E645" s="1205"/>
      <c r="F645" s="1205"/>
      <c r="G645" s="1205"/>
      <c r="H645" s="1205"/>
      <c r="I645" s="1205"/>
      <c r="J645" s="1205"/>
      <c r="K645" s="1205"/>
      <c r="L645" s="1205"/>
      <c r="M645" s="1205"/>
      <c r="N645" s="1205"/>
      <c r="O645" s="1205"/>
      <c r="P645" s="1205"/>
      <c r="Q645" s="1205"/>
      <c r="R645" s="1205"/>
      <c r="S645" s="1205"/>
      <c r="T645" s="1205"/>
      <c r="U645" s="1205"/>
      <c r="V645" s="1205"/>
      <c r="W645" s="1206"/>
    </row>
    <row r="646" spans="1:35" ht="13.5" customHeight="1" x14ac:dyDescent="0.2">
      <c r="A646" s="931"/>
      <c r="B646" s="1184" t="s">
        <v>671</v>
      </c>
      <c r="C646" s="1185"/>
      <c r="D646" s="1185"/>
      <c r="E646" s="1185"/>
      <c r="F646" s="1185"/>
      <c r="G646" s="1186"/>
      <c r="H646" s="1059"/>
      <c r="I646" s="946" t="s">
        <v>310</v>
      </c>
      <c r="J646" s="1059"/>
      <c r="K646" s="946" t="s">
        <v>18</v>
      </c>
      <c r="L646" s="946"/>
      <c r="M646" s="946" t="s">
        <v>19</v>
      </c>
      <c r="N646" s="946"/>
      <c r="O646" s="946" t="s">
        <v>20</v>
      </c>
      <c r="P646" s="946"/>
      <c r="Q646" s="946" t="s">
        <v>312</v>
      </c>
      <c r="R646" s="946"/>
      <c r="S646" s="946" t="s">
        <v>21</v>
      </c>
      <c r="T646" s="946"/>
      <c r="U646" s="946" t="s">
        <v>22</v>
      </c>
      <c r="V646" s="946"/>
      <c r="W646" s="1218" t="s">
        <v>23</v>
      </c>
    </row>
    <row r="647" spans="1:35" ht="11.25" customHeight="1" x14ac:dyDescent="0.2">
      <c r="A647" s="931"/>
      <c r="B647" s="1187"/>
      <c r="C647" s="1040"/>
      <c r="D647" s="1040"/>
      <c r="E647" s="1040"/>
      <c r="F647" s="1040"/>
      <c r="G647" s="1188"/>
      <c r="H647" s="1060"/>
      <c r="I647" s="1220"/>
      <c r="J647" s="1060"/>
      <c r="K647" s="1220"/>
      <c r="L647" s="947"/>
      <c r="M647" s="947"/>
      <c r="N647" s="947"/>
      <c r="O647" s="947"/>
      <c r="P647" s="947"/>
      <c r="Q647" s="947"/>
      <c r="R647" s="947"/>
      <c r="S647" s="947"/>
      <c r="T647" s="947"/>
      <c r="U647" s="947"/>
      <c r="V647" s="947"/>
      <c r="W647" s="1219"/>
      <c r="AB647" s="63"/>
      <c r="AC647" s="63"/>
      <c r="AD647" s="63"/>
      <c r="AE647" s="63"/>
      <c r="AF647" s="63"/>
      <c r="AG647" s="63"/>
      <c r="AH647" s="63"/>
      <c r="AI647" s="63"/>
    </row>
    <row r="648" spans="1:35" ht="12.6" customHeight="1" x14ac:dyDescent="0.2">
      <c r="A648" s="931"/>
      <c r="B648" s="935" t="s">
        <v>669</v>
      </c>
      <c r="C648" s="936"/>
      <c r="D648" s="936"/>
      <c r="E648" s="936"/>
      <c r="F648" s="936"/>
      <c r="G648" s="937"/>
      <c r="H648" s="347">
        <v>510</v>
      </c>
      <c r="I648" s="452">
        <f>+H648*$X$1</f>
        <v>510</v>
      </c>
      <c r="J648" s="93">
        <v>410</v>
      </c>
      <c r="K648" s="452">
        <f>+J648*$X$1</f>
        <v>410</v>
      </c>
      <c r="L648" s="497">
        <v>360</v>
      </c>
      <c r="M648" s="448">
        <f>+L648*$X$1</f>
        <v>360</v>
      </c>
      <c r="N648" s="497">
        <v>320</v>
      </c>
      <c r="O648" s="448">
        <f>+N648*$X$1</f>
        <v>320</v>
      </c>
      <c r="P648" s="497">
        <v>270</v>
      </c>
      <c r="Q648" s="448">
        <f>+P648*$X$1</f>
        <v>270</v>
      </c>
      <c r="R648" s="497">
        <v>250</v>
      </c>
      <c r="S648" s="448">
        <f>+R648*$X$1</f>
        <v>250</v>
      </c>
      <c r="T648" s="497">
        <v>230</v>
      </c>
      <c r="U648" s="448">
        <f>+T648*$X$1</f>
        <v>230</v>
      </c>
      <c r="V648" s="497">
        <v>220</v>
      </c>
      <c r="W648" s="450">
        <f>+V648*$X$1</f>
        <v>220</v>
      </c>
    </row>
    <row r="649" spans="1:35" ht="12.6" customHeight="1" x14ac:dyDescent="0.2">
      <c r="A649" s="931"/>
      <c r="B649" s="932" t="s">
        <v>666</v>
      </c>
      <c r="C649" s="933"/>
      <c r="D649" s="933"/>
      <c r="E649" s="933"/>
      <c r="F649" s="933"/>
      <c r="G649" s="934"/>
      <c r="H649" s="96">
        <v>570</v>
      </c>
      <c r="I649" s="508">
        <f>+H649*$X$1</f>
        <v>570</v>
      </c>
      <c r="J649" s="75">
        <v>480</v>
      </c>
      <c r="K649" s="508">
        <f>+J649*$X$1</f>
        <v>480</v>
      </c>
      <c r="L649" s="375">
        <v>450</v>
      </c>
      <c r="M649" s="451">
        <f>+L649*$X$1</f>
        <v>450</v>
      </c>
      <c r="N649" s="375">
        <v>410</v>
      </c>
      <c r="O649" s="451">
        <f>+N649*$X$1</f>
        <v>410</v>
      </c>
      <c r="P649" s="375">
        <v>380</v>
      </c>
      <c r="Q649" s="451">
        <f>+P649*$X$1</f>
        <v>380</v>
      </c>
      <c r="R649" s="375">
        <v>350</v>
      </c>
      <c r="S649" s="451">
        <f>+R649*$X$1</f>
        <v>350</v>
      </c>
      <c r="T649" s="375">
        <v>330</v>
      </c>
      <c r="U649" s="451">
        <f>+T649*$X$1</f>
        <v>330</v>
      </c>
      <c r="V649" s="375">
        <v>310</v>
      </c>
      <c r="W649" s="506">
        <f>+V649*$X$1</f>
        <v>310</v>
      </c>
    </row>
    <row r="650" spans="1:35" ht="12.6" customHeight="1" x14ac:dyDescent="0.2">
      <c r="A650" s="931"/>
      <c r="B650" s="935" t="s">
        <v>668</v>
      </c>
      <c r="C650" s="936"/>
      <c r="D650" s="936"/>
      <c r="E650" s="936"/>
      <c r="F650" s="936"/>
      <c r="G650" s="937"/>
      <c r="H650" s="347">
        <v>780</v>
      </c>
      <c r="I650" s="452">
        <f>+H650*$X$1</f>
        <v>780</v>
      </c>
      <c r="J650" s="93">
        <v>700</v>
      </c>
      <c r="K650" s="452">
        <f>+J650*$X$1</f>
        <v>700</v>
      </c>
      <c r="L650" s="497">
        <v>600</v>
      </c>
      <c r="M650" s="448">
        <f>+L650*$X$1</f>
        <v>600</v>
      </c>
      <c r="N650" s="497">
        <v>550</v>
      </c>
      <c r="O650" s="448">
        <f>+N650*$X$1</f>
        <v>550</v>
      </c>
      <c r="P650" s="497">
        <v>510</v>
      </c>
      <c r="Q650" s="448">
        <f>+P650*$X$1</f>
        <v>510</v>
      </c>
      <c r="R650" s="497">
        <v>490</v>
      </c>
      <c r="S650" s="448">
        <f>+R650*$X$1</f>
        <v>490</v>
      </c>
      <c r="T650" s="497">
        <v>480</v>
      </c>
      <c r="U650" s="448">
        <f>+T650*$X$1</f>
        <v>480</v>
      </c>
      <c r="V650" s="497">
        <v>460</v>
      </c>
      <c r="W650" s="450">
        <f>+V650*$X$1</f>
        <v>460</v>
      </c>
    </row>
    <row r="651" spans="1:35" ht="12.6" customHeight="1" thickBot="1" x14ac:dyDescent="0.25">
      <c r="A651" s="931"/>
      <c r="B651" s="940" t="s">
        <v>667</v>
      </c>
      <c r="C651" s="941"/>
      <c r="D651" s="941"/>
      <c r="E651" s="941"/>
      <c r="F651" s="941"/>
      <c r="G651" s="942"/>
      <c r="H651" s="507">
        <v>1060</v>
      </c>
      <c r="I651" s="509">
        <f>+H651*$X$1</f>
        <v>1060</v>
      </c>
      <c r="J651" s="510">
        <v>920</v>
      </c>
      <c r="K651" s="511">
        <f>+J651*$X$1</f>
        <v>920</v>
      </c>
      <c r="L651" s="512">
        <v>800</v>
      </c>
      <c r="M651" s="513">
        <f>+L651*$X$1</f>
        <v>800</v>
      </c>
      <c r="N651" s="512">
        <v>740</v>
      </c>
      <c r="O651" s="513">
        <f>+N651*$X$1</f>
        <v>740</v>
      </c>
      <c r="P651" s="512">
        <v>710</v>
      </c>
      <c r="Q651" s="513">
        <f>+P651*$X$1</f>
        <v>710</v>
      </c>
      <c r="R651" s="512">
        <v>690</v>
      </c>
      <c r="S651" s="513">
        <f>+R651*$X$1</f>
        <v>690</v>
      </c>
      <c r="T651" s="512">
        <v>670</v>
      </c>
      <c r="U651" s="513">
        <f>+T651*$X$1</f>
        <v>670</v>
      </c>
      <c r="V651" s="512">
        <v>650</v>
      </c>
      <c r="W651" s="514">
        <f>+V651*$X$1</f>
        <v>650</v>
      </c>
    </row>
    <row r="652" spans="1:35" ht="8.25" customHeight="1" x14ac:dyDescent="0.2">
      <c r="A652" s="219"/>
      <c r="B652" s="220"/>
      <c r="C652" s="220"/>
      <c r="D652" s="220"/>
      <c r="E652" s="220"/>
      <c r="F652" s="221"/>
      <c r="G652" s="221"/>
      <c r="H652" s="79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79"/>
      <c r="W652" s="214"/>
      <c r="X652" s="213"/>
      <c r="Y652" s="213"/>
      <c r="Z652" s="213"/>
      <c r="AA652" s="213"/>
      <c r="AB652" s="223"/>
    </row>
    <row r="653" spans="1:35" ht="13.5" customHeight="1" x14ac:dyDescent="0.2">
      <c r="B653" s="1054" t="s">
        <v>599</v>
      </c>
      <c r="C653" s="1055"/>
      <c r="D653" s="1055"/>
      <c r="E653" s="1055"/>
      <c r="F653" s="1055"/>
      <c r="G653" s="1055"/>
      <c r="H653" s="1055"/>
      <c r="I653" s="1055"/>
      <c r="J653" s="1055"/>
      <c r="K653" s="73" t="s">
        <v>592</v>
      </c>
      <c r="L653" s="74">
        <v>22</v>
      </c>
      <c r="M653" s="447">
        <f>+L653*$X$1</f>
        <v>22</v>
      </c>
      <c r="N653" s="72"/>
      <c r="O653" s="73" t="s">
        <v>593</v>
      </c>
      <c r="P653" s="74">
        <v>20</v>
      </c>
      <c r="Q653" s="447">
        <f>+P653*$X$1</f>
        <v>20</v>
      </c>
      <c r="R653" s="50"/>
      <c r="S653" s="50"/>
      <c r="T653" s="50"/>
      <c r="U653" s="50"/>
      <c r="V653" s="50"/>
      <c r="W653" s="50"/>
    </row>
    <row r="654" spans="1:35" ht="9.75" customHeight="1" x14ac:dyDescent="0.2">
      <c r="B654" s="53"/>
      <c r="C654" s="187"/>
      <c r="D654" s="187"/>
      <c r="E654" s="187"/>
      <c r="F654" s="187"/>
      <c r="G654" s="187"/>
      <c r="H654" s="187"/>
      <c r="I654" s="187"/>
      <c r="J654" s="187"/>
      <c r="K654" s="54"/>
      <c r="L654" s="55"/>
      <c r="M654" s="56"/>
      <c r="N654" s="50"/>
      <c r="O654" s="54"/>
      <c r="P654" s="55"/>
      <c r="Q654" s="56"/>
      <c r="R654" s="50"/>
      <c r="S654" s="50"/>
      <c r="T654" s="50"/>
      <c r="U654" s="50"/>
      <c r="V654" s="50"/>
      <c r="W654" s="50"/>
    </row>
    <row r="655" spans="1:35" x14ac:dyDescent="0.2">
      <c r="B655" s="3"/>
      <c r="C655" s="1052" t="s">
        <v>359</v>
      </c>
      <c r="D655" s="1053"/>
      <c r="E655" s="1053"/>
      <c r="F655" s="1053"/>
      <c r="G655" s="1053"/>
      <c r="H655" s="1053"/>
      <c r="I655" s="1053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23" t="s">
        <v>360</v>
      </c>
      <c r="D656" s="1024"/>
      <c r="E656" s="1024"/>
      <c r="F656" s="1024"/>
      <c r="G656" s="1025"/>
      <c r="H656" s="559"/>
      <c r="I656" s="553"/>
      <c r="J656" s="4"/>
      <c r="K656" s="4"/>
      <c r="L656" s="39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49" t="s">
        <v>361</v>
      </c>
      <c r="D657" s="1050"/>
      <c r="E657" s="1050"/>
      <c r="F657" s="1050"/>
      <c r="G657" s="1051"/>
      <c r="H657" s="45"/>
      <c r="I657" s="560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49" t="s">
        <v>362</v>
      </c>
      <c r="D658" s="1050"/>
      <c r="E658" s="1050"/>
      <c r="F658" s="1050"/>
      <c r="G658" s="1051"/>
      <c r="H658" s="47"/>
      <c r="I658" s="446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35" t="s">
        <v>664</v>
      </c>
      <c r="D659" s="1036"/>
      <c r="E659" s="1036"/>
      <c r="F659" s="1036"/>
      <c r="G659" s="1036"/>
      <c r="H659" s="1037"/>
      <c r="I659" s="1038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39"/>
      <c r="D660" s="1040"/>
      <c r="E660" s="1040"/>
      <c r="F660" s="1040"/>
      <c r="G660" s="1040"/>
      <c r="H660" s="1041"/>
      <c r="I660" s="1042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2"/>
      <c r="D661" s="52"/>
      <c r="E661" s="52"/>
      <c r="F661" s="52"/>
      <c r="G661" s="52"/>
      <c r="H661" s="46"/>
      <c r="I661" s="40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189" t="s">
        <v>647</v>
      </c>
      <c r="C662" s="1190"/>
      <c r="D662" s="1190"/>
      <c r="E662" s="1190"/>
      <c r="F662" s="1190"/>
      <c r="G662" s="1190"/>
      <c r="H662" s="1190"/>
      <c r="I662" s="1190"/>
      <c r="J662" s="1190"/>
      <c r="K662" s="1190"/>
      <c r="L662" s="1190"/>
      <c r="M662" s="1190"/>
      <c r="N662" s="1190"/>
      <c r="O662" s="1190"/>
      <c r="P662" s="1190"/>
      <c r="Q662" s="1190"/>
      <c r="R662" s="1190"/>
      <c r="S662" s="1190"/>
      <c r="T662" s="1190"/>
      <c r="U662" s="1190"/>
      <c r="V662" s="1190"/>
      <c r="W662" s="1191"/>
    </row>
    <row r="663" spans="2:34" ht="13.5" customHeight="1" x14ac:dyDescent="0.2">
      <c r="B663" s="1192"/>
      <c r="C663" s="1193"/>
      <c r="D663" s="1193"/>
      <c r="E663" s="1193"/>
      <c r="F663" s="1193"/>
      <c r="G663" s="1193"/>
      <c r="H663" s="1193"/>
      <c r="I663" s="1193"/>
      <c r="J663" s="1193"/>
      <c r="K663" s="1193"/>
      <c r="L663" s="1193"/>
      <c r="M663" s="1193"/>
      <c r="N663" s="1193"/>
      <c r="O663" s="1193"/>
      <c r="P663" s="1193"/>
      <c r="Q663" s="1193"/>
      <c r="R663" s="1193"/>
      <c r="S663" s="1193"/>
      <c r="T663" s="1193"/>
      <c r="U663" s="1193"/>
      <c r="V663" s="1193"/>
      <c r="W663" s="1194"/>
    </row>
    <row r="664" spans="2:34" ht="13.5" customHeight="1" thickBot="1" x14ac:dyDescent="0.25">
      <c r="B664" s="1195"/>
      <c r="C664" s="1196"/>
      <c r="D664" s="1196"/>
      <c r="E664" s="1196"/>
      <c r="F664" s="1196"/>
      <c r="G664" s="1196"/>
      <c r="H664" s="1196"/>
      <c r="I664" s="1196"/>
      <c r="J664" s="1196"/>
      <c r="K664" s="1196"/>
      <c r="L664" s="1196"/>
      <c r="M664" s="1196"/>
      <c r="N664" s="1196"/>
      <c r="O664" s="1196"/>
      <c r="P664" s="1196"/>
      <c r="Q664" s="1196"/>
      <c r="R664" s="1196"/>
      <c r="S664" s="1196"/>
      <c r="T664" s="1196"/>
      <c r="U664" s="1196"/>
      <c r="V664" s="1196"/>
      <c r="W664" s="1197"/>
    </row>
    <row r="665" spans="2:34" ht="12.6" customHeight="1" x14ac:dyDescent="0.2">
      <c r="B665" s="4"/>
      <c r="C665" s="44"/>
      <c r="D665" s="44"/>
      <c r="E665" s="44"/>
      <c r="F665" s="44"/>
      <c r="G665" s="44"/>
      <c r="H665" s="46"/>
      <c r="I665" s="46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198" t="s">
        <v>784</v>
      </c>
      <c r="D666" s="1199"/>
      <c r="E666" s="1199"/>
      <c r="F666" s="1199"/>
      <c r="G666" s="1199"/>
      <c r="H666" s="1199"/>
      <c r="I666" s="1200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AF666" s="741" t="s">
        <v>3</v>
      </c>
      <c r="AG666" s="742"/>
      <c r="AH666" s="742"/>
    </row>
    <row r="667" spans="2:34" ht="12.95" customHeight="1" x14ac:dyDescent="0.2">
      <c r="B667" s="3"/>
      <c r="C667" s="1026"/>
      <c r="D667" s="1027"/>
      <c r="E667" s="1027"/>
      <c r="F667" s="1027"/>
      <c r="G667" s="1027"/>
      <c r="H667" s="1027"/>
      <c r="I667" s="1028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29"/>
      <c r="D668" s="1030"/>
      <c r="E668" s="1030"/>
      <c r="F668" s="1030"/>
      <c r="G668" s="1030"/>
      <c r="H668" s="1030"/>
      <c r="I668" s="103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29"/>
      <c r="D669" s="1030"/>
      <c r="E669" s="1030"/>
      <c r="F669" s="1030"/>
      <c r="G669" s="1030"/>
      <c r="H669" s="1030"/>
      <c r="I669" s="103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29"/>
      <c r="D670" s="1030"/>
      <c r="E670" s="1030"/>
      <c r="F670" s="1030"/>
      <c r="G670" s="1030"/>
      <c r="H670" s="1030"/>
      <c r="I670" s="103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29"/>
      <c r="D671" s="1030"/>
      <c r="E671" s="1030"/>
      <c r="F671" s="1030"/>
      <c r="G671" s="1030"/>
      <c r="H671" s="1030"/>
      <c r="I671" s="103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29"/>
      <c r="D672" s="1030"/>
      <c r="E672" s="1030"/>
      <c r="F672" s="1030"/>
      <c r="G672" s="1030"/>
      <c r="H672" s="1030"/>
      <c r="I672" s="103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32"/>
      <c r="D673" s="1033"/>
      <c r="E673" s="1033"/>
      <c r="F673" s="1033"/>
      <c r="G673" s="1033"/>
      <c r="H673" s="1033"/>
      <c r="I673" s="1034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01" t="s">
        <v>479</v>
      </c>
      <c r="D674" s="1201"/>
      <c r="E674" s="1202"/>
      <c r="F674" s="1202"/>
      <c r="G674" s="1203"/>
      <c r="H674" s="47">
        <v>1100</v>
      </c>
      <c r="I674" s="451">
        <f>+H674*$X$1</f>
        <v>1100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01" t="s">
        <v>785</v>
      </c>
      <c r="D675" s="1201"/>
      <c r="E675" s="1202"/>
      <c r="F675" s="1202"/>
      <c r="G675" s="1203"/>
      <c r="H675" s="47">
        <v>1000</v>
      </c>
      <c r="I675" s="451">
        <f>+H675*$X$1</f>
        <v>1000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1"/>
      <c r="D676" s="49"/>
      <c r="E676" s="49"/>
      <c r="F676" s="49"/>
      <c r="G676" s="44"/>
      <c r="H676" s="46"/>
      <c r="I676" s="46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73" t="s">
        <v>665</v>
      </c>
      <c r="C677" s="974"/>
      <c r="D677" s="974"/>
      <c r="E677" s="974"/>
      <c r="F677" s="974"/>
      <c r="G677" s="974"/>
      <c r="H677" s="974"/>
      <c r="I677" s="974"/>
      <c r="J677" s="974"/>
      <c r="K677" s="974"/>
      <c r="L677" s="974"/>
      <c r="M677" s="974"/>
      <c r="N677" s="974"/>
      <c r="O677" s="974"/>
      <c r="P677" s="974"/>
      <c r="Q677" s="974"/>
      <c r="R677" s="974"/>
      <c r="S677" s="974"/>
      <c r="T677" s="974"/>
      <c r="U677" s="974"/>
      <c r="V677" s="974"/>
      <c r="W677" s="975"/>
    </row>
    <row r="678" spans="2:34" ht="12.6" customHeight="1" thickBot="1" x14ac:dyDescent="0.25">
      <c r="B678" s="28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</row>
    <row r="679" spans="2:34" ht="15.75" customHeight="1" x14ac:dyDescent="0.2">
      <c r="B679" s="970" t="s">
        <v>363</v>
      </c>
      <c r="C679" s="971"/>
      <c r="D679" s="971"/>
      <c r="E679" s="971"/>
      <c r="F679" s="971"/>
      <c r="G679" s="971"/>
      <c r="H679" s="971"/>
      <c r="I679" s="971"/>
      <c r="J679" s="971"/>
      <c r="K679" s="971"/>
      <c r="L679" s="971"/>
      <c r="M679" s="971"/>
      <c r="N679" s="971"/>
      <c r="O679" s="971"/>
      <c r="P679" s="971"/>
      <c r="Q679" s="971"/>
      <c r="R679" s="971"/>
      <c r="S679" s="971"/>
      <c r="T679" s="971"/>
      <c r="U679" s="971"/>
      <c r="V679" s="971"/>
      <c r="W679" s="972"/>
    </row>
    <row r="680" spans="2:34" ht="15.75" customHeight="1" x14ac:dyDescent="0.2">
      <c r="B680" s="992" t="s">
        <v>364</v>
      </c>
      <c r="C680" s="993"/>
      <c r="D680" s="993"/>
      <c r="E680" s="993"/>
      <c r="F680" s="993"/>
      <c r="G680" s="993"/>
      <c r="H680" s="993"/>
      <c r="I680" s="993"/>
      <c r="J680" s="993"/>
      <c r="K680" s="993"/>
      <c r="L680" s="993"/>
      <c r="M680" s="993"/>
      <c r="N680" s="993"/>
      <c r="O680" s="993"/>
      <c r="P680" s="993"/>
      <c r="Q680" s="993"/>
      <c r="R680" s="993"/>
      <c r="S680" s="993"/>
      <c r="T680" s="993"/>
      <c r="U680" s="993"/>
      <c r="V680" s="993"/>
      <c r="W680" s="994"/>
      <c r="AF680" s="741"/>
      <c r="AG680" s="742"/>
      <c r="AH680" s="742"/>
    </row>
    <row r="681" spans="2:34" ht="15.75" customHeight="1" thickBot="1" x14ac:dyDescent="0.25">
      <c r="B681" s="1020" t="s">
        <v>365</v>
      </c>
      <c r="C681" s="1021"/>
      <c r="D681" s="1021"/>
      <c r="E681" s="1021"/>
      <c r="F681" s="1021"/>
      <c r="G681" s="1021"/>
      <c r="H681" s="1021"/>
      <c r="I681" s="1021"/>
      <c r="J681" s="1021"/>
      <c r="K681" s="1021"/>
      <c r="L681" s="1021"/>
      <c r="M681" s="1021"/>
      <c r="N681" s="1021"/>
      <c r="O681" s="1021"/>
      <c r="P681" s="1021"/>
      <c r="Q681" s="1021"/>
      <c r="R681" s="1021"/>
      <c r="S681" s="1021"/>
      <c r="T681" s="1021"/>
      <c r="U681" s="1021"/>
      <c r="V681" s="1021"/>
      <c r="W681" s="1022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17" t="s">
        <v>366</v>
      </c>
      <c r="C683" s="1018"/>
      <c r="D683" s="1018"/>
      <c r="E683" s="1018"/>
      <c r="F683" s="1018"/>
      <c r="G683" s="1018"/>
      <c r="H683" s="1018"/>
      <c r="I683" s="1018"/>
      <c r="J683" s="1018"/>
      <c r="K683" s="1018"/>
      <c r="L683" s="1018"/>
      <c r="M683" s="1018"/>
      <c r="N683" s="1018"/>
      <c r="O683" s="1018"/>
      <c r="P683" s="1018"/>
      <c r="Q683" s="1018"/>
      <c r="R683" s="1018"/>
      <c r="S683" s="1018"/>
      <c r="T683" s="1018"/>
      <c r="U683" s="1018"/>
      <c r="V683" s="1018"/>
      <c r="W683" s="1019"/>
    </row>
    <row r="684" spans="2:34" x14ac:dyDescent="0.2">
      <c r="B684" s="1002" t="s">
        <v>367</v>
      </c>
      <c r="C684" s="1003"/>
      <c r="D684" s="1003"/>
      <c r="E684" s="1003"/>
      <c r="F684" s="1003"/>
      <c r="G684" s="1003"/>
      <c r="H684" s="1003"/>
      <c r="I684" s="1003"/>
      <c r="J684" s="1003"/>
      <c r="K684" s="1003"/>
      <c r="L684" s="1003"/>
      <c r="M684" s="1003"/>
      <c r="N684" s="1004"/>
      <c r="O684" s="1004"/>
      <c r="P684" s="1004"/>
      <c r="Q684" s="1004"/>
      <c r="R684" s="1004"/>
      <c r="S684" s="1004"/>
      <c r="T684" s="1004"/>
      <c r="U684" s="1004"/>
      <c r="V684" s="1004"/>
      <c r="W684" s="1005"/>
    </row>
    <row r="685" spans="2:34" ht="12.75" customHeight="1" x14ac:dyDescent="0.2">
      <c r="B685" s="1006"/>
      <c r="C685" s="1003"/>
      <c r="D685" s="1003"/>
      <c r="E685" s="1003"/>
      <c r="F685" s="1003"/>
      <c r="G685" s="1003"/>
      <c r="H685" s="1003"/>
      <c r="I685" s="1003"/>
      <c r="J685" s="1003"/>
      <c r="K685" s="1003"/>
      <c r="L685" s="1003"/>
      <c r="M685" s="1003"/>
      <c r="N685" s="1004"/>
      <c r="O685" s="1004"/>
      <c r="P685" s="1004"/>
      <c r="Q685" s="1004"/>
      <c r="R685" s="1004"/>
      <c r="S685" s="1004"/>
      <c r="T685" s="1004"/>
      <c r="U685" s="1004"/>
      <c r="V685" s="1004"/>
      <c r="W685" s="1005"/>
    </row>
    <row r="686" spans="2:34" x14ac:dyDescent="0.2">
      <c r="B686" s="1006"/>
      <c r="C686" s="1003"/>
      <c r="D686" s="1003"/>
      <c r="E686" s="1003"/>
      <c r="F686" s="1003"/>
      <c r="G686" s="1003"/>
      <c r="H686" s="1003"/>
      <c r="I686" s="1003"/>
      <c r="J686" s="1003"/>
      <c r="K686" s="1003"/>
      <c r="L686" s="1003"/>
      <c r="M686" s="1003"/>
      <c r="N686" s="1004"/>
      <c r="O686" s="1004"/>
      <c r="P686" s="1004"/>
      <c r="Q686" s="1004"/>
      <c r="R686" s="1004"/>
      <c r="S686" s="1004"/>
      <c r="T686" s="1004"/>
      <c r="U686" s="1004"/>
      <c r="V686" s="1004"/>
      <c r="W686" s="1005"/>
    </row>
    <row r="687" spans="2:34" ht="13.5" thickBot="1" x14ac:dyDescent="0.25">
      <c r="B687" s="1007"/>
      <c r="C687" s="1008"/>
      <c r="D687" s="1008"/>
      <c r="E687" s="1008"/>
      <c r="F687" s="1008"/>
      <c r="G687" s="1008"/>
      <c r="H687" s="1008"/>
      <c r="I687" s="1008"/>
      <c r="J687" s="1008"/>
      <c r="K687" s="1008"/>
      <c r="L687" s="1008"/>
      <c r="M687" s="1008"/>
      <c r="N687" s="1009"/>
      <c r="O687" s="1009"/>
      <c r="P687" s="1009"/>
      <c r="Q687" s="1009"/>
      <c r="R687" s="1009"/>
      <c r="S687" s="1009"/>
      <c r="T687" s="1009"/>
      <c r="U687" s="1009"/>
      <c r="V687" s="1009"/>
      <c r="W687" s="1010"/>
    </row>
    <row r="688" spans="2:34" ht="12.6" customHeight="1" thickBot="1" x14ac:dyDescent="0.25">
      <c r="B688" s="226"/>
      <c r="C688" s="226"/>
      <c r="D688" s="226"/>
      <c r="E688" s="226"/>
      <c r="F688" s="226"/>
      <c r="G688" s="226"/>
      <c r="H688" s="226"/>
      <c r="I688" s="226"/>
      <c r="J688" s="226"/>
      <c r="K688" s="226"/>
      <c r="L688" s="226"/>
      <c r="M688" s="227"/>
      <c r="N688" s="66"/>
      <c r="O688" s="66"/>
      <c r="P688" s="66"/>
      <c r="Q688" s="66"/>
      <c r="R688" s="66"/>
      <c r="S688" s="66"/>
      <c r="T688" s="66"/>
      <c r="U688" s="66"/>
      <c r="V688" s="66"/>
      <c r="W688" s="66"/>
    </row>
    <row r="689" spans="2:26" x14ac:dyDescent="0.2">
      <c r="B689" s="1011" t="s">
        <v>368</v>
      </c>
      <c r="C689" s="1012"/>
      <c r="D689" s="1012"/>
      <c r="E689" s="1012"/>
      <c r="F689" s="1012"/>
      <c r="G689" s="1012"/>
      <c r="H689" s="1012"/>
      <c r="I689" s="1012"/>
      <c r="J689" s="1012"/>
      <c r="K689" s="1012"/>
      <c r="L689" s="1012"/>
      <c r="M689" s="1012"/>
      <c r="N689" s="1012"/>
      <c r="O689" s="1012"/>
      <c r="P689" s="1012"/>
      <c r="Q689" s="1012"/>
      <c r="R689" s="1012"/>
      <c r="S689" s="1012"/>
      <c r="T689" s="1012"/>
      <c r="U689" s="1012"/>
      <c r="V689" s="1012"/>
      <c r="W689" s="1013"/>
    </row>
    <row r="690" spans="2:26" ht="13.5" thickBot="1" x14ac:dyDescent="0.25">
      <c r="B690" s="1014"/>
      <c r="C690" s="1015"/>
      <c r="D690" s="1015"/>
      <c r="E690" s="1015"/>
      <c r="F690" s="1015"/>
      <c r="G690" s="1015"/>
      <c r="H690" s="1015"/>
      <c r="I690" s="1015"/>
      <c r="J690" s="1015"/>
      <c r="K690" s="1015"/>
      <c r="L690" s="1015"/>
      <c r="M690" s="1015"/>
      <c r="N690" s="1015"/>
      <c r="O690" s="1015"/>
      <c r="P690" s="1015"/>
      <c r="Q690" s="1015"/>
      <c r="R690" s="1015"/>
      <c r="S690" s="1015"/>
      <c r="T690" s="1015"/>
      <c r="U690" s="1015"/>
      <c r="V690" s="1015"/>
      <c r="W690" s="1016"/>
    </row>
    <row r="691" spans="2:26" ht="13.5" thickBot="1" x14ac:dyDescent="0.25">
      <c r="B691" s="995" t="s">
        <v>369</v>
      </c>
      <c r="C691" s="996"/>
      <c r="D691" s="996"/>
      <c r="E691" s="996"/>
      <c r="F691" s="996"/>
      <c r="G691" s="996"/>
      <c r="H691" s="996"/>
      <c r="I691" s="996"/>
      <c r="J691" s="996"/>
      <c r="K691" s="996"/>
      <c r="L691" s="996"/>
      <c r="M691" s="996"/>
      <c r="N691" s="996"/>
      <c r="O691" s="996"/>
      <c r="P691" s="996"/>
      <c r="Q691" s="996"/>
      <c r="R691" s="996"/>
      <c r="S691" s="996"/>
      <c r="T691" s="996"/>
      <c r="U691" s="996"/>
      <c r="V691" s="996"/>
      <c r="W691" s="997"/>
    </row>
    <row r="692" spans="2:26" ht="12.6" customHeight="1" thickBot="1" x14ac:dyDescent="0.25">
      <c r="B692" s="262"/>
      <c r="C692" s="262"/>
      <c r="D692" s="262"/>
      <c r="E692" s="262"/>
      <c r="F692" s="262"/>
      <c r="G692" s="262"/>
      <c r="H692" s="262"/>
      <c r="I692" s="262"/>
      <c r="J692" s="262"/>
      <c r="K692" s="262"/>
      <c r="L692" s="262"/>
      <c r="M692" s="262"/>
      <c r="N692" s="262"/>
      <c r="O692" s="262"/>
      <c r="P692" s="262"/>
      <c r="Q692" s="262"/>
      <c r="R692" s="262"/>
      <c r="S692" s="262"/>
      <c r="T692" s="262"/>
      <c r="U692" s="262"/>
      <c r="V692" s="262"/>
      <c r="W692" s="262"/>
      <c r="X692" s="69"/>
    </row>
    <row r="693" spans="2:26" ht="12.75" customHeight="1" thickBot="1" x14ac:dyDescent="0.25">
      <c r="B693" s="967" t="s">
        <v>370</v>
      </c>
      <c r="C693" s="968"/>
      <c r="D693" s="968"/>
      <c r="E693" s="968"/>
      <c r="F693" s="968"/>
      <c r="G693" s="968"/>
      <c r="H693" s="968"/>
      <c r="I693" s="968"/>
      <c r="J693" s="968"/>
      <c r="K693" s="968"/>
      <c r="L693" s="968"/>
      <c r="M693" s="968"/>
      <c r="N693" s="968"/>
      <c r="O693" s="968"/>
      <c r="P693" s="968"/>
      <c r="Q693" s="968"/>
      <c r="R693" s="968"/>
      <c r="S693" s="968"/>
      <c r="T693" s="968"/>
      <c r="U693" s="968"/>
      <c r="V693" s="968"/>
      <c r="W693" s="969"/>
    </row>
    <row r="694" spans="2:26" ht="15" customHeight="1" thickBot="1" x14ac:dyDescent="0.25">
      <c r="B694" s="967" t="s">
        <v>440</v>
      </c>
      <c r="C694" s="968"/>
      <c r="D694" s="968"/>
      <c r="E694" s="968"/>
      <c r="F694" s="968"/>
      <c r="G694" s="968"/>
      <c r="H694" s="968"/>
      <c r="I694" s="968"/>
      <c r="J694" s="968"/>
      <c r="K694" s="968"/>
      <c r="L694" s="968"/>
      <c r="M694" s="968"/>
      <c r="N694" s="968"/>
      <c r="O694" s="968"/>
      <c r="P694" s="968"/>
      <c r="Q694" s="968"/>
      <c r="R694" s="968"/>
      <c r="S694" s="968"/>
      <c r="T694" s="968"/>
      <c r="U694" s="968"/>
      <c r="V694" s="968"/>
      <c r="W694" s="969"/>
    </row>
    <row r="695" spans="2:26" ht="90" customHeight="1" thickBot="1" x14ac:dyDescent="0.25">
      <c r="B695" s="998"/>
      <c r="C695" s="999"/>
      <c r="D695" s="999"/>
      <c r="E695" s="999"/>
      <c r="F695" s="999"/>
      <c r="G695" s="999"/>
      <c r="H695" s="999"/>
      <c r="I695" s="999"/>
      <c r="J695" s="999"/>
      <c r="K695" s="1000"/>
      <c r="L695" s="1000"/>
      <c r="M695" s="1000"/>
      <c r="N695" s="1000"/>
      <c r="O695" s="1000"/>
      <c r="P695" s="1000"/>
      <c r="Q695" s="1000"/>
      <c r="R695" s="1000"/>
      <c r="S695" s="1000"/>
      <c r="T695" s="1000"/>
      <c r="U695" s="1000"/>
      <c r="V695" s="1000"/>
      <c r="W695" s="1001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6"/>
    </row>
    <row r="697" spans="2:26" ht="8.25" customHeight="1" x14ac:dyDescent="0.2">
      <c r="B697" s="976" t="s">
        <v>371</v>
      </c>
      <c r="C697" s="977"/>
      <c r="D697" s="977"/>
      <c r="E697" s="977"/>
      <c r="F697" s="977"/>
      <c r="G697" s="977"/>
      <c r="H697" s="977"/>
      <c r="I697" s="977"/>
      <c r="J697" s="977"/>
      <c r="K697" s="978"/>
      <c r="L697" s="978"/>
      <c r="M697" s="978"/>
      <c r="N697" s="978"/>
      <c r="O697" s="978"/>
      <c r="P697" s="978"/>
      <c r="Q697" s="978"/>
      <c r="R697" s="978"/>
      <c r="S697" s="978"/>
      <c r="T697" s="978"/>
      <c r="U697" s="978"/>
      <c r="V697" s="978"/>
      <c r="W697" s="979"/>
    </row>
    <row r="698" spans="2:26" ht="12.75" customHeight="1" x14ac:dyDescent="0.2">
      <c r="B698" s="980"/>
      <c r="C698" s="981"/>
      <c r="D698" s="981"/>
      <c r="E698" s="981"/>
      <c r="F698" s="981"/>
      <c r="G698" s="981"/>
      <c r="H698" s="981"/>
      <c r="I698" s="981"/>
      <c r="J698" s="981"/>
      <c r="K698" s="982"/>
      <c r="L698" s="982"/>
      <c r="M698" s="982"/>
      <c r="N698" s="982"/>
      <c r="O698" s="982"/>
      <c r="P698" s="982"/>
      <c r="Q698" s="982"/>
      <c r="R698" s="982"/>
      <c r="S698" s="982"/>
      <c r="T698" s="982"/>
      <c r="U698" s="982"/>
      <c r="V698" s="982"/>
      <c r="W698" s="983"/>
    </row>
    <row r="699" spans="2:26" x14ac:dyDescent="0.2">
      <c r="B699" s="984"/>
      <c r="C699" s="985"/>
      <c r="D699" s="985"/>
      <c r="E699" s="985"/>
      <c r="F699" s="985"/>
      <c r="G699" s="985"/>
      <c r="H699" s="985"/>
      <c r="I699" s="985"/>
      <c r="J699" s="985"/>
      <c r="K699" s="982"/>
      <c r="L699" s="982"/>
      <c r="M699" s="982"/>
      <c r="N699" s="982"/>
      <c r="O699" s="982"/>
      <c r="P699" s="982"/>
      <c r="Q699" s="982"/>
      <c r="R699" s="982"/>
      <c r="S699" s="982"/>
      <c r="T699" s="982"/>
      <c r="U699" s="982"/>
      <c r="V699" s="982"/>
      <c r="W699" s="983"/>
    </row>
    <row r="700" spans="2:26" x14ac:dyDescent="0.2">
      <c r="B700" s="984"/>
      <c r="C700" s="985"/>
      <c r="D700" s="985"/>
      <c r="E700" s="985"/>
      <c r="F700" s="985"/>
      <c r="G700" s="985"/>
      <c r="H700" s="985"/>
      <c r="I700" s="985"/>
      <c r="J700" s="985"/>
      <c r="K700" s="982"/>
      <c r="L700" s="982"/>
      <c r="M700" s="982"/>
      <c r="N700" s="982"/>
      <c r="O700" s="982"/>
      <c r="P700" s="982"/>
      <c r="Q700" s="982"/>
      <c r="R700" s="982"/>
      <c r="S700" s="982"/>
      <c r="T700" s="982"/>
      <c r="U700" s="982"/>
      <c r="V700" s="982"/>
      <c r="W700" s="983"/>
    </row>
    <row r="701" spans="2:26" x14ac:dyDescent="0.2">
      <c r="B701" s="984"/>
      <c r="C701" s="985"/>
      <c r="D701" s="985"/>
      <c r="E701" s="985"/>
      <c r="F701" s="985"/>
      <c r="G701" s="985"/>
      <c r="H701" s="985"/>
      <c r="I701" s="985"/>
      <c r="J701" s="985"/>
      <c r="K701" s="982"/>
      <c r="L701" s="982"/>
      <c r="M701" s="982"/>
      <c r="N701" s="982"/>
      <c r="O701" s="982"/>
      <c r="P701" s="982"/>
      <c r="Q701" s="982"/>
      <c r="R701" s="982"/>
      <c r="S701" s="982"/>
      <c r="T701" s="982"/>
      <c r="U701" s="982"/>
      <c r="V701" s="982"/>
      <c r="W701" s="983"/>
    </row>
    <row r="702" spans="2:26" x14ac:dyDescent="0.2">
      <c r="B702" s="984"/>
      <c r="C702" s="985"/>
      <c r="D702" s="985"/>
      <c r="E702" s="985"/>
      <c r="F702" s="985"/>
      <c r="G702" s="985"/>
      <c r="H702" s="985"/>
      <c r="I702" s="985"/>
      <c r="J702" s="985"/>
      <c r="K702" s="982"/>
      <c r="L702" s="982"/>
      <c r="M702" s="982"/>
      <c r="N702" s="982"/>
      <c r="O702" s="982"/>
      <c r="P702" s="982"/>
      <c r="Q702" s="982"/>
      <c r="R702" s="982"/>
      <c r="S702" s="982"/>
      <c r="T702" s="982"/>
      <c r="U702" s="982"/>
      <c r="V702" s="982"/>
      <c r="W702" s="983"/>
    </row>
    <row r="703" spans="2:26" x14ac:dyDescent="0.2">
      <c r="B703" s="986"/>
      <c r="C703" s="987"/>
      <c r="D703" s="987"/>
      <c r="E703" s="987"/>
      <c r="F703" s="987"/>
      <c r="G703" s="987"/>
      <c r="H703" s="987"/>
      <c r="I703" s="987"/>
      <c r="J703" s="987"/>
      <c r="K703" s="987"/>
      <c r="L703" s="987"/>
      <c r="M703" s="987"/>
      <c r="N703" s="987"/>
      <c r="O703" s="987"/>
      <c r="P703" s="987"/>
      <c r="Q703" s="987"/>
      <c r="R703" s="987"/>
      <c r="S703" s="987"/>
      <c r="T703" s="987"/>
      <c r="U703" s="987"/>
      <c r="V703" s="987"/>
      <c r="W703" s="988"/>
    </row>
    <row r="704" spans="2:26" ht="13.5" thickBot="1" x14ac:dyDescent="0.25">
      <c r="B704" s="989"/>
      <c r="C704" s="990"/>
      <c r="D704" s="990"/>
      <c r="E704" s="990"/>
      <c r="F704" s="990"/>
      <c r="G704" s="990"/>
      <c r="H704" s="990"/>
      <c r="I704" s="990"/>
      <c r="J704" s="990"/>
      <c r="K704" s="990"/>
      <c r="L704" s="990"/>
      <c r="M704" s="990"/>
      <c r="N704" s="990"/>
      <c r="O704" s="990"/>
      <c r="P704" s="990"/>
      <c r="Q704" s="990"/>
      <c r="R704" s="990"/>
      <c r="S704" s="990"/>
      <c r="T704" s="990"/>
      <c r="U704" s="990"/>
      <c r="V704" s="990"/>
      <c r="W704" s="991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64" t="s">
        <v>372</v>
      </c>
      <c r="C706" s="965"/>
      <c r="D706" s="965"/>
      <c r="E706" s="965"/>
      <c r="F706" s="965"/>
      <c r="G706" s="965"/>
      <c r="H706" s="965"/>
      <c r="I706" s="965"/>
      <c r="J706" s="965"/>
      <c r="K706" s="965"/>
      <c r="L706" s="965"/>
      <c r="M706" s="965"/>
      <c r="N706" s="965"/>
      <c r="O706" s="965"/>
      <c r="P706" s="965"/>
      <c r="Q706" s="965"/>
      <c r="R706" s="965"/>
      <c r="S706" s="965"/>
      <c r="T706" s="965"/>
      <c r="U706" s="965"/>
      <c r="V706" s="965"/>
      <c r="W706" s="966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30">
    <mergeCell ref="B290:E290"/>
    <mergeCell ref="X290:AA290"/>
    <mergeCell ref="B289:E289"/>
    <mergeCell ref="X289:AA289"/>
    <mergeCell ref="B122:E122"/>
    <mergeCell ref="X122:AA122"/>
    <mergeCell ref="B445:E445"/>
    <mergeCell ref="X445:AA445"/>
    <mergeCell ref="B630:E630"/>
    <mergeCell ref="B592:E592"/>
    <mergeCell ref="B482:E482"/>
    <mergeCell ref="B483:E483"/>
    <mergeCell ref="B589:W589"/>
    <mergeCell ref="B611:E611"/>
    <mergeCell ref="B282:E282"/>
    <mergeCell ref="B403:E403"/>
    <mergeCell ref="B404:E404"/>
    <mergeCell ref="B333:E333"/>
    <mergeCell ref="B484:E484"/>
    <mergeCell ref="B388:E388"/>
    <mergeCell ref="X388:AA388"/>
    <mergeCell ref="B258:E258"/>
    <mergeCell ref="X426:AA426"/>
    <mergeCell ref="B428:E428"/>
    <mergeCell ref="X428:AA428"/>
    <mergeCell ref="B429:E429"/>
    <mergeCell ref="X429:AA429"/>
    <mergeCell ref="B357:E357"/>
    <mergeCell ref="B365:E365"/>
    <mergeCell ref="B330:E330"/>
    <mergeCell ref="B368:E368"/>
    <mergeCell ref="B352:E352"/>
    <mergeCell ref="B339:E339"/>
    <mergeCell ref="B370:E370"/>
    <mergeCell ref="B382:E382"/>
    <mergeCell ref="B351:E351"/>
    <mergeCell ref="B347:E347"/>
    <mergeCell ref="B354:E354"/>
    <mergeCell ref="B324:E324"/>
    <mergeCell ref="B336:E336"/>
    <mergeCell ref="X392:AA392"/>
    <mergeCell ref="B394:E394"/>
    <mergeCell ref="B293:E293"/>
    <mergeCell ref="B342:E342"/>
    <mergeCell ref="B392:E392"/>
    <mergeCell ref="B284:E284"/>
    <mergeCell ref="B345:E345"/>
    <mergeCell ref="B410:E410"/>
    <mergeCell ref="B325:E325"/>
    <mergeCell ref="B310:E310"/>
    <mergeCell ref="B313:E313"/>
    <mergeCell ref="B329:E329"/>
    <mergeCell ref="B315:E315"/>
    <mergeCell ref="B279:E279"/>
    <mergeCell ref="B300:E300"/>
    <mergeCell ref="B332:E332"/>
    <mergeCell ref="B340:E340"/>
    <mergeCell ref="B326:E326"/>
    <mergeCell ref="B304:E304"/>
    <mergeCell ref="B296:E296"/>
    <mergeCell ref="B338:E338"/>
    <mergeCell ref="B335:E335"/>
    <mergeCell ref="B331:E331"/>
    <mergeCell ref="B308:E308"/>
    <mergeCell ref="C319:E320"/>
    <mergeCell ref="B303:E303"/>
    <mergeCell ref="B298:E298"/>
    <mergeCell ref="B328:E328"/>
    <mergeCell ref="B314:E314"/>
    <mergeCell ref="B327:E327"/>
    <mergeCell ref="B334:E334"/>
    <mergeCell ref="B360:E360"/>
    <mergeCell ref="B362:E362"/>
    <mergeCell ref="B371:E371"/>
    <mergeCell ref="B390:E390"/>
    <mergeCell ref="B415:E415"/>
    <mergeCell ref="B358:E358"/>
    <mergeCell ref="B416:E416"/>
    <mergeCell ref="B361:E361"/>
    <mergeCell ref="B409:E409"/>
    <mergeCell ref="B376:E376"/>
    <mergeCell ref="B367:E367"/>
    <mergeCell ref="B385:E385"/>
    <mergeCell ref="B346:E346"/>
    <mergeCell ref="B407:E407"/>
    <mergeCell ref="B406:E406"/>
    <mergeCell ref="B414:E414"/>
    <mergeCell ref="B391:E391"/>
    <mergeCell ref="B393:E393"/>
    <mergeCell ref="B356:E356"/>
    <mergeCell ref="B349:E349"/>
    <mergeCell ref="B387:E387"/>
    <mergeCell ref="B399:B400"/>
    <mergeCell ref="B402:E402"/>
    <mergeCell ref="B350:E350"/>
    <mergeCell ref="B369:E369"/>
    <mergeCell ref="B343:E343"/>
    <mergeCell ref="B344:E344"/>
    <mergeCell ref="B323:E323"/>
    <mergeCell ref="B348:E348"/>
    <mergeCell ref="B337:E337"/>
    <mergeCell ref="X480:AA481"/>
    <mergeCell ref="X360:AA360"/>
    <mergeCell ref="B500:E500"/>
    <mergeCell ref="B498:E498"/>
    <mergeCell ref="B451:E451"/>
    <mergeCell ref="B378:E378"/>
    <mergeCell ref="X391:AA391"/>
    <mergeCell ref="B377:E377"/>
    <mergeCell ref="X387:AA387"/>
    <mergeCell ref="B383:E383"/>
    <mergeCell ref="X386:AA386"/>
    <mergeCell ref="B386:E386"/>
    <mergeCell ref="B379:E379"/>
    <mergeCell ref="X389:AA389"/>
    <mergeCell ref="B381:E381"/>
    <mergeCell ref="G399:G400"/>
    <mergeCell ref="B455:E455"/>
    <mergeCell ref="B411:E411"/>
    <mergeCell ref="B363:E363"/>
    <mergeCell ref="X409:AA409"/>
    <mergeCell ref="B450:E450"/>
    <mergeCell ref="X417:AA417"/>
    <mergeCell ref="X399:AA400"/>
    <mergeCell ref="B366:E366"/>
    <mergeCell ref="B372:E372"/>
    <mergeCell ref="B373:E373"/>
    <mergeCell ref="B432:E432"/>
    <mergeCell ref="B442:E442"/>
    <mergeCell ref="B487:E487"/>
    <mergeCell ref="B469:E469"/>
    <mergeCell ref="X459:AA459"/>
    <mergeCell ref="B420:E420"/>
    <mergeCell ref="B495:E495"/>
    <mergeCell ref="B464:E464"/>
    <mergeCell ref="B501:E501"/>
    <mergeCell ref="B502:E502"/>
    <mergeCell ref="B456:E456"/>
    <mergeCell ref="X469:AA469"/>
    <mergeCell ref="X467:AA467"/>
    <mergeCell ref="X408:AA408"/>
    <mergeCell ref="X413:AA413"/>
    <mergeCell ref="B413:E413"/>
    <mergeCell ref="I432:M434"/>
    <mergeCell ref="B448:W448"/>
    <mergeCell ref="B435:E435"/>
    <mergeCell ref="B437:E437"/>
    <mergeCell ref="X436:AA436"/>
    <mergeCell ref="X414:AA414"/>
    <mergeCell ref="B418:E418"/>
    <mergeCell ref="B479:W479"/>
    <mergeCell ref="B441:E441"/>
    <mergeCell ref="B426:E426"/>
    <mergeCell ref="X435:AA435"/>
    <mergeCell ref="X448:AA448"/>
    <mergeCell ref="X447:AA447"/>
    <mergeCell ref="X425:AA425"/>
    <mergeCell ref="X444:AA444"/>
    <mergeCell ref="X416:AA416"/>
    <mergeCell ref="X443:AA443"/>
    <mergeCell ref="X419:AA419"/>
    <mergeCell ref="X415:AA415"/>
    <mergeCell ref="X418:AA418"/>
    <mergeCell ref="B480:B481"/>
    <mergeCell ref="C480:E481"/>
    <mergeCell ref="AF560:AH560"/>
    <mergeCell ref="B508:E508"/>
    <mergeCell ref="AF479:AH479"/>
    <mergeCell ref="B453:E453"/>
    <mergeCell ref="B457:E457"/>
    <mergeCell ref="X422:AA422"/>
    <mergeCell ref="X458:AA458"/>
    <mergeCell ref="X460:AA460"/>
    <mergeCell ref="B490:E490"/>
    <mergeCell ref="B504:E504"/>
    <mergeCell ref="B505:E505"/>
    <mergeCell ref="B488:E488"/>
    <mergeCell ref="B452:E452"/>
    <mergeCell ref="B468:E468"/>
    <mergeCell ref="B454:E454"/>
    <mergeCell ref="B449:E449"/>
    <mergeCell ref="X468:AA468"/>
    <mergeCell ref="B503:E503"/>
    <mergeCell ref="B496:E496"/>
    <mergeCell ref="F480:F481"/>
    <mergeCell ref="B461:E461"/>
    <mergeCell ref="B463:E463"/>
    <mergeCell ref="B462:E462"/>
    <mergeCell ref="H480:W480"/>
    <mergeCell ref="B506:E506"/>
    <mergeCell ref="AB480:AB481"/>
    <mergeCell ref="AF480:AH480"/>
    <mergeCell ref="B422:E422"/>
    <mergeCell ref="B540:E540"/>
    <mergeCell ref="B510:E510"/>
    <mergeCell ref="B511:E511"/>
    <mergeCell ref="AF561:AH561"/>
    <mergeCell ref="B560:W560"/>
    <mergeCell ref="B516:W516"/>
    <mergeCell ref="AF516:AH516"/>
    <mergeCell ref="B517:B518"/>
    <mergeCell ref="AB517:AB518"/>
    <mergeCell ref="AF517:AH517"/>
    <mergeCell ref="B542:E542"/>
    <mergeCell ref="B519:E519"/>
    <mergeCell ref="B547:E547"/>
    <mergeCell ref="B545:E545"/>
    <mergeCell ref="B548:E548"/>
    <mergeCell ref="B514:E514"/>
    <mergeCell ref="B558:E558"/>
    <mergeCell ref="B513:E513"/>
    <mergeCell ref="B532:E532"/>
    <mergeCell ref="B533:E533"/>
    <mergeCell ref="B531:E531"/>
    <mergeCell ref="B527:E527"/>
    <mergeCell ref="B535:E535"/>
    <mergeCell ref="B536:E536"/>
    <mergeCell ref="F517:F518"/>
    <mergeCell ref="G517:G518"/>
    <mergeCell ref="H517:W517"/>
    <mergeCell ref="B524:E524"/>
    <mergeCell ref="B522:E522"/>
    <mergeCell ref="B521:E521"/>
    <mergeCell ref="B528:E528"/>
    <mergeCell ref="C517:E518"/>
    <mergeCell ref="X517:AA518"/>
    <mergeCell ref="B555:E555"/>
    <mergeCell ref="B556:E556"/>
    <mergeCell ref="AB561:AB562"/>
    <mergeCell ref="B587:E587"/>
    <mergeCell ref="B568:E568"/>
    <mergeCell ref="B641:G641"/>
    <mergeCell ref="R646:R647"/>
    <mergeCell ref="B563:E563"/>
    <mergeCell ref="B634:E634"/>
    <mergeCell ref="X561:AA562"/>
    <mergeCell ref="B561:B562"/>
    <mergeCell ref="F561:F562"/>
    <mergeCell ref="G561:G562"/>
    <mergeCell ref="B625:E625"/>
    <mergeCell ref="B566:E566"/>
    <mergeCell ref="B590:B591"/>
    <mergeCell ref="B580:E580"/>
    <mergeCell ref="B605:E605"/>
    <mergeCell ref="B600:E600"/>
    <mergeCell ref="B623:E623"/>
    <mergeCell ref="B595:E595"/>
    <mergeCell ref="B608:E608"/>
    <mergeCell ref="J646:J647"/>
    <mergeCell ref="B594:E594"/>
    <mergeCell ref="W646:W647"/>
    <mergeCell ref="K646:K647"/>
    <mergeCell ref="B631:E631"/>
    <mergeCell ref="I646:I647"/>
    <mergeCell ref="B643:G643"/>
    <mergeCell ref="B644:G644"/>
    <mergeCell ref="H561:W561"/>
    <mergeCell ref="B622:E622"/>
    <mergeCell ref="B626:E626"/>
    <mergeCell ref="X616:AA616"/>
    <mergeCell ref="AF666:AH666"/>
    <mergeCell ref="B639:W639"/>
    <mergeCell ref="B646:G647"/>
    <mergeCell ref="B662:W664"/>
    <mergeCell ref="T646:T647"/>
    <mergeCell ref="B572:E572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M646:M647"/>
    <mergeCell ref="B635:E635"/>
    <mergeCell ref="B633:E633"/>
    <mergeCell ref="B645:W645"/>
    <mergeCell ref="B617:E617"/>
    <mergeCell ref="B618:E618"/>
    <mergeCell ref="B596:E596"/>
    <mergeCell ref="AF595:AJ595"/>
    <mergeCell ref="AF590:AH590"/>
    <mergeCell ref="X590:AA591"/>
    <mergeCell ref="AB590:AB591"/>
    <mergeCell ref="B609:E609"/>
    <mergeCell ref="B598:E598"/>
    <mergeCell ref="AF639:AH639"/>
    <mergeCell ref="B576:E576"/>
    <mergeCell ref="B597:E597"/>
    <mergeCell ref="B599:E599"/>
    <mergeCell ref="X456:AA456"/>
    <mergeCell ref="X358:AA358"/>
    <mergeCell ref="B353:E353"/>
    <mergeCell ref="B374:E374"/>
    <mergeCell ref="B364:E364"/>
    <mergeCell ref="X385:AA385"/>
    <mergeCell ref="B443:E443"/>
    <mergeCell ref="B440:E440"/>
    <mergeCell ref="B460:E460"/>
    <mergeCell ref="B439:E439"/>
    <mergeCell ref="B417:E417"/>
    <mergeCell ref="B389:E389"/>
    <mergeCell ref="X390:AA390"/>
    <mergeCell ref="B433:E433"/>
    <mergeCell ref="B408:E408"/>
    <mergeCell ref="B405:E405"/>
    <mergeCell ref="B355:E355"/>
    <mergeCell ref="X361:AA361"/>
    <mergeCell ref="B434:E434"/>
    <mergeCell ref="B401:E401"/>
    <mergeCell ref="B395:E395"/>
    <mergeCell ref="B421:E421"/>
    <mergeCell ref="B430:E430"/>
    <mergeCell ref="X430:AA430"/>
    <mergeCell ref="B431:E431"/>
    <mergeCell ref="X431:AA431"/>
    <mergeCell ref="X424:AA424"/>
    <mergeCell ref="X423:AA423"/>
    <mergeCell ref="B427:E427"/>
    <mergeCell ref="X427:AA427"/>
    <mergeCell ref="B424:E424"/>
    <mergeCell ref="Q341:W341"/>
    <mergeCell ref="B447:E447"/>
    <mergeCell ref="X446:AA446"/>
    <mergeCell ref="B419:E419"/>
    <mergeCell ref="X455:AA455"/>
    <mergeCell ref="B444:E444"/>
    <mergeCell ref="B446:E446"/>
    <mergeCell ref="B375:E375"/>
    <mergeCell ref="B140:E140"/>
    <mergeCell ref="B220:E220"/>
    <mergeCell ref="Q203:W203"/>
    <mergeCell ref="X234:AA234"/>
    <mergeCell ref="X140:AA140"/>
    <mergeCell ref="B179:E179"/>
    <mergeCell ref="B159:B160"/>
    <mergeCell ref="B195:E195"/>
    <mergeCell ref="X183:AA183"/>
    <mergeCell ref="H178:K183"/>
    <mergeCell ref="B161:E161"/>
    <mergeCell ref="B196:E196"/>
    <mergeCell ref="B232:E232"/>
    <mergeCell ref="B218:E218"/>
    <mergeCell ref="X231:AA231"/>
    <mergeCell ref="X225:AA225"/>
    <mergeCell ref="B277:E277"/>
    <mergeCell ref="B291:E291"/>
    <mergeCell ref="B425:E425"/>
    <mergeCell ref="X364:AA364"/>
    <mergeCell ref="G319:G320"/>
    <mergeCell ref="F319:F320"/>
    <mergeCell ref="I437:M442"/>
    <mergeCell ref="B380:E380"/>
    <mergeCell ref="X272:AA272"/>
    <mergeCell ref="X251:AA251"/>
    <mergeCell ref="B183:E183"/>
    <mergeCell ref="X181:AA181"/>
    <mergeCell ref="X340:AA340"/>
    <mergeCell ref="X252:AA252"/>
    <mergeCell ref="B306:E306"/>
    <mergeCell ref="B305:E305"/>
    <mergeCell ref="X239:AA240"/>
    <mergeCell ref="B312:E312"/>
    <mergeCell ref="X288:AA288"/>
    <mergeCell ref="X615:AA615"/>
    <mergeCell ref="F239:F240"/>
    <mergeCell ref="X291:AA291"/>
    <mergeCell ref="X305:AA305"/>
    <mergeCell ref="X267:AA267"/>
    <mergeCell ref="X304:AA304"/>
    <mergeCell ref="B301:E301"/>
    <mergeCell ref="X273:AA273"/>
    <mergeCell ref="B280:E280"/>
    <mergeCell ref="B319:B320"/>
    <mergeCell ref="X263:AA263"/>
    <mergeCell ref="X334:AA334"/>
    <mergeCell ref="B321:E321"/>
    <mergeCell ref="B322:E322"/>
    <mergeCell ref="B423:E423"/>
    <mergeCell ref="X235:AA235"/>
    <mergeCell ref="X284:AA284"/>
    <mergeCell ref="X244:AA244"/>
    <mergeCell ref="B248:E248"/>
    <mergeCell ref="B276:E276"/>
    <mergeCell ref="B252:E252"/>
    <mergeCell ref="B241:E241"/>
    <mergeCell ref="B249:E249"/>
    <mergeCell ref="B167:E167"/>
    <mergeCell ref="F159:F160"/>
    <mergeCell ref="X164:AA164"/>
    <mergeCell ref="B170:E170"/>
    <mergeCell ref="X223:AA223"/>
    <mergeCell ref="B246:E246"/>
    <mergeCell ref="F238:J238"/>
    <mergeCell ref="B208:E208"/>
    <mergeCell ref="B186:E186"/>
    <mergeCell ref="B225:E225"/>
    <mergeCell ref="B188:E188"/>
    <mergeCell ref="X243:AA243"/>
    <mergeCell ref="X222:AA222"/>
    <mergeCell ref="G188:S193"/>
    <mergeCell ref="X179:AA179"/>
    <mergeCell ref="G239:G240"/>
    <mergeCell ref="B226:E226"/>
    <mergeCell ref="X226:AA226"/>
    <mergeCell ref="B250:E250"/>
    <mergeCell ref="B274:E274"/>
    <mergeCell ref="B269:E269"/>
    <mergeCell ref="X265:AA265"/>
    <mergeCell ref="B198:E198"/>
    <mergeCell ref="X233:AA233"/>
    <mergeCell ref="B233:E233"/>
    <mergeCell ref="X246:AA246"/>
    <mergeCell ref="X232:AA232"/>
    <mergeCell ref="B231:E231"/>
    <mergeCell ref="B142:E142"/>
    <mergeCell ref="C159:E160"/>
    <mergeCell ref="B174:E174"/>
    <mergeCell ref="B182:E182"/>
    <mergeCell ref="B177:E177"/>
    <mergeCell ref="X161:AA161"/>
    <mergeCell ref="X163:AA163"/>
    <mergeCell ref="B215:E215"/>
    <mergeCell ref="X153:AA153"/>
    <mergeCell ref="X170:AA170"/>
    <mergeCell ref="X136:AA136"/>
    <mergeCell ref="B185:E185"/>
    <mergeCell ref="B187:E187"/>
    <mergeCell ref="B137:E137"/>
    <mergeCell ref="B230:E230"/>
    <mergeCell ref="B216:E216"/>
    <mergeCell ref="B212:E212"/>
    <mergeCell ref="B141:E141"/>
    <mergeCell ref="B147:E147"/>
    <mergeCell ref="B180:E180"/>
    <mergeCell ref="B192:E192"/>
    <mergeCell ref="B173:E173"/>
    <mergeCell ref="X162:AA162"/>
    <mergeCell ref="B193:E193"/>
    <mergeCell ref="B178:E178"/>
    <mergeCell ref="X178:AA178"/>
    <mergeCell ref="I173:M176"/>
    <mergeCell ref="Q213:W213"/>
    <mergeCell ref="B176:E176"/>
    <mergeCell ref="AK12:AM12"/>
    <mergeCell ref="B24:E24"/>
    <mergeCell ref="AF30:AJ30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29:E29"/>
    <mergeCell ref="B15:E15"/>
    <mergeCell ref="B39:E39"/>
    <mergeCell ref="B42:E42"/>
    <mergeCell ref="X118:AA118"/>
    <mergeCell ref="H49:K49"/>
    <mergeCell ref="B48:E48"/>
    <mergeCell ref="B32:E32"/>
    <mergeCell ref="X48:AA48"/>
    <mergeCell ref="X32:AA32"/>
    <mergeCell ref="H34:K34"/>
    <mergeCell ref="B25:E25"/>
    <mergeCell ref="B22:E22"/>
    <mergeCell ref="AF18:AJ18"/>
    <mergeCell ref="B35:E35"/>
    <mergeCell ref="X41:AA41"/>
    <mergeCell ref="B45:E45"/>
    <mergeCell ref="H45:K45"/>
    <mergeCell ref="X45:AA45"/>
    <mergeCell ref="H43:K43"/>
    <mergeCell ref="X229:AA229"/>
    <mergeCell ref="B126:E126"/>
    <mergeCell ref="B133:E133"/>
    <mergeCell ref="X130:AA130"/>
    <mergeCell ref="B171:E171"/>
    <mergeCell ref="X129:AA129"/>
    <mergeCell ref="B214:E214"/>
    <mergeCell ref="X180:AA180"/>
    <mergeCell ref="X159:AA160"/>
    <mergeCell ref="B149:E149"/>
    <mergeCell ref="G159:G160"/>
    <mergeCell ref="B169:E169"/>
    <mergeCell ref="B202:E202"/>
    <mergeCell ref="X155:AA155"/>
    <mergeCell ref="B206:E206"/>
    <mergeCell ref="B219:E219"/>
    <mergeCell ref="B163:E163"/>
    <mergeCell ref="B162:E162"/>
    <mergeCell ref="B190:E190"/>
    <mergeCell ref="X224:AA224"/>
    <mergeCell ref="B144:E144"/>
    <mergeCell ref="H198:M198"/>
    <mergeCell ref="X167:AA167"/>
    <mergeCell ref="X143:AA143"/>
    <mergeCell ref="B128:E128"/>
    <mergeCell ref="X182:AA182"/>
    <mergeCell ref="X132:AA132"/>
    <mergeCell ref="B129:E129"/>
    <mergeCell ref="B184:E184"/>
    <mergeCell ref="B132:E132"/>
    <mergeCell ref="H36:K36"/>
    <mergeCell ref="X39:AA39"/>
    <mergeCell ref="B52:E52"/>
    <mergeCell ref="B67:E67"/>
    <mergeCell ref="AF22:AI22"/>
    <mergeCell ref="AF25:AI25"/>
    <mergeCell ref="H31:K31"/>
    <mergeCell ref="AF29:AJ29"/>
    <mergeCell ref="I71:M71"/>
    <mergeCell ref="B51:E51"/>
    <mergeCell ref="H32:K32"/>
    <mergeCell ref="AF23:AI23"/>
    <mergeCell ref="AF26:AJ26"/>
    <mergeCell ref="X31:AA31"/>
    <mergeCell ref="B31:E31"/>
    <mergeCell ref="B28:E28"/>
    <mergeCell ref="B27:E27"/>
    <mergeCell ref="H38:K38"/>
    <mergeCell ref="AF31:AJ31"/>
    <mergeCell ref="X34:AA34"/>
    <mergeCell ref="H46:K46"/>
    <mergeCell ref="B59:E59"/>
    <mergeCell ref="H42:K42"/>
    <mergeCell ref="B33:E33"/>
    <mergeCell ref="X28:AA28"/>
    <mergeCell ref="B26:E26"/>
    <mergeCell ref="B34:E34"/>
    <mergeCell ref="H50:K50"/>
    <mergeCell ref="B36:E36"/>
    <mergeCell ref="B46:E46"/>
    <mergeCell ref="X70:AA70"/>
    <mergeCell ref="H41:K41"/>
    <mergeCell ref="H40:K40"/>
    <mergeCell ref="B66:E66"/>
    <mergeCell ref="B61:E61"/>
    <mergeCell ref="B49:E49"/>
    <mergeCell ref="B44:E44"/>
    <mergeCell ref="H48:K48"/>
    <mergeCell ref="X43:AA43"/>
    <mergeCell ref="X50:AA50"/>
    <mergeCell ref="B50:E50"/>
    <mergeCell ref="B53:E53"/>
    <mergeCell ref="H44:K44"/>
    <mergeCell ref="B37:E37"/>
    <mergeCell ref="B54:E54"/>
    <mergeCell ref="F51:I54"/>
    <mergeCell ref="H39:K39"/>
    <mergeCell ref="H37:K37"/>
    <mergeCell ref="B38:E38"/>
    <mergeCell ref="X40:AA40"/>
    <mergeCell ref="B43:E43"/>
    <mergeCell ref="B63:E63"/>
    <mergeCell ref="C239:E240"/>
    <mergeCell ref="X75:AA75"/>
    <mergeCell ref="B56:E56"/>
    <mergeCell ref="X46:AA46"/>
    <mergeCell ref="B47:E47"/>
    <mergeCell ref="H47:K47"/>
    <mergeCell ref="X47:AA47"/>
    <mergeCell ref="B131:E131"/>
    <mergeCell ref="X116:AA116"/>
    <mergeCell ref="X154:AA154"/>
    <mergeCell ref="X139:AA139"/>
    <mergeCell ref="H159:W159"/>
    <mergeCell ref="B145:E145"/>
    <mergeCell ref="B85:E85"/>
    <mergeCell ref="X133:AA133"/>
    <mergeCell ref="X124:AA124"/>
    <mergeCell ref="X134:AA134"/>
    <mergeCell ref="B114:E114"/>
    <mergeCell ref="G120:K120"/>
    <mergeCell ref="B96:E96"/>
    <mergeCell ref="B68:E68"/>
    <mergeCell ref="B62:E62"/>
    <mergeCell ref="B60:E60"/>
    <mergeCell ref="B70:E70"/>
    <mergeCell ref="H79:W79"/>
    <mergeCell ref="B105:E105"/>
    <mergeCell ref="B148:E148"/>
    <mergeCell ref="B172:E172"/>
    <mergeCell ref="B127:E127"/>
    <mergeCell ref="X128:AA128"/>
    <mergeCell ref="B550:E550"/>
    <mergeCell ref="B551:E551"/>
    <mergeCell ref="X73:AA73"/>
    <mergeCell ref="I73:K73"/>
    <mergeCell ref="B621:E621"/>
    <mergeCell ref="B124:E124"/>
    <mergeCell ref="B135:E135"/>
    <mergeCell ref="B210:E210"/>
    <mergeCell ref="B235:E235"/>
    <mergeCell ref="B222:E222"/>
    <mergeCell ref="B273:E273"/>
    <mergeCell ref="B243:E243"/>
    <mergeCell ref="B251:E251"/>
    <mergeCell ref="B221:E221"/>
    <mergeCell ref="B213:E213"/>
    <mergeCell ref="B151:E151"/>
    <mergeCell ref="B152:E152"/>
    <mergeCell ref="B134:E134"/>
    <mergeCell ref="B165:E165"/>
    <mergeCell ref="B146:E146"/>
    <mergeCell ref="B168:E168"/>
    <mergeCell ref="B257:E257"/>
    <mergeCell ref="B244:E244"/>
    <mergeCell ref="B224:E224"/>
    <mergeCell ref="B166:E166"/>
    <mergeCell ref="B205:E205"/>
    <mergeCell ref="B234:E234"/>
    <mergeCell ref="B272:E272"/>
    <mergeCell ref="B211:E211"/>
    <mergeCell ref="X165:AA165"/>
    <mergeCell ref="C667:I673"/>
    <mergeCell ref="C659:I660"/>
    <mergeCell ref="B544:E544"/>
    <mergeCell ref="B578:E578"/>
    <mergeCell ref="B586:E586"/>
    <mergeCell ref="B554:E554"/>
    <mergeCell ref="B509:E509"/>
    <mergeCell ref="B497:E497"/>
    <mergeCell ref="B534:E534"/>
    <mergeCell ref="B570:E570"/>
    <mergeCell ref="B577:E577"/>
    <mergeCell ref="B574:E574"/>
    <mergeCell ref="B585:E585"/>
    <mergeCell ref="B581:E581"/>
    <mergeCell ref="C658:G658"/>
    <mergeCell ref="C657:G657"/>
    <mergeCell ref="C655:I655"/>
    <mergeCell ref="B653:J653"/>
    <mergeCell ref="B648:G648"/>
    <mergeCell ref="B582:E582"/>
    <mergeCell ref="B610:E610"/>
    <mergeCell ref="B583:E583"/>
    <mergeCell ref="B593:E593"/>
    <mergeCell ref="B620:E620"/>
    <mergeCell ref="B607:E607"/>
    <mergeCell ref="B642:G642"/>
    <mergeCell ref="B606:E606"/>
    <mergeCell ref="H646:H647"/>
    <mergeCell ref="B575:E575"/>
    <mergeCell ref="B557:E557"/>
    <mergeCell ref="B543:E543"/>
    <mergeCell ref="B507:E507"/>
    <mergeCell ref="B546:E546"/>
    <mergeCell ref="B601:E601"/>
    <mergeCell ref="B602:E602"/>
    <mergeCell ref="B603:E603"/>
    <mergeCell ref="B612:E612"/>
    <mergeCell ref="B613:E613"/>
    <mergeCell ref="B614:E614"/>
    <mergeCell ref="H590:W590"/>
    <mergeCell ref="B512:E512"/>
    <mergeCell ref="V646:V647"/>
    <mergeCell ref="B619:E619"/>
    <mergeCell ref="B604:E604"/>
    <mergeCell ref="Q646:Q647"/>
    <mergeCell ref="B297:E297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24:E624"/>
    <mergeCell ref="B627:E627"/>
    <mergeCell ref="H399:W399"/>
    <mergeCell ref="N646:N647"/>
    <mergeCell ref="X341:AA341"/>
    <mergeCell ref="B489:E489"/>
    <mergeCell ref="B494:E494"/>
    <mergeCell ref="B523:E523"/>
    <mergeCell ref="G480:G481"/>
    <mergeCell ref="B436:E436"/>
    <mergeCell ref="B438:E438"/>
    <mergeCell ref="C399:E400"/>
    <mergeCell ref="B538:E538"/>
    <mergeCell ref="B537:E537"/>
    <mergeCell ref="B529:E529"/>
    <mergeCell ref="B525:E525"/>
    <mergeCell ref="B458:E458"/>
    <mergeCell ref="F590:F591"/>
    <mergeCell ref="G590:G591"/>
    <mergeCell ref="B539:E539"/>
    <mergeCell ref="B552:E552"/>
    <mergeCell ref="C561:E562"/>
    <mergeCell ref="B571:E571"/>
    <mergeCell ref="B565:E565"/>
    <mergeCell ref="B567:E567"/>
    <mergeCell ref="B492:E492"/>
    <mergeCell ref="B530:E530"/>
    <mergeCell ref="B493:E493"/>
    <mergeCell ref="B553:E553"/>
    <mergeCell ref="B549:E549"/>
    <mergeCell ref="B573:E573"/>
    <mergeCell ref="B579:E579"/>
    <mergeCell ref="B584:E584"/>
    <mergeCell ref="C590:E591"/>
    <mergeCell ref="X359:AA359"/>
    <mergeCell ref="B256:E256"/>
    <mergeCell ref="B23:E23"/>
    <mergeCell ref="X88:Z88"/>
    <mergeCell ref="B91:E91"/>
    <mergeCell ref="B98:E98"/>
    <mergeCell ref="B90:E90"/>
    <mergeCell ref="B125:E125"/>
    <mergeCell ref="A641:A651"/>
    <mergeCell ref="B649:G649"/>
    <mergeCell ref="B628:E628"/>
    <mergeCell ref="B650:G650"/>
    <mergeCell ref="B629:E629"/>
    <mergeCell ref="B632:E632"/>
    <mergeCell ref="B651:G651"/>
    <mergeCell ref="B640:G640"/>
    <mergeCell ref="B564:E564"/>
    <mergeCell ref="B569:E569"/>
    <mergeCell ref="X296:AA296"/>
    <mergeCell ref="B292:E292"/>
    <mergeCell ref="B294:E294"/>
    <mergeCell ref="X286:AA286"/>
    <mergeCell ref="X300:AA300"/>
    <mergeCell ref="X297:AA297"/>
    <mergeCell ref="B283:E283"/>
    <mergeCell ref="B285:E285"/>
    <mergeCell ref="X287:AA287"/>
    <mergeCell ref="X285:AA285"/>
    <mergeCell ref="B341:E341"/>
    <mergeCell ref="B302:E302"/>
    <mergeCell ref="X457:AA457"/>
    <mergeCell ref="B264:E264"/>
    <mergeCell ref="F399:F400"/>
    <mergeCell ref="AF19:AJ19"/>
    <mergeCell ref="B20:E20"/>
    <mergeCell ref="B7:W7"/>
    <mergeCell ref="AE5:AI7"/>
    <mergeCell ref="AF12:AH12"/>
    <mergeCell ref="AC8:AI9"/>
    <mergeCell ref="B10:E10"/>
    <mergeCell ref="B11:E11"/>
    <mergeCell ref="AF15:AH15"/>
    <mergeCell ref="B16:E16"/>
    <mergeCell ref="H33:K33"/>
    <mergeCell ref="X137:AA137"/>
    <mergeCell ref="X138:AA138"/>
    <mergeCell ref="B217:E217"/>
    <mergeCell ref="B200:E200"/>
    <mergeCell ref="B209:E209"/>
    <mergeCell ref="B139:E139"/>
    <mergeCell ref="X172:AA172"/>
    <mergeCell ref="B175:E175"/>
    <mergeCell ref="X169:AA169"/>
    <mergeCell ref="B181:E181"/>
    <mergeCell ref="AB79:AB80"/>
    <mergeCell ref="F79:F80"/>
    <mergeCell ref="X44:AA44"/>
    <mergeCell ref="AF159:AH159"/>
    <mergeCell ref="B120:E120"/>
    <mergeCell ref="B69:E69"/>
    <mergeCell ref="X36:AA36"/>
    <mergeCell ref="B57:E57"/>
    <mergeCell ref="B79:B80"/>
    <mergeCell ref="B6:W6"/>
    <mergeCell ref="AF20:AI20"/>
    <mergeCell ref="X302:AA302"/>
    <mergeCell ref="X301:AA301"/>
    <mergeCell ref="X299:AA299"/>
    <mergeCell ref="X293:AA293"/>
    <mergeCell ref="X256:AA256"/>
    <mergeCell ref="X253:AA253"/>
    <mergeCell ref="X87:Z87"/>
    <mergeCell ref="X108:AA108"/>
    <mergeCell ref="B281:E281"/>
    <mergeCell ref="B616:E616"/>
    <mergeCell ref="B278:E278"/>
    <mergeCell ref="B287:E287"/>
    <mergeCell ref="B299:E299"/>
    <mergeCell ref="B254:E254"/>
    <mergeCell ref="B109:E109"/>
    <mergeCell ref="B266:E266"/>
    <mergeCell ref="B245:E245"/>
    <mergeCell ref="G107:O107"/>
    <mergeCell ref="G108:O108"/>
    <mergeCell ref="B288:E288"/>
    <mergeCell ref="B286:E286"/>
    <mergeCell ref="B311:E311"/>
    <mergeCell ref="B412:E412"/>
    <mergeCell ref="B485:E485"/>
    <mergeCell ref="B270:E270"/>
    <mergeCell ref="B259:E259"/>
    <mergeCell ref="B267:E267"/>
    <mergeCell ref="B261:E261"/>
    <mergeCell ref="B115:E115"/>
    <mergeCell ref="B104:E104"/>
    <mergeCell ref="B262:E262"/>
    <mergeCell ref="B130:E130"/>
    <mergeCell ref="AF21:AJ21"/>
    <mergeCell ref="B491:E491"/>
    <mergeCell ref="H8:W8"/>
    <mergeCell ref="B8:B9"/>
    <mergeCell ref="G110:M110"/>
    <mergeCell ref="B136:E136"/>
    <mergeCell ref="B97:E97"/>
    <mergeCell ref="B87:E87"/>
    <mergeCell ref="B64:E64"/>
    <mergeCell ref="B19:E19"/>
    <mergeCell ref="B58:E58"/>
    <mergeCell ref="X257:AA257"/>
    <mergeCell ref="X269:AA269"/>
    <mergeCell ref="X270:AA270"/>
    <mergeCell ref="X266:AA266"/>
    <mergeCell ref="B260:E260"/>
    <mergeCell ref="B268:E268"/>
    <mergeCell ref="B295:E295"/>
    <mergeCell ref="B307:E307"/>
    <mergeCell ref="B359:E359"/>
    <mergeCell ref="B459:E459"/>
    <mergeCell ref="B467:E467"/>
    <mergeCell ref="B465:E465"/>
    <mergeCell ref="B466:E466"/>
    <mergeCell ref="B143:E143"/>
    <mergeCell ref="H319:W319"/>
    <mergeCell ref="X292:AA292"/>
    <mergeCell ref="X259:AA259"/>
    <mergeCell ref="B100:E100"/>
    <mergeCell ref="X466:AA466"/>
    <mergeCell ref="AJ1:AJ2"/>
    <mergeCell ref="AE1:AI1"/>
    <mergeCell ref="Y1:AD1"/>
    <mergeCell ref="AF10:AH10"/>
    <mergeCell ref="AE3:AI4"/>
    <mergeCell ref="AE2:AG2"/>
    <mergeCell ref="AF13:AH13"/>
    <mergeCell ref="X5:AD7"/>
    <mergeCell ref="AB8:AB9"/>
    <mergeCell ref="AF11:AH11"/>
    <mergeCell ref="B1:W1"/>
    <mergeCell ref="B3:D5"/>
    <mergeCell ref="E5:W5"/>
    <mergeCell ref="X3:AD4"/>
    <mergeCell ref="X21:AA21"/>
    <mergeCell ref="B21:E21"/>
    <mergeCell ref="X19:AA19"/>
    <mergeCell ref="X15:AA15"/>
    <mergeCell ref="X8:AA9"/>
    <mergeCell ref="B13:E13"/>
    <mergeCell ref="Q17:W17"/>
    <mergeCell ref="E3:W3"/>
    <mergeCell ref="E4:W4"/>
    <mergeCell ref="Y2:AD2"/>
    <mergeCell ref="G8:G9"/>
    <mergeCell ref="B18:E18"/>
    <mergeCell ref="B2:W2"/>
    <mergeCell ref="X16:AA16"/>
    <mergeCell ref="Q16:W16"/>
    <mergeCell ref="F8:F9"/>
    <mergeCell ref="X20:AA20"/>
    <mergeCell ref="X14:AA14"/>
    <mergeCell ref="G119:K119"/>
    <mergeCell ref="I70:M70"/>
    <mergeCell ref="X125:AA125"/>
    <mergeCell ref="X111:AA111"/>
    <mergeCell ref="B93:E93"/>
    <mergeCell ref="B103:E103"/>
    <mergeCell ref="B83:E83"/>
    <mergeCell ref="B119:E119"/>
    <mergeCell ref="X79:AA80"/>
    <mergeCell ref="I113:W114"/>
    <mergeCell ref="B111:E111"/>
    <mergeCell ref="X123:AA123"/>
    <mergeCell ref="X120:AA120"/>
    <mergeCell ref="X117:AA117"/>
    <mergeCell ref="X113:AA113"/>
    <mergeCell ref="B116:E116"/>
    <mergeCell ref="B121:E121"/>
    <mergeCell ref="B118:E118"/>
    <mergeCell ref="G116:K116"/>
    <mergeCell ref="X114:AA114"/>
    <mergeCell ref="B101:E101"/>
    <mergeCell ref="X121:AA121"/>
    <mergeCell ref="X119:AA119"/>
    <mergeCell ref="G115:K115"/>
    <mergeCell ref="G117:K117"/>
    <mergeCell ref="G109:M109"/>
    <mergeCell ref="O96:W96"/>
    <mergeCell ref="B117:E117"/>
    <mergeCell ref="B108:E108"/>
    <mergeCell ref="H35:K35"/>
    <mergeCell ref="B112:E112"/>
    <mergeCell ref="B99:E99"/>
    <mergeCell ref="B95:E95"/>
    <mergeCell ref="B154:E154"/>
    <mergeCell ref="B153:E153"/>
    <mergeCell ref="X49:AA49"/>
    <mergeCell ref="B55:E55"/>
    <mergeCell ref="B150:E150"/>
    <mergeCell ref="B75:E75"/>
    <mergeCell ref="X72:AA72"/>
    <mergeCell ref="X152:AA152"/>
    <mergeCell ref="X171:AA171"/>
    <mergeCell ref="X142:AA142"/>
    <mergeCell ref="B164:E164"/>
    <mergeCell ref="B110:E110"/>
    <mergeCell ref="X83:Z83"/>
    <mergeCell ref="X107:AA107"/>
    <mergeCell ref="G79:G80"/>
    <mergeCell ref="B82:E82"/>
    <mergeCell ref="G121:K121"/>
    <mergeCell ref="G118:K118"/>
    <mergeCell ref="B89:E89"/>
    <mergeCell ref="B73:E73"/>
    <mergeCell ref="X71:AA71"/>
    <mergeCell ref="I72:M72"/>
    <mergeCell ref="B65:E65"/>
    <mergeCell ref="X166:AA166"/>
    <mergeCell ref="B71:E71"/>
    <mergeCell ref="X135:AA135"/>
    <mergeCell ref="X131:AA131"/>
    <mergeCell ref="X141:AA141"/>
    <mergeCell ref="B615:E615"/>
    <mergeCell ref="X362:AA362"/>
    <mergeCell ref="X335:AA335"/>
    <mergeCell ref="B14:E14"/>
    <mergeCell ref="AF79:AH79"/>
    <mergeCell ref="B247:E247"/>
    <mergeCell ref="X271:AA271"/>
    <mergeCell ref="B72:E72"/>
    <mergeCell ref="X127:AA127"/>
    <mergeCell ref="F81:I91"/>
    <mergeCell ref="B253:E253"/>
    <mergeCell ref="X26:AA26"/>
    <mergeCell ref="X84:Z84"/>
    <mergeCell ref="B84:E84"/>
    <mergeCell ref="AC134:AF134"/>
    <mergeCell ref="AB159:AB160"/>
    <mergeCell ref="H111:M112"/>
    <mergeCell ref="X110:AA110"/>
    <mergeCell ref="X109:AA109"/>
    <mergeCell ref="B106:E106"/>
    <mergeCell ref="B107:E107"/>
    <mergeCell ref="X112:AA112"/>
    <mergeCell ref="B88:E88"/>
    <mergeCell ref="B113:E113"/>
    <mergeCell ref="B94:E94"/>
    <mergeCell ref="B92:E92"/>
    <mergeCell ref="B138:E138"/>
    <mergeCell ref="B155:E155"/>
    <mergeCell ref="X126:AA126"/>
    <mergeCell ref="B227:E227"/>
    <mergeCell ref="X227:AA227"/>
    <mergeCell ref="B242:E242"/>
    <mergeCell ref="X470:AA470"/>
    <mergeCell ref="B17:E17"/>
    <mergeCell ref="C8:E9"/>
    <mergeCell ref="B12:E12"/>
    <mergeCell ref="B41:E41"/>
    <mergeCell ref="X115:AA115"/>
    <mergeCell ref="X242:AA242"/>
    <mergeCell ref="AF399:AH399"/>
    <mergeCell ref="AB399:AB400"/>
    <mergeCell ref="AF319:AH319"/>
    <mergeCell ref="AF239:AH239"/>
    <mergeCell ref="AB319:AB320"/>
    <mergeCell ref="X319:AA320"/>
    <mergeCell ref="X294:AA294"/>
    <mergeCell ref="B265:E265"/>
    <mergeCell ref="B255:E255"/>
    <mergeCell ref="X264:AA264"/>
    <mergeCell ref="B263:E263"/>
    <mergeCell ref="X262:AA262"/>
    <mergeCell ref="X260:AA260"/>
    <mergeCell ref="AB239:AB240"/>
    <mergeCell ref="B271:E271"/>
    <mergeCell ref="B309:E309"/>
    <mergeCell ref="H239:W239"/>
    <mergeCell ref="B384:E384"/>
    <mergeCell ref="B81:E81"/>
    <mergeCell ref="B86:E86"/>
    <mergeCell ref="C79:E80"/>
    <mergeCell ref="B74:E74"/>
    <mergeCell ref="B123:E123"/>
    <mergeCell ref="B102:E102"/>
    <mergeCell ref="H269:M274"/>
    <mergeCell ref="B275:E275"/>
    <mergeCell ref="B541:E541"/>
    <mergeCell ref="B520:E520"/>
    <mergeCell ref="B526:E526"/>
    <mergeCell ref="AF14:AI14"/>
    <mergeCell ref="B486:E486"/>
    <mergeCell ref="B30:E30"/>
    <mergeCell ref="B499:E499"/>
    <mergeCell ref="X363:AA363"/>
    <mergeCell ref="X177:AA177"/>
    <mergeCell ref="X303:AA303"/>
    <mergeCell ref="B194:E194"/>
    <mergeCell ref="B204:E204"/>
    <mergeCell ref="B201:E201"/>
    <mergeCell ref="B191:E191"/>
    <mergeCell ref="B197:E197"/>
    <mergeCell ref="X254:AA254"/>
    <mergeCell ref="B189:E189"/>
    <mergeCell ref="B229:E229"/>
    <mergeCell ref="B203:E203"/>
    <mergeCell ref="X250:AA250"/>
    <mergeCell ref="X274:AA274"/>
    <mergeCell ref="B223:E223"/>
    <mergeCell ref="B199:E199"/>
    <mergeCell ref="B207:E207"/>
    <mergeCell ref="X221:AA221"/>
    <mergeCell ref="X241:AA241"/>
    <mergeCell ref="X230:AA230"/>
    <mergeCell ref="X228:AA228"/>
    <mergeCell ref="B239:B240"/>
    <mergeCell ref="B228:E228"/>
    <mergeCell ref="B470:E470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1" r:id="rId8"/>
    <hyperlink ref="AB52" r:id="rId9"/>
    <hyperlink ref="AB55" r:id="rId10" display="https://www.jivi.com.ar/ficha.php?id=41"/>
    <hyperlink ref="AB56" r:id="rId11" display="https://www.jivi.com.ar/ficha.php?id=42"/>
    <hyperlink ref="AB57" r:id="rId12" display="https://www.jivi.com.ar/ficha.php?id=649"/>
    <hyperlink ref="AB58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09" r:id="rId62" display="https://www.jivi.com.ar/ficha.php?id=187"/>
    <hyperlink ref="AB311" r:id="rId63" display="https://www.jivi.com.ar/ficha.php?id=4"/>
    <hyperlink ref="AB328" r:id="rId64" display="https://www.jivi.com.ar/ficha.php?id=55"/>
    <hyperlink ref="AB331" r:id="rId65" display="https://www.jivi.com.ar/ficha.php?id=209"/>
    <hyperlink ref="AB332" r:id="rId66"/>
    <hyperlink ref="AB339" r:id="rId67" display="https://www.jivi.com.ar/ficha.php?id=60"/>
    <hyperlink ref="AB341" r:id="rId68" display="https://www.jivi.com.ar/ficha.php?id=380"/>
    <hyperlink ref="AB345" r:id="rId69" display="https://www.jivi.com.ar/ficha.php?id=548"/>
    <hyperlink ref="AB346" r:id="rId70"/>
    <hyperlink ref="AB347" r:id="rId71" display="https://www.jivi.com.ar/ficha.php?id=719"/>
    <hyperlink ref="AB102" r:id="rId72" display="https://www.jivi.com.ar/ficha.php?id=326"/>
    <hyperlink ref="AB106" r:id="rId73" display="https://www.jivi.com.ar/ficha.php?id=134"/>
    <hyperlink ref="AB111" r:id="rId74" display="https://www.jivi.com.ar/ficha.php?id=10"/>
    <hyperlink ref="AB112" r:id="rId75" display="https://www.jivi.com.ar/ficha.php?id=11"/>
    <hyperlink ref="AB132" r:id="rId76" display="https://www.jivi.com.ar/ficha.php?id=394"/>
    <hyperlink ref="AB133" r:id="rId77" display="https://www.jivi.com.ar/ficha.php?id=145"/>
    <hyperlink ref="AB136" r:id="rId78" display="https://www.jivi.com.ar/ficha.php?id=18"/>
    <hyperlink ref="AB140" r:id="rId79" display="https://www.jivi.com.ar/ficha.php?id=19"/>
    <hyperlink ref="AB145" r:id="rId80" display="https://www.jivi.com.ar/ficha.php?id=140"/>
    <hyperlink ref="AB146" r:id="rId81" display="https://www.jivi.com.ar/ficha.php?id=142"/>
    <hyperlink ref="AB147" r:id="rId82" display="https://www.jivi.com.ar/ficha.php?id=392"/>
    <hyperlink ref="AB148" r:id="rId83" display="https://www.jivi.com.ar/ficha.php?id=393"/>
    <hyperlink ref="AB173" r:id="rId84" display="https://www.jivi.com.ar/ficha.php?id=135"/>
    <hyperlink ref="AB174" r:id="rId85" display="https://www.jivi.com.ar/ficha.php?id=136"/>
    <hyperlink ref="AB175" r:id="rId86" display="https://www.jivi.com.ar/ficha.php?id=137"/>
    <hyperlink ref="AB176" r:id="rId87" display="https://www.jivi.com.ar/ficha.php?id=138"/>
    <hyperlink ref="AB184" r:id="rId88" display="https://www.jivi.com.ar/ficha.php?id=245"/>
    <hyperlink ref="AB198" r:id="rId89" display="https://www.jivi.com.ar/ficha.php?id=166"/>
    <hyperlink ref="AB199" r:id="rId90" display="https://www.jivi.com.ar/ficha.php?id=171"/>
    <hyperlink ref="AB203" r:id="rId91" display="https://www.jivi.com.ar/ficha.php?id=168"/>
    <hyperlink ref="AB209" r:id="rId92" display="https://www.jivi.com.ar/ficha.php?id=169"/>
    <hyperlink ref="AB212" r:id="rId93" display="https://www.jivi.com.ar/ficha.php?id=148"/>
    <hyperlink ref="AB213" r:id="rId94" display="https://www.jivi.com.ar/ficha.php?id=158"/>
    <hyperlink ref="AB262" r:id="rId95" display="https://www.jivi.com.ar/ficha.php?id=621"/>
    <hyperlink ref="AB263" r:id="rId96" display="https://www.jivi.com.ar/ficha.php?id=622"/>
    <hyperlink ref="AB96" r:id="rId97" display="https://www.jivi.com.ar/ficha.php?id=456"/>
    <hyperlink ref="AB268" r:id="rId98" display="https://www.jivi.com.ar/ficha.php?id=246"/>
    <hyperlink ref="AB417" r:id="rId99" display="https://www.jivi.com.ar/ficha.php?id=431"/>
    <hyperlink ref="AB421" r:id="rId100" display="https://www.jivi.com.ar/ficha.php?id=728"/>
    <hyperlink ref="AB437" r:id="rId101"/>
    <hyperlink ref="AB439" r:id="rId102"/>
    <hyperlink ref="AB449" r:id="rId103"/>
    <hyperlink ref="AB451" r:id="rId104"/>
    <hyperlink ref="AB453" r:id="rId105"/>
    <hyperlink ref="AB454" r:id="rId106"/>
    <hyperlink ref="AB455" r:id="rId107"/>
    <hyperlink ref="AB457" r:id="rId108"/>
    <hyperlink ref="AB458" r:id="rId109"/>
    <hyperlink ref="AB460" r:id="rId110"/>
    <hyperlink ref="AB463" r:id="rId111"/>
    <hyperlink ref="AB464" r:id="rId112"/>
    <hyperlink ref="AB465" r:id="rId113"/>
    <hyperlink ref="AB594" r:id="rId114"/>
    <hyperlink ref="AB595" r:id="rId115"/>
    <hyperlink ref="AB596" r:id="rId116"/>
    <hyperlink ref="AB599" r:id="rId117"/>
    <hyperlink ref="AB604" r:id="rId118"/>
    <hyperlink ref="AB605" r:id="rId119"/>
    <hyperlink ref="AB607" r:id="rId120"/>
    <hyperlink ref="AB608" r:id="rId121"/>
    <hyperlink ref="AB609" r:id="rId122"/>
    <hyperlink ref="AB98" r:id="rId123" display="https://www.jivi.com.ar/ficha.php?id=234"/>
    <hyperlink ref="AB322" r:id="rId124" display="https://www.jivi.com.ar/ficha.php?id=51"/>
    <hyperlink ref="AB333" r:id="rId125"/>
    <hyperlink ref="AB251" r:id="rId126" display="https://www.jivi.com.ar/ficha.php?id=783"/>
    <hyperlink ref="B7:V7" location="'Artículos Publicitarios'!A686" display="PARA IR A LOS RECARGOS POR IMPRESIONES ADICIONALES CLICK AQUÍ"/>
    <hyperlink ref="AB441" r:id="rId127"/>
    <hyperlink ref="AB64" r:id="rId128" display="https://www.jivi.com.ar/ficha.php?id=76"/>
    <hyperlink ref="AC53" r:id="rId129"/>
    <hyperlink ref="AD53" r:id="rId130"/>
    <hyperlink ref="AE53" r:id="rId131"/>
    <hyperlink ref="B7:W7" location="'Artículos Publicitarios'!A661" display="PARA IR A LOS RECARGOS POR IMPRESIONES ADICIONALES CLICK AQUÍ"/>
    <hyperlink ref="AB221" r:id="rId132" display="https://www.jivi.com.ar/ficha.php?id=840"/>
    <hyperlink ref="AE2:AF2" location="'Artículos Publicitarios'!A839" display="CLICK AQUÍ"/>
    <hyperlink ref="AE2" location="'Artículos Publicitarios'!A833" display="CLICK AQUÍ"/>
    <hyperlink ref="AB506" r:id="rId133" display="https://www.jivi.com.ar/ficha.php?id=846"/>
    <hyperlink ref="AB26" r:id="rId134" display="https://www.jivi.com.ar/ficha.php?id=848"/>
    <hyperlink ref="AB75" r:id="rId135"/>
    <hyperlink ref="AE2:AG2" location="'Artículos Publicitarios'!A707" display="CLICK AQUÍ"/>
    <hyperlink ref="B706:W706" location="'Artículos Publicitarios'!A3" display="PARA SUBIR AL PRINCIPIO DE LA LISTA CLICK AQUÍ"/>
    <hyperlink ref="AB248" r:id="rId136" display="https://www.jivi.com.ar/ficha.php?id=862"/>
    <hyperlink ref="AB44" r:id="rId137"/>
    <hyperlink ref="AB149" r:id="rId138" display="https://www.jivi.com.ar/ficha.php?id=882"/>
    <hyperlink ref="AB103" r:id="rId139"/>
    <hyperlink ref="AF10:AH10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6" r:id="rId140" display="https://www.jivi.com.ar/ficha.php?id=903"/>
    <hyperlink ref="AB21" r:id="rId141"/>
    <hyperlink ref="AB327" r:id="rId142" display="https://www.jivi.com.ar/ficha.php?id=916"/>
    <hyperlink ref="AB259" r:id="rId143" display="https://www.jivi.com.ar/ficha.php?id=918"/>
    <hyperlink ref="AB312" r:id="rId144" display="https://www.jivi.com.ar/ficha.php?id=926"/>
    <hyperlink ref="AB66" r:id="rId145"/>
    <hyperlink ref="AB435" r:id="rId146"/>
    <hyperlink ref="AB177" r:id="rId147" display="https://www.jivi.com.ar/ficha.php?id=948"/>
    <hyperlink ref="AB329" r:id="rId148" display="https://www.jivi.com.ar/ficha.php?id=954"/>
    <hyperlink ref="AB127" r:id="rId149"/>
    <hyperlink ref="AB129" r:id="rId150"/>
    <hyperlink ref="AB128" r:id="rId151"/>
    <hyperlink ref="AB442" r:id="rId152"/>
    <hyperlink ref="AB27" r:id="rId153"/>
    <hyperlink ref="AB323" r:id="rId154" display="https://www.jivi.com.ar/ficha.php?id=850"/>
    <hyperlink ref="AB130" r:id="rId155"/>
    <hyperlink ref="AB461" r:id="rId156"/>
    <hyperlink ref="AB462" r:id="rId157"/>
    <hyperlink ref="AB610" r:id="rId158"/>
    <hyperlink ref="AB348" r:id="rId159" display="https://www.jivi.com.ar/ficha.php?id=1023"/>
    <hyperlink ref="AB321" r:id="rId160" display="https://www.jivi.com.ar/ficha.php?id=1024"/>
    <hyperlink ref="AB313" r:id="rId161" display="https://www.jivi.com.ar/ficha.php?id=1025"/>
    <hyperlink ref="AF25" location="'Artículos Publicitarios'!A122" display="IR A PINES"/>
    <hyperlink ref="AB325" r:id="rId162" display="https://www.jivi.com.ar/ficha.php?id=647"/>
    <hyperlink ref="AB308" r:id="rId163" display="https://www.jivi.com.ar/ficha.php?id=1049"/>
    <hyperlink ref="AB447" r:id="rId164"/>
    <hyperlink ref="AB166" r:id="rId165"/>
    <hyperlink ref="AB188" r:id="rId166" display="https://www.jivi.com.ar/ficha.php?id=1059"/>
    <hyperlink ref="AB190" r:id="rId167" display="https://www.jivi.com.ar/ficha.php?id=1061"/>
    <hyperlink ref="AB191" r:id="rId168" display="https://www.jivi.com.ar/ficha.php?id=1062"/>
    <hyperlink ref="AB23" r:id="rId169" display="https://www.jivi.com.ar/ficha.php?id=364"/>
    <hyperlink ref="AF27:AI27" location="'Artículos Publicitarios'!A479" display="IR A GORROS"/>
    <hyperlink ref="AB25" r:id="rId170"/>
    <hyperlink ref="AB24" r:id="rId171"/>
    <hyperlink ref="AF23:AI23" location="'Artículos Publicitarios'!A567" display="IR A PROD. SUBLIMADOS"/>
    <hyperlink ref="AB577" r:id="rId172" display="https://www.jivi.com.ar/ficha.php?id=1088"/>
    <hyperlink ref="AB578" r:id="rId173" display="https://www.jivi.com.ar/ficha.php?id=1089"/>
    <hyperlink ref="AB579" r:id="rId174" display="https://www.jivi.com.ar/ficha.php?id=1090"/>
    <hyperlink ref="AB580" r:id="rId175" display="https://www.jivi.com.ar/ficha.php?id=1091"/>
    <hyperlink ref="AB337" r:id="rId176" display="https://www.jivi.com.ar/ficha.php?id=1095"/>
    <hyperlink ref="AB314" r:id="rId177" display="https://www.jivi.com.ar/ficha.php?id=1094"/>
    <hyperlink ref="AB310" r:id="rId178" display="https://www.jivi.com.ar/ficha.php?id=297"/>
    <hyperlink ref="AB350" r:id="rId179" display="https://www.jivi.com.ar/ficha.php?id=1097"/>
    <hyperlink ref="AB100" r:id="rId180" display="https://www.jivi.com.ar/ficha.php?id=1098"/>
    <hyperlink ref="AB20" r:id="rId181"/>
    <hyperlink ref="AB215" r:id="rId182"/>
    <hyperlink ref="AB307" r:id="rId183" display="https://www.jivi.com.ar/ficha.php?id=1108"/>
    <hyperlink ref="AB340" r:id="rId184" display="https://www.jivi.com.ar/ficha.php?id=1116"/>
    <hyperlink ref="AF590:AH590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0" r:id="rId185" display="https://www.jivi.com.ar/ficha.php?id=1119"/>
    <hyperlink ref="AB171" r:id="rId186"/>
    <hyperlink ref="AB253" r:id="rId187" display="https://www.jivi.com.ar/ficha.php?id=1154"/>
    <hyperlink ref="AB264" r:id="rId188" display="https://www.jivi.com.ar/ficha.php?id=1157"/>
    <hyperlink ref="AB265" r:id="rId189" display="https://www.jivi.com.ar/ficha.php?id=1158"/>
    <hyperlink ref="AB575" r:id="rId190"/>
    <hyperlink ref="AB581" r:id="rId191" display="hhttps://www.jivi.com.ar/ficha.php?id=1155"/>
    <hyperlink ref="AB583" r:id="rId192" display="https://www.jivi.com.ar/ficha.php?id=1156"/>
    <hyperlink ref="AB586" r:id="rId193"/>
    <hyperlink ref="AB593" r:id="rId194"/>
    <hyperlink ref="AB315" r:id="rId195"/>
    <hyperlink ref="AB54" r:id="rId196" display="https://www.jivi.com.ar/ficha.php?id=1172"/>
    <hyperlink ref="AB324" r:id="rId197"/>
    <hyperlink ref="AB99" r:id="rId198"/>
    <hyperlink ref="AB119" r:id="rId199"/>
    <hyperlink ref="AB326" r:id="rId200" display="https://www.jivi.com.ar/ficha.php?id=915"/>
    <hyperlink ref="AB109" r:id="rId201" display="https://www.jivi.com.ar/ficha.php?id=1182"/>
    <hyperlink ref="AB118" r:id="rId202" display="https://www.jivi.com.ar/ficha.php?id=1183"/>
    <hyperlink ref="AB120" r:id="rId203"/>
    <hyperlink ref="AB330" r:id="rId204" display="https://www.jivi.com.ar/ficha.php?id=349"/>
    <hyperlink ref="AB386" r:id="rId205" display="https://www.jivi.com.ar/ficha.php?id=1190"/>
    <hyperlink ref="AB385" r:id="rId206" display="https://www.jivi.com.ar/ficha.php?id=1192"/>
    <hyperlink ref="AB107" r:id="rId207" display="https://www.jivi.com.ar/ficha.php?id=1181"/>
    <hyperlink ref="AB335" r:id="rId208"/>
    <hyperlink ref="AB443" r:id="rId209"/>
    <hyperlink ref="AB387" r:id="rId210" display="https://www.jivi.com.ar/ficha.php?id=1219"/>
    <hyperlink ref="AB49" r:id="rId211"/>
    <hyperlink ref="AB48" r:id="rId212"/>
    <hyperlink ref="AB50" r:id="rId213"/>
    <hyperlink ref="AB267" r:id="rId214" display="https://www.jivi.com.ar/ficha.php?id=904"/>
    <hyperlink ref="AB61" r:id="rId215"/>
    <hyperlink ref="AB413" r:id="rId216" display="https://www.jivi.com.ar/ficha.php?id=1225"/>
    <hyperlink ref="AB43" r:id="rId217"/>
    <hyperlink ref="AB260" r:id="rId218" display="https://www.jivi.com.ar/ficha.php?id=919"/>
    <hyperlink ref="AB189" r:id="rId219" display="https://www.jivi.com.ar/ficha.php?id=1060"/>
    <hyperlink ref="AB42" r:id="rId220"/>
    <hyperlink ref="AB150" r:id="rId221" display="https://www.jivi.com.ar/ficha.php?id=883"/>
    <hyperlink ref="AB467" r:id="rId222"/>
    <hyperlink ref="AB125" r:id="rId223" display="https://www.jivi.com.ar/ficha.php?id=1055"/>
    <hyperlink ref="AB508" r:id="rId224" display="https://www.jivi.com.ar/ficha.php?id=1248"/>
    <hyperlink ref="AB338" r:id="rId225" display="https://www.jivi.com.ar/ficha.php?id=1253"/>
    <hyperlink ref="AF560:AH560" location="'Artículos Publicitarios'!A3" display="IR A PAGINA 1"/>
    <hyperlink ref="AB249" r:id="rId226" display="https://www.jivi.com.ar/ficha.php?id=1124"/>
    <hyperlink ref="AB151" r:id="rId227" display="https://www.jivi.com.ar/ficha.php?id=1261"/>
    <hyperlink ref="AB364" r:id="rId228" display="https://www.jivi.com.ar/ficha.php?id=1267"/>
    <hyperlink ref="AB414" r:id="rId229" display="https://www.jivi.com.ar/ficha.php?id=1268"/>
    <hyperlink ref="AB365" r:id="rId230" display="https://www.jivi.com.ar/ficha.php?id=1277"/>
    <hyperlink ref="AB366" r:id="rId231" display="https://www.jivi.com.ar/ficha.php?id=1278"/>
    <hyperlink ref="AB367" r:id="rId232" display="https://www.jivi.com.ar/ficha.php?id=1280"/>
    <hyperlink ref="AB625" r:id="rId233"/>
    <hyperlink ref="AB97" r:id="rId234" display="https://www.jivi.com.ar/ficha.php?id=378"/>
    <hyperlink ref="AB168" r:id="rId235"/>
    <hyperlink ref="AB108" r:id="rId236"/>
    <hyperlink ref="AB110" r:id="rId237"/>
    <hyperlink ref="AB115" r:id="rId238" display="https://www.jivi.com.ar/ficha.php?id=1305"/>
    <hyperlink ref="AB116" r:id="rId239"/>
    <hyperlink ref="AB214" r:id="rId240" display="https://www.jivi.com.ar/ficha.php?id=1287"/>
    <hyperlink ref="AB585" r:id="rId241" display="https://www.jivi.com.ar/ficha.php?id=1290"/>
    <hyperlink ref="AB161" r:id="rId242" display="https://www.jivi.com.ar/ficha.php?id=1316"/>
    <hyperlink ref="AB104" r:id="rId243" display="https://www.jivi.com.ar/ficha.php?id=1314"/>
    <hyperlink ref="AJ1:AJ2" location="'Artículos Publicitarios'!A3" display="IR A PAGINA 1"/>
    <hyperlink ref="AB167" r:id="rId244"/>
    <hyperlink ref="AB352" r:id="rId245" display="https://www.jivi.com.ar/ficha.php?id=1344"/>
    <hyperlink ref="AB117" r:id="rId246"/>
    <hyperlink ref="AF666:AH666" location="'Artículos Publicitarios'!A3" display="IR A PAGINA 1"/>
    <hyperlink ref="AB154" r:id="rId247" display="https://www.jivi.com.ar/ficha.php?id=1346"/>
    <hyperlink ref="AB155" r:id="rId248" display="https://www.jivi.com.ar/ficha.php?id=1347"/>
    <hyperlink ref="AB187" r:id="rId249" display="https://www.jivi.com.ar/ficha.php?id=1348"/>
    <hyperlink ref="AB353" r:id="rId250" display="https://www.jivi.com.ar/ficha.php?id=1359"/>
    <hyperlink ref="AB368" r:id="rId251" display="https://www.jivi.com.ar/ficha.php?id=1360"/>
    <hyperlink ref="AB169" r:id="rId252"/>
    <hyperlink ref="AB105" r:id="rId253" display="https://www.jivi.com.ar/ficha.php?id=1366"/>
    <hyperlink ref="AC8:AI9" r:id="rId254" display="REGISTRATE EN NUESTRA WEB PARA BAJAR LISTA DE PRECIOS DESDE CUALQUIER PC"/>
    <hyperlink ref="AB250" r:id="rId255" display="https://www.jivi.com.ar/ficha.php?id=864"/>
    <hyperlink ref="AB372" r:id="rId256" display="https://www.jivi.com.ar/ficha.php?id=1372"/>
    <hyperlink ref="AB371" r:id="rId257" display="https://www.jivi.com.ar/ficha.php?id=1378"/>
    <hyperlink ref="AB373" r:id="rId258" display="https://www.jivi.com.ar/ficha.php?id=1382"/>
    <hyperlink ref="AB370" r:id="rId259" display="https://www.jivi.com.ar/ficha.php?id=1383"/>
    <hyperlink ref="AB391" r:id="rId260" display="https://www.jivi.com.ar/ficha.php?id=1384"/>
    <hyperlink ref="AB123" r:id="rId261" display="https://www.jivi.com.ar/ficha.php?id=1428"/>
    <hyperlink ref="AB392" r:id="rId262" display="https://www.jivi.com.ar/ficha.php?id=1385"/>
    <hyperlink ref="AB390" r:id="rId263" display="https://www.jivi.com.ar/ficha.php?id=1387"/>
    <hyperlink ref="AB393" r:id="rId264" display="https://www.jivi.com.ar/ficha.php?id=1389"/>
    <hyperlink ref="AB394" r:id="rId265" display="https://www.jivi.com.ar/ficha.php?id=1390"/>
    <hyperlink ref="AB22" r:id="rId266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612" display="IR A ART. DE CUERO - CUCHILLERIA"/>
    <hyperlink ref="AB60" r:id="rId267" display="https://www.jivi.com.ar/ficha.php?id=236"/>
    <hyperlink ref="AB162" r:id="rId268" display="https://www.jivi.com.ar/ficha.php?id=1343"/>
    <hyperlink ref="AF12:AH12" location="'Artículos Publicitarios'!A342" display="IR A PAGINA 5"/>
    <hyperlink ref="AF13:AH13" location="'Artículos Publicitarios'!A421" display="IR A PAGINA 6"/>
    <hyperlink ref="AB374" r:id="rId269" display="https://www.jivi.com.ar/ficha.php?id=1394"/>
    <hyperlink ref="AB216" r:id="rId270" display="https://www.jivi.com.ar/ficha.php?id=872"/>
    <hyperlink ref="AB142" r:id="rId271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89" r:id="rId272" display="https://www.jivi.com.ar/ficha.php?id=1262"/>
    <hyperlink ref="AB369" r:id="rId273" display="https://www.jivi.com.ar/ficha.php?id=1400"/>
    <hyperlink ref="AB375" r:id="rId274" display="https://www.jivi.com.ar/ficha.php?id=1401"/>
    <hyperlink ref="AB152" r:id="rId275" display="https://www.jivi.com.ar/ficha.php?id=1392"/>
    <hyperlink ref="AB244" r:id="rId276" display="https://www.jivi.com.ar/ficha.php?id=1230"/>
    <hyperlink ref="AB354" r:id="rId277" display="https://www.jivi.com.ar/ficha.php?id=1110"/>
    <hyperlink ref="AB357" r:id="rId278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3" r:id="rId279" display="https://www.jivi.com.ar/ficha.php?id=477"/>
    <hyperlink ref="AB95" r:id="rId280" display="https://www.jivi.com.ar/ficha.php?id=376"/>
    <hyperlink ref="AB13" r:id="rId281" display="https://www.jivi.com.ar/ficha.php?id=1402"/>
    <hyperlink ref="AB502" r:id="rId282" display="https://www.jivi.com.ar/ficha.php?id=1393"/>
    <hyperlink ref="AB16" r:id="rId283" display="https://www.jivi.com.ar/ficha.php?id=1405"/>
    <hyperlink ref="AB121" r:id="rId284" display="https://www.jivi.com.ar/ficha.php?id=1413"/>
    <hyperlink ref="AB164" r:id="rId285" display="https://www.jivi.com.ar/ficha.php?id=1416"/>
    <hyperlink ref="AB165" r:id="rId286" display="https://www.jivi.com.ar/ficha.php?id=1415"/>
    <hyperlink ref="AF11:AH11" location="'Artículos Publicitarios'!A260" display="IR A PAGINA 4"/>
    <hyperlink ref="AB304" r:id="rId287" display="https://www.jivi.com.ar/ficha.php?id=1356"/>
    <hyperlink ref="AB202" r:id="rId288" display="https://www.jivi.com.ar/ficha.php?id=1084"/>
    <hyperlink ref="AB301" r:id="rId289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51" display="IR A DELANTALES"/>
    <hyperlink ref="AB628" r:id="rId290"/>
    <hyperlink ref="AB631" r:id="rId291"/>
    <hyperlink ref="AB261" r:id="rId292" display="https://www.jivi.com.ar/ficha.php?id=1281"/>
    <hyperlink ref="AB623" r:id="rId293"/>
    <hyperlink ref="AB284" r:id="rId294" display="https://www.jivi.com.ar/ficha.php?id=1421"/>
    <hyperlink ref="AB287" r:id="rId295" display="https://www.jivi.com.ar/ficha.php?id=1422"/>
    <hyperlink ref="AB288" r:id="rId296" display="https://www.jivi.com.ar/ficha.php?id=1423"/>
    <hyperlink ref="AB299" r:id="rId297" display="https://www.jivi.com.ar/ficha.php?id=1425"/>
    <hyperlink ref="AB300" r:id="rId298" display="https://www.jivi.com.ar/ficha.php?id=1426"/>
    <hyperlink ref="AB411" r:id="rId299" display="https://www.jivi.com.ar/ficha.php?id=1429"/>
    <hyperlink ref="AB444" r:id="rId300"/>
    <hyperlink ref="AB446" r:id="rId301"/>
    <hyperlink ref="AB15" r:id="rId302" display="https://www.jivi.com.ar/ficha.php?id=1433"/>
    <hyperlink ref="AB496" r:id="rId303" display="https://www.jivi.com.ar/ficha.php?id=1436"/>
    <hyperlink ref="AB497" r:id="rId304" display="https://www.jivi.com.ar/ficha.php?id=1437"/>
    <hyperlink ref="AB498" r:id="rId305"/>
    <hyperlink ref="AB500" r:id="rId306" display="https://www.jivi.com.ar/ficha.php?id=1439"/>
    <hyperlink ref="AB286" r:id="rId307" display="https://www.jivi.com.ar/ficha.php?id=1442"/>
    <hyperlink ref="AB298" r:id="rId308" display="https://www.jivi.com.ar/ficha.php?id=1427"/>
    <hyperlink ref="AB606" r:id="rId309"/>
    <hyperlink ref="AB349" r:id="rId310" display="https://www.jivi.com.ar/ficha.php?id=1056"/>
    <hyperlink ref="AB243" r:id="rId311" display="https://www.jivi.com.ar/ficha.php?id=1334"/>
    <hyperlink ref="AB241" r:id="rId312" display="https://www.jivi.com.ar/ficha.php?id=1335"/>
    <hyperlink ref="AB295" r:id="rId313" display="https://www.jivi.com.ar/ficha.php?id=1443"/>
    <hyperlink ref="AB302" r:id="rId314" display="https://www.jivi.com.ar/ficha.php?id=1354"/>
    <hyperlink ref="AB294" r:id="rId315" display="https://www.jivi.com.ar/ficha.php?id=1446"/>
    <hyperlink ref="AB297" r:id="rId316" display="https://www.jivi.com.ar/ficha.php?id=1448"/>
    <hyperlink ref="AB306" r:id="rId317" display="https://www.jivi.com.ar/ficha.php?id=1449"/>
    <hyperlink ref="AB305" r:id="rId318" display="https://www.jivi.com.ar/ficha.php?id=1450"/>
    <hyperlink ref="AB185" r:id="rId319"/>
    <hyperlink ref="AB193" r:id="rId320" display="https://www.jivi.com.ar/ficha.php?id=1064"/>
    <hyperlink ref="AB192" r:id="rId321" display="https://www.jivi.com.ar/ficha.php?id=1063"/>
    <hyperlink ref="AB436" r:id="rId322"/>
    <hyperlink ref="AB626" r:id="rId323"/>
    <hyperlink ref="AB381" r:id="rId324" display="https://www.jivi.com.ar/ficha.php?id=1463"/>
    <hyperlink ref="AB382" r:id="rId325" display="https://www.jivi.com.ar/ficha.php?id=1464"/>
    <hyperlink ref="AB383" r:id="rId326" display="https://www.jivi.com.ar/ficha.php?id=1465"/>
    <hyperlink ref="AB402" r:id="rId327" display="https://www.jivi.com.ar/ficha.php?id=1466"/>
    <hyperlink ref="AB503" r:id="rId328" display="https://www.jivi.com.ar/ficha.php?id=1467"/>
    <hyperlink ref="AB501" r:id="rId329" display="https://www.jivi.com.ar/ficha.php?id=1468"/>
    <hyperlink ref="AB507" r:id="rId330" display="https://www.jivi.com.ar/ficha.php?id=1470"/>
    <hyperlink ref="AB511" r:id="rId331"/>
    <hyperlink ref="AB512" r:id="rId332" display="https://www.jivi.com.ar/ficha.php?id=1472"/>
    <hyperlink ref="AB456" r:id="rId333"/>
    <hyperlink ref="AB573" r:id="rId334"/>
    <hyperlink ref="AB574" r:id="rId335"/>
    <hyperlink ref="AB572" r:id="rId336"/>
    <hyperlink ref="AB206" r:id="rId337" display="https://www.jivi.com.ar/ficha.php?id=1478"/>
    <hyperlink ref="AB207" r:id="rId338"/>
    <hyperlink ref="AB208" r:id="rId339"/>
    <hyperlink ref="AB201" r:id="rId340" display="https://www.jivi.com.ar/ficha.php?id=1481"/>
    <hyperlink ref="AB217" r:id="rId341" display="https://www.jivi.com.ar/ficha.php?id=1483"/>
    <hyperlink ref="AB234" r:id="rId342" display="https://www.jivi.com.ar/ficha.php?id=1486"/>
    <hyperlink ref="AB235" r:id="rId343" display="https://www.jivi.com.ar/ficha.php?id=1488"/>
    <hyperlink ref="AB255" r:id="rId344" display="https://www.jivi.com.ar/ficha.php?id=1492"/>
    <hyperlink ref="AB256" r:id="rId345" display="https://www.jivi.com.ar/ficha.php?id=1493"/>
    <hyperlink ref="AB257" r:id="rId346" display="https://www.jivi.com.ar/ficha.php?id=1494"/>
    <hyperlink ref="AB258" r:id="rId347"/>
    <hyperlink ref="AB269" r:id="rId348" display="https://www.jivi.com.ar/ficha.php?id=1496"/>
    <hyperlink ref="AB270" r:id="rId349" display="https://www.jivi.com.ar/ficha.php?id=1497"/>
    <hyperlink ref="AB272" r:id="rId350" display="httphttps://www.jivi.com.ar/ficha.php?id=1498"/>
    <hyperlink ref="AB273" r:id="rId351" display="https://www.jivi.com.ar/ficha.php?id=1499"/>
    <hyperlink ref="AB274" r:id="rId352" display="https://www.jivi.com.ar/ficha.php?id=1500"/>
    <hyperlink ref="AB37" r:id="rId353"/>
    <hyperlink ref="AB283" r:id="rId354" display="https://www.jivi.com.ar/ficha.php?id=1503"/>
    <hyperlink ref="AB39" r:id="rId355"/>
    <hyperlink ref="AB36" r:id="rId356"/>
    <hyperlink ref="AB38" r:id="rId357"/>
    <hyperlink ref="AB40" r:id="rId358"/>
    <hyperlink ref="AB41" r:id="rId359"/>
    <hyperlink ref="AB495" r:id="rId360" display="https://www.jivi.com.ar/ficha.php?id=1509"/>
    <hyperlink ref="AB469" r:id="rId361"/>
    <hyperlink ref="AB466" r:id="rId362"/>
    <hyperlink ref="AB282" r:id="rId363" display="https://www.jivi.com.ar/ficha.php?id=1515"/>
    <hyperlink ref="AB70" r:id="rId364"/>
    <hyperlink ref="AB72" r:id="rId365"/>
    <hyperlink ref="AB377" r:id="rId366" display="https://www.jivi.com.ar/ficha.php?id=1523"/>
    <hyperlink ref="AB624" r:id="rId367"/>
    <hyperlink ref="AB281" r:id="rId368" display="https://www.jivi.com.ar/ficha.php?id=1524"/>
    <hyperlink ref="AB285" r:id="rId369" display="https://www.jivi.com.ar/ficha.php?id=1527"/>
    <hyperlink ref="AB228" r:id="rId370" display="https://www.jivi.com.ar/ficha.php?id=1532"/>
    <hyperlink ref="AB233" r:id="rId371" display="https://www.jivi.com.ar/ficha.php?id=1534"/>
    <hyperlink ref="AB615" r:id="rId372" display="https://www.jivi.com.ar/ficha.php?id=1535"/>
    <hyperlink ref="AB616" r:id="rId373" display="https://www.jivi.com.ar/ficha.php?id=1536"/>
    <hyperlink ref="AB219" r:id="rId374" display="https://www.jivi.com.ar/ficha.php?id=1539"/>
    <hyperlink ref="AB126" r:id="rId375" display="https://www.jivi.com.ar/ficha.php?id=1540"/>
    <hyperlink ref="AB509" r:id="rId376" display="https://www.jivi.com.ar/ficha.php?id=1541"/>
    <hyperlink ref="AB510" r:id="rId377" display="https://www.jivi.com.ar/ficha.php?id=1542"/>
    <hyperlink ref="AB242" r:id="rId378" display="https://www.jivi.com.ar/ficha.php?id=1363"/>
    <hyperlink ref="AB225" r:id="rId379" display="https://www.jivi.com.ar/ficha.php?id=1545"/>
    <hyperlink ref="AB356" r:id="rId380"/>
    <hyperlink ref="AB355" r:id="rId381"/>
    <hyperlink ref="AB336" r:id="rId382" display="https://www.jivi.com.ar/ficha.php?id=981"/>
    <hyperlink ref="AB378" r:id="rId383" display="https://www.jivi.com.ar/ficha.php?id=1548"/>
    <hyperlink ref="AB379" r:id="rId384" display="https://www.jivi.com.ar/ficha.php?id=1549"/>
    <hyperlink ref="AB422" r:id="rId385"/>
    <hyperlink ref="AB410" r:id="rId386" display="https://www.jivi.com.ar/ficha.php?id=1552"/>
    <hyperlink ref="AB351" r:id="rId387" display="https://www.jivi.com.ar/ficha.php?id=1311"/>
    <hyperlink ref="AB141" r:id="rId388" display="https://www.jivi.com.ar/ficha.php?id=1553"/>
    <hyperlink ref="AB137" r:id="rId389" display="https://www.jivi.com.ar/ficha.php?id=1554"/>
    <hyperlink ref="AB220" r:id="rId390" display="https://www.jivi.com.ar/ficha.php?id=1397"/>
    <hyperlink ref="AB542" r:id="rId391" display="https://www.jivi.com.ar/ficha.php?id=1555"/>
    <hyperlink ref="AB59" r:id="rId392" display="https://www.jivi.com.ar/ficha.php?id=1557"/>
    <hyperlink ref="AB629" r:id="rId393"/>
    <hyperlink ref="AB218" r:id="rId394" display="https://www.jivi.com.ar/ficha.php?id=518"/>
    <hyperlink ref="AB186" r:id="rId395" display="https://www.jivi.com.ar/ficha.php?id=1561"/>
    <hyperlink ref="AB10" r:id="rId396" display="https://www.jivi.com.ar/ficha.php?id=26"/>
    <hyperlink ref="AB222" r:id="rId397" display="https://www.jivi.com.ar/ficha.php?id=1066"/>
    <hyperlink ref="AB223" r:id="rId398" display="https://www.jivi.com.ar/ficha.php?id=1562"/>
    <hyperlink ref="AB418" r:id="rId399" display="https://www.jivi.com.ar/ficha.php?id=1563"/>
    <hyperlink ref="AB153" r:id="rId400" display="https://www.jivi.com.ar/ficha.php?id=1414"/>
    <hyperlink ref="AF15:AH15" location="'Artículos Publicitarios'!A578" display="IR A PAGINA 8"/>
    <hyperlink ref="AB17" r:id="rId401" display="https://www.jivi.com.ar/ficha.php?id=790"/>
    <hyperlink ref="AB292" r:id="rId402" display="https://www.jivi.com.ar/ficha.php?id=1407"/>
    <hyperlink ref="AB291" r:id="rId403" display="https://www.jivi.com.ar/ficha.php?id=1409"/>
    <hyperlink ref="AB293" r:id="rId404" display="https://www.jivi.com.ar/ficha.php?id=1408"/>
    <hyperlink ref="AB279" r:id="rId405" display="https://www.jivi.com.ar/ficha.php?id=1564"/>
    <hyperlink ref="AB358" r:id="rId406" display="https://www.jivi.com.ar/ficha.php?id=1565"/>
    <hyperlink ref="AB29" r:id="rId407" display="https://www.jivi.com.ar/ficha.php?id=1434"/>
    <hyperlink ref="AF29:AI29" location="'Artículos Publicitarios'!A280" display="IR A LLAVEROS ALTA FRECUENCIA"/>
    <hyperlink ref="AF29:AJ29" location="'Artículos Publicitarios'!A295" display="IR A TABLAS DE MADERA"/>
    <hyperlink ref="AB384" r:id="rId408" display="https://www.jivi.com.ar/ficha.php?id=1567"/>
    <hyperlink ref="AB45" r:id="rId409"/>
    <hyperlink ref="AB46" r:id="rId410"/>
    <hyperlink ref="AB47" r:id="rId411"/>
    <hyperlink ref="AB124" r:id="rId412" display="https://www.jivi.com.ar/ficha.php?id=1571"/>
    <hyperlink ref="AB200" r:id="rId413"/>
    <hyperlink ref="AB210" r:id="rId414" display="https://www.jivi.com.ar/ficha.php?id=218"/>
    <hyperlink ref="AB380" r:id="rId415" display="https://www.jivi.com.ar/ficha.php?id=1572"/>
    <hyperlink ref="AB280" r:id="rId416" display="https://www.jivi.com.ar/ficha.php?id=1573"/>
    <hyperlink ref="AB519" r:id="rId417" display="https://www.jivi.com.ar/ficha.php?id=1294"/>
    <hyperlink ref="AF30:AJ30" location="'Artículos Publicitarios'!A530" display="IR A MOCHILAS"/>
    <hyperlink ref="AB524" r:id="rId418" display="https://www.jivi.com.ar/ficha.php?id=1271"/>
    <hyperlink ref="AB523" r:id="rId419" display="https://www.jivi.com.ar/ficha.php?id=1296"/>
    <hyperlink ref="AB525" r:id="rId420" display="https://www.jivi.com.ar/ficha.php?id=1139"/>
    <hyperlink ref="AB521" r:id="rId421" display="https://www.jivi.com.ar/ficha.php?id=1249"/>
    <hyperlink ref="AB552" r:id="rId422" display="https://www.jivi.com.ar/ficha.php?id=1574"/>
    <hyperlink ref="AB522" r:id="rId423" display="https://www.jivi.com.ar/ficha.php?id=1576"/>
    <hyperlink ref="AB527" r:id="rId424" display="https://www.jivi.com.ar/ficha.php?id=1577"/>
    <hyperlink ref="AB529" r:id="rId425" display="https://www.jivi.com.ar/ficha.php?id=1580"/>
    <hyperlink ref="AB530" r:id="rId426" display="https://www.jivi.com.ar/ficha.php?id=1581"/>
    <hyperlink ref="AB534" r:id="rId427" display="https://www.jivi.com.ar/ficha.php?id=1583"/>
    <hyperlink ref="AB535" r:id="rId428" display="https://www.jivi.com.ar/ficha.php?id=1584"/>
    <hyperlink ref="AB537" r:id="rId429" display="https://www.jivi.com.ar/ficha.php?id=1586"/>
    <hyperlink ref="AB539" r:id="rId430" display="https://www.jivi.com.ar/ficha.php?id=1587"/>
    <hyperlink ref="AF31:AJ31" location="'Artículos Publicitarios'!A251" display="IR A CUADERNOS"/>
    <hyperlink ref="AB245" r:id="rId431" display="https://www.jivi.com.ar/ficha.php?id=1221"/>
    <hyperlink ref="AB252" r:id="rId432" display="https://www.jivi.com.ar/ficha.php?id=1588"/>
    <hyperlink ref="AB254" r:id="rId433" display="https://www.jivi.com.ar/ficha.php?id=1411"/>
    <hyperlink ref="AB490" r:id="rId434"/>
    <hyperlink ref="AB491" r:id="rId435" display="https://www.jivi.com.ar/ficha.php?id=1590"/>
    <hyperlink ref="AB492" r:id="rId436"/>
    <hyperlink ref="AB493" r:id="rId437" display="https://www.jivi.com.ar/ficha.php?id=1592"/>
    <hyperlink ref="AB543" r:id="rId438" display="https://www.jivi.com.ar/ficha.php?id=1593"/>
    <hyperlink ref="AB278" r:id="rId439" display="https://www.jivi.com.ar/ficha.php?id=1594"/>
    <hyperlink ref="AB277" r:id="rId440" display="https://www.jivi.com.ar/ficha.php?id=1595"/>
    <hyperlink ref="AB405" r:id="rId441" display="https://www.jivi.com.ar/ficha.php?id=1596"/>
    <hyperlink ref="AB544" r:id="rId442" display="https://www.jivi.com.ar/ficha.php?id=1598"/>
    <hyperlink ref="AB536" r:id="rId443" display="https://www.jivi.com.ar/ficha.php?id=1599"/>
    <hyperlink ref="AB545" r:id="rId444" display="https://www.jivi.com.ar/ficha.php?id=1602"/>
    <hyperlink ref="AB546" r:id="rId445" display="https://www.jivi.com.ar/ficha.php?id=1603"/>
    <hyperlink ref="AB62" r:id="rId446"/>
    <hyperlink ref="AB547" r:id="rId447" display="https://www.jivi.com.ar/ficha.php?id=1604"/>
    <hyperlink ref="AB548" r:id="rId448" display="https://www.jivi.com.ar/ficha.php?id=1606"/>
    <hyperlink ref="AB296" r:id="rId449" display="https://www.jivi.com.ar/ficha.php?id=1424"/>
    <hyperlink ref="AB172" r:id="rId450"/>
    <hyperlink ref="AB232" r:id="rId451" display="https://www.jivi.com.ar/ficha.php?id=1520"/>
    <hyperlink ref="AB231" r:id="rId452" display="https://www.jivi.com.ar/ficha.php?id=1459"/>
    <hyperlink ref="AB230" r:id="rId453" display="https://www.jivi.com.ar/ficha.php?id=1608"/>
    <hyperlink ref="AB229" r:id="rId454" display="https://www.jivi.com.ar/ficha.php?id=1609"/>
    <hyperlink ref="AB246" r:id="rId455" display="https://www.jivi.com.ar/ficha.php?id=1274"/>
    <hyperlink ref="AB408" r:id="rId456" display="https://www.jivi.com.ar/ficha.php?id=1610"/>
    <hyperlink ref="AB538" r:id="rId457" display="https://www.jivi.com.ar/ficha.php?id=1396"/>
    <hyperlink ref="AB533" r:id="rId458" display="https://www.jivi.com.ar/ficha.php?id=1611"/>
    <hyperlink ref="AB532" r:id="rId459" display="https://www.jivi.com.ar/ficha.php?id=1612"/>
    <hyperlink ref="AB531" r:id="rId460" display="https://www.jivi.com.ar/ficha.php?id=1613"/>
    <hyperlink ref="AB195" r:id="rId461" display="https://www.jivi.com.ar/ficha.php?id=1614"/>
    <hyperlink ref="AB194" r:id="rId462" display="https://www.jivi.com.ar/ficha.php?id=1452"/>
    <hyperlink ref="AB211" r:id="rId463" display="https://www.jivi.com.ar/ficha.php?id=608"/>
    <hyperlink ref="AB362" r:id="rId464" display="https://www.jivi.com.ar/ficha.php?id=1615"/>
    <hyperlink ref="AB554" r:id="rId465" display="https://www.jivi.com.ar/ficha.php?id=1616"/>
    <hyperlink ref="AB555" r:id="rId466" display="https://www.jivi.com.ar/ficha.php?id=1617"/>
    <hyperlink ref="AB556" r:id="rId467" display="https://www.jivi.com.ar/ficha.php?id=1618"/>
    <hyperlink ref="AB488" r:id="rId468"/>
    <hyperlink ref="AB489" r:id="rId469" display="https://www.jivi.com.ar/ficha.php?id=1620"/>
    <hyperlink ref="AB303" r:id="rId470" display="https://www.jivi.com.ar/ficha.php?id=1355"/>
    <hyperlink ref="AB18" r:id="rId471" display="https://www.jivi.com.ar/ficha.php?id=998"/>
    <hyperlink ref="AB504" r:id="rId472" display="https://www.jivi.com.ar/ficha.php?id=1204"/>
    <hyperlink ref="AB505" r:id="rId473"/>
    <hyperlink ref="AB144" r:id="rId474" display="https://www.jivi.com.ar/ficha.php?id=139"/>
    <hyperlink ref="AB334" r:id="rId475"/>
    <hyperlink ref="AB468" r:id="rId476"/>
    <hyperlink ref="AB597" r:id="rId477"/>
    <hyperlink ref="AB600" r:id="rId478"/>
    <hyperlink ref="AB633" r:id="rId479"/>
    <hyperlink ref="AB634" r:id="rId480"/>
    <hyperlink ref="AB635" r:id="rId481"/>
    <hyperlink ref="AB360" r:id="rId482" display="https://www.jivi.com.ar/ficha.php?id=1641"/>
    <hyperlink ref="AB427" r:id="rId483"/>
    <hyperlink ref="AB426" r:id="rId484"/>
    <hyperlink ref="AB428" r:id="rId485"/>
    <hyperlink ref="AB429" r:id="rId486"/>
    <hyperlink ref="AB430" r:id="rId487"/>
    <hyperlink ref="AB431" r:id="rId488"/>
    <hyperlink ref="AB621" r:id="rId489"/>
    <hyperlink ref="AB424" r:id="rId490"/>
    <hyperlink ref="AB425" r:id="rId491"/>
    <hyperlink ref="AB423" r:id="rId492"/>
    <hyperlink ref="AB163" r:id="rId493" display="https://www.jivi.com.ar/ficha.php?id=1660"/>
    <hyperlink ref="AB143" r:id="rId494" display="https://www.jivi.com.ar/ficha.php?id=1663"/>
    <hyperlink ref="AB101" r:id="rId495" display="https://www.jivi.com.ar/ficha.php?id=440"/>
    <hyperlink ref="AB622" r:id="rId496"/>
    <hyperlink ref="AB627" r:id="rId497"/>
    <hyperlink ref="AB632" r:id="rId498"/>
    <hyperlink ref="AB494" r:id="rId499" display="https://www.jivi.com.ar/ficha.php?id=1684"/>
    <hyperlink ref="AB363" r:id="rId500" display="https://www.jivi.com.ar/ficha.php?id=1272"/>
    <hyperlink ref="AB361" r:id="rId501" display="https://www.jivi.com.ar/ficha.php?id=1687"/>
    <hyperlink ref="AB359" r:id="rId502" display="https://www.jivi.com.ar/ficha.php?id=1672"/>
    <hyperlink ref="AB540" r:id="rId503" display="https://www.jivi.com.ar/ficha.php?id=1690"/>
    <hyperlink ref="AB487" r:id="rId504" display="https://www.jivi.com.ar/ficha.php?id=1691"/>
    <hyperlink ref="AB409" r:id="rId505" display="https://www.jivi.com.ar/ficha.php?id=1692"/>
    <hyperlink ref="AB499" r:id="rId506" display="https://www.jivi.com.ar/ficha.php?id=1438"/>
    <hyperlink ref="AF480:AH480" location="'Artículos Publicitarios'!A3" display="IR A PAGINA 1"/>
    <hyperlink ref="AF517:AH517" location="'Artículos Publicitarios'!A3" display="IR A PAGINA 1"/>
    <hyperlink ref="AB406" r:id="rId507" display="https://www.jivi.com.ar/ficha.php?id=1695"/>
    <hyperlink ref="AB30" r:id="rId508" display="https://www.jivi.com.ar/ficha.php?id=36"/>
    <hyperlink ref="AB485" r:id="rId509"/>
    <hyperlink ref="AB486" r:id="rId510" display="https://www.jivi.com.ar/ficha.php?id=1698"/>
    <hyperlink ref="AB407" r:id="rId511" display="https://www.jivi.com.ar/ficha.php?id=1699"/>
    <hyperlink ref="AB276" r:id="rId512" display="https://www.jivi.com.ar/ficha.php?id=1700"/>
    <hyperlink ref="AB470" r:id="rId513"/>
    <hyperlink ref="AB376" r:id="rId514" display="https://www.jivi.com.ar/ficha.php?id=1462"/>
    <hyperlink ref="AB227" r:id="rId515" display="https://www.jivi.com.ar/ficha.php?id=1531"/>
    <hyperlink ref="AB226" r:id="rId516" display="https://www.jivi.com.ar/ficha.php?id=1528"/>
    <hyperlink ref="AB412" r:id="rId517"/>
    <hyperlink ref="AB342" r:id="rId518" display="https://www.jivi.com.ar/ficha.php?id=977"/>
    <hyperlink ref="AB401" r:id="rId519" display="https://www.jivi.com.ar/ficha.php?id=1457"/>
    <hyperlink ref="AB395" r:id="rId520" display="https://www.jivi.com.ar/ficha.php?id=1456"/>
    <hyperlink ref="AB343" r:id="rId521" display="https://www.jivi.com.ar/ficha.php?id=1707"/>
    <hyperlink ref="AB344" r:id="rId522" display="https://www.jivi.com.ar/ficha.php?id=1708"/>
    <hyperlink ref="AB388" r:id="rId523" display="https://www.jivi.com.ar/ficha.php?id=1720"/>
    <hyperlink ref="AB403" r:id="rId524"/>
    <hyperlink ref="AB484" r:id="rId525" display="https://www.jivi.com.ar/ficha.php?id=1722"/>
    <hyperlink ref="AB14" r:id="rId526" display="https://www.jivi.com.ar/ficha.php?id=1723"/>
    <hyperlink ref="AB183" r:id="rId527"/>
    <hyperlink ref="AB179" r:id="rId528"/>
    <hyperlink ref="AB181" r:id="rId529"/>
    <hyperlink ref="AB180" r:id="rId530"/>
    <hyperlink ref="AB182" r:id="rId531"/>
    <hyperlink ref="AB178" r:id="rId532"/>
    <hyperlink ref="AB601" r:id="rId533"/>
    <hyperlink ref="AB602" r:id="rId534"/>
    <hyperlink ref="AB598" r:id="rId535"/>
    <hyperlink ref="AB603" r:id="rId536"/>
    <hyperlink ref="AB247" r:id="rId537" display="https://www.jivi.com.ar/ficha.php?id=1077"/>
    <hyperlink ref="AB612" r:id="rId538"/>
    <hyperlink ref="AB613" r:id="rId539"/>
    <hyperlink ref="AB614" r:id="rId540"/>
    <hyperlink ref="AB611" r:id="rId541"/>
    <hyperlink ref="AB553" r:id="rId542" display="https://www.jivi.com.ar/ficha.php?id=1575"/>
    <hyperlink ref="AB549" r:id="rId543" display="https://www.jivi.com.ar/ficha.php?id=1743"/>
    <hyperlink ref="AB550" r:id="rId544" display="https://www.jivi.com.ar/ficha.php?id=1744"/>
    <hyperlink ref="AB551" r:id="rId545" display="https://www.jivi.com.ar/ficha.php?id=1745"/>
    <hyperlink ref="AB526" r:id="rId546" display="https://www.jivi.com.ar/ficha.php?id=1746"/>
    <hyperlink ref="AB592" r:id="rId547"/>
    <hyperlink ref="AB482" r:id="rId548"/>
    <hyperlink ref="AB483" r:id="rId549" display="https://www.jivi.com.ar/ficha.php?id=1749"/>
    <hyperlink ref="AB528" r:id="rId550" display="https://www.jivi.com.ar/ficha.php?id=1579"/>
    <hyperlink ref="AB520" r:id="rId551" display="https://www.jivi.com.ar/ficha.php?id=1294"/>
    <hyperlink ref="AB630" r:id="rId552"/>
    <hyperlink ref="AB404" r:id="rId553"/>
    <hyperlink ref="AB275" r:id="rId554" display="https://www.jivi.com.ar/ficha.php?id=1774"/>
    <hyperlink ref="AB290" r:id="rId555" display="https://www.jivi.com.ar/ficha.php?id=1775"/>
    <hyperlink ref="AB289" r:id="rId556" display="https://www.jivi.com.ar/ficha.php?id=1461"/>
    <hyperlink ref="AB541" r:id="rId557" display="https://www.jivi.com.ar/ficha.php?id=1776"/>
    <hyperlink ref="AB122" r:id="rId558" display="https://www.jivi.com.ar/ficha.php?id=1310"/>
    <hyperlink ref="AB445" r:id="rId559"/>
  </hyperlinks>
  <pageMargins left="0.27559055118110237" right="0.11811023622047245" top="0.19685039370078741" bottom="0.15748031496062992" header="0.11811023622047245" footer="0.15748031496062992"/>
  <pageSetup paperSize="5" orientation="portrait" copies="5" r:id="rId560"/>
  <headerFooter alignWithMargins="0"/>
  <cellWatches>
    <cellWatch r="X8"/>
  </cellWatches>
  <ignoredErrors>
    <ignoredError sqref="AB625:AB626 AB622:AB624 AB621 AB611:AB614 AB592" numberStoredAsText="1"/>
    <ignoredError sqref="X585 B27:E27 G28 C26:E26 A161 C161:E161 V598 A187:E187 A105:E106 H396:Q396 C28:E28 H56:I56 G57:I58 H604:L606 G184 G248 G250:G251 G420 B142:E142 C219:E219 G316:W316 R22:V24 J22:O24 J18:V18 V29 I26:K26 S31 U31 S39:S40 S36 U36 U39:U40 S42 U42 G55:I55 G142 G352:G357 H437 H438:M438 H439:M439 H440:M440 H441:M441 H442:M442 O432 H432:H434 J437:M437 S432 U432 Q432 S48 U48 G433:G436 F471:T471 G219 G413:G414 W467 H16:H17 G161:G162 G336:G338 Q341 R341:W341 P341 G241 G273:M273 F202:W202 G194:I194 I176:M176 G187 G177:K177 G221 V92:W94 F82:I89 F91:I91 F90:I90 Q107 I27:V28 J20:T21 I29:T29 I13 I59:I61 I65:I66 U107 S107 H126 J81:J91 G294 G548 G196:I196 F210:W210 B244:E244 I308 W309 G331:J333 W513:W514 H367:J367 I173:M173 I174:M174 I175:M175 G243:G244 H274:M274 H321:J330 G277 H20:H21 G96:G100 H335:J339 G81:I81 G368:J371 G102:G104 W498 G105:G106 I30 H137:V137 G365:J366 G364 K321:K339 G411 F463:V463 L321:V322 K350:V350 H349:U349 G298:G302 G279:I280 H307:I307 G269:M269 G270:M270 G271:M271 G272:M272 N269:V273 H97:W98 N96:W96 H95:W95 H96:M96 H99:K99 J10:V10 L30:V30 M99:W99 W177 L177:V183 H184:V187 G204:V209 G215:G217 G212:W212 P213:W213 I211:W211 G214:W214 X201:X203 P203:W203 G203:N203 H198:M198 G199:M200 F198:G198 F201:V201 G197:V197 N198:V198 J194:V196 G253:G261 G268:V268 G347:V348 W345:W346 H340:W340 H341:N341 G372:K375 G406:G407 G565:V565 G555:G556 H558 H435:V436 H470:V470 K376:V376 H491:V495 G340:G341 K342 G227:G231 H413:V416 J412:V412 H412 J12:V13 P11:X11 H248:V253 H215:V219 K365:K371 L365:V375 W401 B404:E404 B403:E403 H401:V402 F469:V469 G468:V468 G345:K346 L342:V346 H305:H306 G557:V557 G125 J59:W62 J65:V68 G69:V69 H221:V230 H220:K220 T220:V220 H278:I278 L278:V280 L324:V339 L323:O323 G484:G495 G377:V387 H388:W388 H351:V357 G566:V566 G563:V564 H14:V14 H291:V292 G304:V304 H294:V299 H419:V421 G417:M418 P417:V418 G498 H508:V514 H507:U507 H529:V530 L531:V531 H532:V537 G540:V540 J538:V539 H554:V556 G574:V574 H567:W569 G603 H241:V246 H247:W247 J305:V309 F624:T626 F617:V623 G611:W611 G552:V552 H553:W553 H136:R136 T136:V136 H255:V261 H254:S254 F612:V614 H600:V603 H615:V616 H543:W549 H162:V166 H161:I161 G456:V459 H293:W293 H359:V363 G500:G512 H498:V506 H551:W551 H521:V524 H526:W526 K310:V310 H406:V411 H482:W490 G281:V283 G213:M213 H592:W592 H527:V527 H528:W528 F633:T635 N173:V176 H301:V303 H300:I300 H231:W231 G389:V392 H519:W519 W520 G631:T632 G627:T627 G628:I628 H630:T630 G629:T629 L628:T628 T199:V200 J55:V58 I64:W64 N109:V112 H100:W104 H140:V141 H138:O139 Q138:V139 J146:V146 G152 K161:S161 G455:V455 G464:V465 G461:V462 G449:V454 G403:V405 H496:W497 H275:V277 G291:G293 L63:V63 G284:V288 W290 H290:V290 H289:V289 G467:H467 I467:J467 K467:L467 M467:V467 J525:V525 W542 H542:V542 H541:V541 G570:V570 G571:V571 G572:V572 G573:V573 H105:W106 H152:V152 H153:W154 W152 M155 K155:L155 H155:J155 F155:G155 O155 Q155 S155 U155 W155 N155 V155 T155 R155 P155 H142:W142 H143:V143 H172:V172 V171 H171:U171 H169:V169 V167 V168 H167:U168 H170:I170 K170 M170 O170 Q170 S170 U170:V170 L170 T170 R170 P170 N170 W232 H232:V232 F233:V235 F232:G232 H311:V312 F313:V315 F311:G312 I393:V395 W125 J125:V125 I126 U123 S123 Q123 O123 M123 I123:K123 I122:V122 I124:V124 L123 N123 P123 R123 T123 V123 J126:V126 I125 H428:V428 H423:V423 H422:W422 H424:W427 W423 H429:W430 W428 G446 G444 G443 G447 F446 F447 H447:V447 F443 H443:V443 F444 H444:V444 H446:V446 H445:W445" formula="1"/>
    <ignoredError sqref="G350 G550 W550 G520" evalError="1"/>
    <ignoredError sqref="H350:J350 H550:V550 L520:V520" evalError="1" formula="1"/>
  </ignoredErrors>
  <drawing r:id="rId561"/>
  <legacyDrawing r:id="rId5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0"/>
    </row>
  </sheetData>
  <phoneticPr fontId="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2024-06-12T17:20:32Z</cp:lastPrinted>
  <dcterms:created xsi:type="dcterms:W3CDTF">2003-01-03T20:20:32Z</dcterms:created>
  <dcterms:modified xsi:type="dcterms:W3CDTF">2024-06-12T19:30:02Z</dcterms:modified>
</cp:coreProperties>
</file>