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3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37" i="1" l="1"/>
  <c r="F436" i="1"/>
  <c r="F496" i="1" l="1"/>
  <c r="J496" i="1" s="1"/>
  <c r="K496" i="1" s="1"/>
  <c r="F497" i="1"/>
  <c r="H497" i="1" s="1"/>
  <c r="I497" i="1" s="1"/>
  <c r="P496" i="1" l="1"/>
  <c r="Q496" i="1" s="1"/>
  <c r="T496" i="1"/>
  <c r="U496" i="1" s="1"/>
  <c r="L496" i="1"/>
  <c r="M496" i="1" s="1"/>
  <c r="N496" i="1"/>
  <c r="O496" i="1" s="1"/>
  <c r="J497" i="1"/>
  <c r="K497" i="1" s="1"/>
  <c r="V497" i="1"/>
  <c r="W497" i="1" s="1"/>
  <c r="L497" i="1"/>
  <c r="M497" i="1" s="1"/>
  <c r="P497" i="1"/>
  <c r="Q497" i="1" s="1"/>
  <c r="N497" i="1"/>
  <c r="O497" i="1" s="1"/>
  <c r="T497" i="1"/>
  <c r="U497" i="1" s="1"/>
  <c r="R497" i="1"/>
  <c r="S497" i="1" s="1"/>
  <c r="G497" i="1"/>
  <c r="R496" i="1"/>
  <c r="S496" i="1" s="1"/>
  <c r="V496" i="1"/>
  <c r="W496" i="1" s="1"/>
  <c r="G496" i="1"/>
  <c r="H496" i="1"/>
  <c r="I496" i="1" s="1"/>
  <c r="F379" i="1"/>
  <c r="F406" i="1" l="1"/>
  <c r="F407" i="1"/>
  <c r="T407" i="1" s="1"/>
  <c r="U407" i="1" s="1"/>
  <c r="L407" i="1" l="1"/>
  <c r="M407" i="1" s="1"/>
  <c r="J407" i="1"/>
  <c r="K407" i="1" s="1"/>
  <c r="N407" i="1"/>
  <c r="O407" i="1" s="1"/>
  <c r="P407" i="1"/>
  <c r="Q407" i="1" s="1"/>
  <c r="V407" i="1"/>
  <c r="W407" i="1" s="1"/>
  <c r="R407" i="1"/>
  <c r="S407" i="1" s="1"/>
  <c r="G407" i="1"/>
  <c r="H407" i="1"/>
  <c r="I407" i="1" s="1"/>
  <c r="J161" i="1" l="1"/>
  <c r="P161" i="1"/>
  <c r="N161" i="1"/>
  <c r="J149" i="1"/>
  <c r="L149" i="1"/>
  <c r="N149" i="1"/>
  <c r="P149" i="1"/>
  <c r="R149" i="1"/>
  <c r="T149" i="1"/>
  <c r="V149" i="1"/>
  <c r="V60" i="1"/>
  <c r="V107" i="1"/>
  <c r="T107" i="1"/>
  <c r="R107" i="1"/>
  <c r="P107" i="1"/>
  <c r="N107" i="1"/>
  <c r="L107" i="1"/>
  <c r="R113" i="1"/>
  <c r="S113" i="1" s="1"/>
  <c r="R112" i="1"/>
  <c r="P113" i="1"/>
  <c r="Q113" i="1" s="1"/>
  <c r="P112" i="1"/>
  <c r="N112" i="1"/>
  <c r="N113" i="1"/>
  <c r="T113" i="1"/>
  <c r="U113" i="1" s="1"/>
  <c r="V113" i="1"/>
  <c r="V112" i="1"/>
  <c r="T112" i="1"/>
  <c r="V64" i="1"/>
  <c r="T64" i="1"/>
  <c r="R64" i="1"/>
  <c r="P64" i="1"/>
  <c r="N64" i="1"/>
  <c r="L64" i="1"/>
  <c r="T60" i="1"/>
  <c r="R60" i="1"/>
  <c r="P60" i="1"/>
  <c r="V59" i="1"/>
  <c r="V58" i="1"/>
  <c r="V57" i="1"/>
  <c r="V56" i="1"/>
  <c r="T59" i="1"/>
  <c r="T58" i="1"/>
  <c r="T57" i="1"/>
  <c r="T56" i="1"/>
  <c r="R59" i="1"/>
  <c r="R58" i="1"/>
  <c r="R57" i="1"/>
  <c r="R56" i="1"/>
  <c r="P59" i="1"/>
  <c r="P58" i="1"/>
  <c r="P57" i="1"/>
  <c r="P56" i="1"/>
  <c r="N59" i="1"/>
  <c r="N58" i="1"/>
  <c r="N57" i="1"/>
  <c r="N56" i="1"/>
  <c r="L57" i="1"/>
  <c r="L56" i="1"/>
  <c r="L58" i="1"/>
  <c r="L59" i="1"/>
  <c r="H628" i="1" l="1"/>
  <c r="I628" i="1" s="1"/>
  <c r="H629" i="1"/>
  <c r="I629" i="1" s="1"/>
  <c r="T629" i="1" l="1"/>
  <c r="U629" i="1" s="1"/>
  <c r="R629" i="1"/>
  <c r="S629" i="1" s="1"/>
  <c r="P629" i="1"/>
  <c r="Q629" i="1" s="1"/>
  <c r="N629" i="1"/>
  <c r="O629" i="1" s="1"/>
  <c r="L629" i="1"/>
  <c r="M629" i="1" s="1"/>
  <c r="J629" i="1"/>
  <c r="K629" i="1" s="1"/>
  <c r="G629" i="1"/>
  <c r="F520" i="1" l="1"/>
  <c r="V520" i="1" s="1"/>
  <c r="W520" i="1" s="1"/>
  <c r="G520" i="1" l="1"/>
  <c r="L520" i="1"/>
  <c r="M520" i="1" s="1"/>
  <c r="N520" i="1"/>
  <c r="O520" i="1" s="1"/>
  <c r="P520" i="1"/>
  <c r="Q520" i="1" s="1"/>
  <c r="R520" i="1"/>
  <c r="S520" i="1" s="1"/>
  <c r="T520" i="1"/>
  <c r="U520" i="1" s="1"/>
  <c r="N177" i="1"/>
  <c r="O177" i="1" s="1"/>
  <c r="P177" i="1"/>
  <c r="Q177" i="1" s="1"/>
  <c r="R177" i="1"/>
  <c r="S177" i="1" s="1"/>
  <c r="T177" i="1"/>
  <c r="U177" i="1" s="1"/>
  <c r="V177" i="1"/>
  <c r="N178" i="1"/>
  <c r="O178" i="1" s="1"/>
  <c r="P178" i="1"/>
  <c r="Q178" i="1" s="1"/>
  <c r="R178" i="1"/>
  <c r="S178" i="1" s="1"/>
  <c r="T178" i="1"/>
  <c r="U178" i="1" s="1"/>
  <c r="V178" i="1"/>
  <c r="N179" i="1"/>
  <c r="O179" i="1" s="1"/>
  <c r="P179" i="1"/>
  <c r="Q179" i="1" s="1"/>
  <c r="R179" i="1"/>
  <c r="S179" i="1" s="1"/>
  <c r="T179" i="1"/>
  <c r="U179" i="1" s="1"/>
  <c r="V179" i="1"/>
  <c r="V176" i="1"/>
  <c r="T176" i="1"/>
  <c r="R176" i="1"/>
  <c r="P176" i="1"/>
  <c r="N176" i="1"/>
  <c r="F631" i="1" l="1"/>
  <c r="F491" i="1"/>
  <c r="F490" i="1"/>
  <c r="F528" i="1" l="1"/>
  <c r="P528" i="1" s="1"/>
  <c r="Q528" i="1" s="1"/>
  <c r="F529" i="1"/>
  <c r="F530" i="1"/>
  <c r="T528" i="1" l="1"/>
  <c r="U528" i="1" s="1"/>
  <c r="R528" i="1"/>
  <c r="S528" i="1" s="1"/>
  <c r="J528" i="1"/>
  <c r="K528" i="1" s="1"/>
  <c r="V528" i="1"/>
  <c r="W528" i="1" s="1"/>
  <c r="L528" i="1"/>
  <c r="M528" i="1" s="1"/>
  <c r="N528" i="1"/>
  <c r="O528" i="1" s="1"/>
  <c r="G528" i="1"/>
  <c r="H528" i="1"/>
  <c r="I528" i="1" s="1"/>
  <c r="F591" i="1"/>
  <c r="V591" i="1" l="1"/>
  <c r="W591" i="1" s="1"/>
  <c r="L591" i="1" l="1"/>
  <c r="M591" i="1" s="1"/>
  <c r="N591" i="1"/>
  <c r="O591" i="1" s="1"/>
  <c r="G591" i="1"/>
  <c r="P591" i="1"/>
  <c r="Q591" i="1" s="1"/>
  <c r="R591" i="1"/>
  <c r="S591" i="1" s="1"/>
  <c r="H591" i="1"/>
  <c r="I591" i="1" s="1"/>
  <c r="T591" i="1"/>
  <c r="U591" i="1" s="1"/>
  <c r="J591" i="1"/>
  <c r="K591" i="1" s="1"/>
  <c r="F483" i="1" l="1"/>
  <c r="T483" i="1" s="1"/>
  <c r="U483" i="1" s="1"/>
  <c r="F482" i="1"/>
  <c r="V482" i="1" s="1"/>
  <c r="W482" i="1" s="1"/>
  <c r="N482" i="1" l="1"/>
  <c r="O482" i="1" s="1"/>
  <c r="H482" i="1"/>
  <c r="I482" i="1" s="1"/>
  <c r="J482" i="1"/>
  <c r="K482" i="1" s="1"/>
  <c r="L482" i="1"/>
  <c r="M482" i="1" s="1"/>
  <c r="P482" i="1"/>
  <c r="Q482" i="1" s="1"/>
  <c r="R482" i="1"/>
  <c r="S482" i="1" s="1"/>
  <c r="T482" i="1"/>
  <c r="U482" i="1" s="1"/>
  <c r="V483" i="1"/>
  <c r="W483" i="1" s="1"/>
  <c r="L483" i="1"/>
  <c r="M483" i="1" s="1"/>
  <c r="N483" i="1"/>
  <c r="O483" i="1" s="1"/>
  <c r="J483" i="1"/>
  <c r="K483" i="1" s="1"/>
  <c r="P483" i="1"/>
  <c r="Q483" i="1" s="1"/>
  <c r="R483" i="1"/>
  <c r="S483" i="1" s="1"/>
  <c r="G483" i="1"/>
  <c r="H483" i="1"/>
  <c r="I483" i="1" s="1"/>
  <c r="G482" i="1"/>
  <c r="F526" i="1" l="1"/>
  <c r="G526" i="1" s="1"/>
  <c r="L526" i="1" l="1"/>
  <c r="M526" i="1" s="1"/>
  <c r="H526" i="1"/>
  <c r="I526" i="1" s="1"/>
  <c r="J526" i="1"/>
  <c r="K526" i="1" s="1"/>
  <c r="V526" i="1"/>
  <c r="W526" i="1" s="1"/>
  <c r="R526" i="1"/>
  <c r="S526" i="1" s="1"/>
  <c r="T526" i="1"/>
  <c r="U526" i="1" s="1"/>
  <c r="N526" i="1"/>
  <c r="O526" i="1" s="1"/>
  <c r="P526" i="1"/>
  <c r="Q526" i="1" s="1"/>
  <c r="F550" i="1" l="1"/>
  <c r="V550" i="1" s="1"/>
  <c r="W550" i="1" s="1"/>
  <c r="F549" i="1"/>
  <c r="V549" i="1" s="1"/>
  <c r="W549" i="1" s="1"/>
  <c r="F347" i="1"/>
  <c r="F221" i="1"/>
  <c r="F429" i="1"/>
  <c r="F438" i="1"/>
  <c r="N550" i="1" l="1"/>
  <c r="O550" i="1" s="1"/>
  <c r="P550" i="1"/>
  <c r="Q550" i="1" s="1"/>
  <c r="R550" i="1"/>
  <c r="S550" i="1" s="1"/>
  <c r="G550" i="1"/>
  <c r="L550" i="1"/>
  <c r="M550" i="1" s="1"/>
  <c r="H550" i="1"/>
  <c r="I550" i="1" s="1"/>
  <c r="T550" i="1"/>
  <c r="U550" i="1" s="1"/>
  <c r="J550" i="1"/>
  <c r="K550" i="1" s="1"/>
  <c r="L549" i="1"/>
  <c r="M549" i="1" s="1"/>
  <c r="H549" i="1"/>
  <c r="I549" i="1" s="1"/>
  <c r="J549" i="1"/>
  <c r="K549" i="1" s="1"/>
  <c r="N549" i="1"/>
  <c r="O549" i="1" s="1"/>
  <c r="P549" i="1"/>
  <c r="Q549" i="1" s="1"/>
  <c r="R549" i="1"/>
  <c r="S549" i="1" s="1"/>
  <c r="G549" i="1"/>
  <c r="T549" i="1"/>
  <c r="U549" i="1" s="1"/>
  <c r="F534" i="1" l="1"/>
  <c r="V615" i="1" l="1"/>
  <c r="W615" i="1" s="1"/>
  <c r="T615" i="1"/>
  <c r="U615" i="1" s="1"/>
  <c r="R615" i="1"/>
  <c r="S615" i="1" s="1"/>
  <c r="P615" i="1"/>
  <c r="Q615" i="1" s="1"/>
  <c r="N615" i="1"/>
  <c r="O615" i="1" s="1"/>
  <c r="L615" i="1"/>
  <c r="M615" i="1" s="1"/>
  <c r="J615" i="1"/>
  <c r="K615" i="1" s="1"/>
  <c r="H615" i="1"/>
  <c r="I615" i="1" s="1"/>
  <c r="V614" i="1"/>
  <c r="W614" i="1" s="1"/>
  <c r="T614" i="1"/>
  <c r="U614" i="1" s="1"/>
  <c r="R614" i="1"/>
  <c r="S614" i="1" s="1"/>
  <c r="P614" i="1"/>
  <c r="Q614" i="1" s="1"/>
  <c r="N614" i="1"/>
  <c r="O614" i="1" s="1"/>
  <c r="L614" i="1"/>
  <c r="M614" i="1" s="1"/>
  <c r="J614" i="1"/>
  <c r="H614" i="1"/>
  <c r="I614" i="1" s="1"/>
  <c r="F548" i="1" l="1"/>
  <c r="P548" i="1" s="1"/>
  <c r="Q548" i="1" s="1"/>
  <c r="F552" i="1"/>
  <c r="G552" i="1" s="1"/>
  <c r="G548" i="1" l="1"/>
  <c r="H548" i="1"/>
  <c r="I548" i="1" s="1"/>
  <c r="T548" i="1"/>
  <c r="U548" i="1" s="1"/>
  <c r="L548" i="1"/>
  <c r="M548" i="1" s="1"/>
  <c r="V548" i="1"/>
  <c r="W548" i="1" s="1"/>
  <c r="J548" i="1"/>
  <c r="K548" i="1" s="1"/>
  <c r="N548" i="1"/>
  <c r="O548" i="1" s="1"/>
  <c r="R548" i="1"/>
  <c r="S548" i="1" s="1"/>
  <c r="J552" i="1"/>
  <c r="K552" i="1" s="1"/>
  <c r="N552" i="1"/>
  <c r="O552" i="1" s="1"/>
  <c r="R552" i="1"/>
  <c r="S552" i="1" s="1"/>
  <c r="V552" i="1"/>
  <c r="W552" i="1" s="1"/>
  <c r="H552" i="1"/>
  <c r="I552" i="1" s="1"/>
  <c r="L552" i="1"/>
  <c r="M552" i="1" s="1"/>
  <c r="P552" i="1"/>
  <c r="Q552" i="1" s="1"/>
  <c r="T552" i="1"/>
  <c r="U552" i="1" s="1"/>
  <c r="F610" i="1"/>
  <c r="V610" i="1" s="1"/>
  <c r="F613" i="1"/>
  <c r="V613" i="1" s="1"/>
  <c r="W613" i="1" s="1"/>
  <c r="F612" i="1"/>
  <c r="V612" i="1" s="1"/>
  <c r="W612" i="1" s="1"/>
  <c r="F611" i="1"/>
  <c r="P610" i="1" l="1"/>
  <c r="Q610" i="1" s="1"/>
  <c r="H610" i="1"/>
  <c r="I610" i="1" s="1"/>
  <c r="R610" i="1"/>
  <c r="S610" i="1" s="1"/>
  <c r="J610" i="1"/>
  <c r="K610" i="1" s="1"/>
  <c r="T610" i="1"/>
  <c r="U610" i="1" s="1"/>
  <c r="N610" i="1"/>
  <c r="O610" i="1" s="1"/>
  <c r="L610" i="1"/>
  <c r="M610" i="1" s="1"/>
  <c r="G610" i="1"/>
  <c r="W610" i="1"/>
  <c r="L613" i="1"/>
  <c r="M613" i="1" s="1"/>
  <c r="P613" i="1"/>
  <c r="Q613" i="1" s="1"/>
  <c r="T613" i="1"/>
  <c r="U613" i="1" s="1"/>
  <c r="G613" i="1"/>
  <c r="J613" i="1"/>
  <c r="K613" i="1" s="1"/>
  <c r="N613" i="1"/>
  <c r="O613" i="1" s="1"/>
  <c r="R613" i="1"/>
  <c r="S613" i="1" s="1"/>
  <c r="L612" i="1"/>
  <c r="M612" i="1" s="1"/>
  <c r="P612" i="1"/>
  <c r="Q612" i="1" s="1"/>
  <c r="T612" i="1"/>
  <c r="U612" i="1" s="1"/>
  <c r="G612" i="1"/>
  <c r="J612" i="1"/>
  <c r="K612" i="1" s="1"/>
  <c r="N612" i="1"/>
  <c r="O612" i="1" s="1"/>
  <c r="R612" i="1"/>
  <c r="S612" i="1" s="1"/>
  <c r="V611" i="1" l="1"/>
  <c r="W611" i="1" s="1"/>
  <c r="R611" i="1"/>
  <c r="S611" i="1" s="1"/>
  <c r="N611" i="1"/>
  <c r="O611" i="1" s="1"/>
  <c r="J611" i="1"/>
  <c r="K611" i="1" s="1"/>
  <c r="G611" i="1"/>
  <c r="L611" i="1" l="1"/>
  <c r="M611" i="1" s="1"/>
  <c r="P611" i="1"/>
  <c r="Q611" i="1" s="1"/>
  <c r="T611" i="1"/>
  <c r="U611" i="1" s="1"/>
  <c r="F250" i="1"/>
  <c r="R250" i="1" l="1"/>
  <c r="S250" i="1" s="1"/>
  <c r="G250" i="1" l="1"/>
  <c r="H250" i="1"/>
  <c r="I250" i="1" s="1"/>
  <c r="T250" i="1"/>
  <c r="U250" i="1" s="1"/>
  <c r="J250" i="1"/>
  <c r="K250" i="1" s="1"/>
  <c r="N250" i="1"/>
  <c r="O250" i="1" s="1"/>
  <c r="L250" i="1"/>
  <c r="M250" i="1" s="1"/>
  <c r="V250" i="1"/>
  <c r="W250" i="1" s="1"/>
  <c r="P250" i="1"/>
  <c r="Q250" i="1" s="1"/>
  <c r="F602" i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H566" i="1"/>
  <c r="I566" i="1" s="1"/>
  <c r="G566" i="1"/>
  <c r="V568" i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G568" i="1"/>
  <c r="V567" i="1"/>
  <c r="W567" i="1" s="1"/>
  <c r="T567" i="1"/>
  <c r="U567" i="1" s="1"/>
  <c r="R567" i="1"/>
  <c r="S567" i="1" s="1"/>
  <c r="P567" i="1"/>
  <c r="Q567" i="1" s="1"/>
  <c r="N567" i="1"/>
  <c r="O567" i="1" s="1"/>
  <c r="L567" i="1"/>
  <c r="M567" i="1" s="1"/>
  <c r="J567" i="1"/>
  <c r="K567" i="1" s="1"/>
  <c r="H567" i="1"/>
  <c r="I567" i="1" s="1"/>
  <c r="G567" i="1"/>
  <c r="F601" i="1"/>
  <c r="F600" i="1"/>
  <c r="H600" i="1" s="1"/>
  <c r="I600" i="1" s="1"/>
  <c r="F621" i="1"/>
  <c r="F553" i="1"/>
  <c r="F551" i="1"/>
  <c r="F546" i="1"/>
  <c r="F545" i="1"/>
  <c r="F544" i="1"/>
  <c r="F543" i="1"/>
  <c r="F542" i="1"/>
  <c r="P602" i="1" l="1"/>
  <c r="Q602" i="1" s="1"/>
  <c r="H602" i="1"/>
  <c r="I602" i="1" s="1"/>
  <c r="G601" i="1"/>
  <c r="H601" i="1"/>
  <c r="I601" i="1" s="1"/>
  <c r="R600" i="1"/>
  <c r="S600" i="1" s="1"/>
  <c r="J600" i="1"/>
  <c r="K600" i="1" s="1"/>
  <c r="P600" i="1"/>
  <c r="Q600" i="1" s="1"/>
  <c r="T600" i="1"/>
  <c r="U600" i="1" s="1"/>
  <c r="V600" i="1"/>
  <c r="W600" i="1" s="1"/>
  <c r="L600" i="1"/>
  <c r="M600" i="1" s="1"/>
  <c r="N600" i="1"/>
  <c r="O600" i="1" s="1"/>
  <c r="R602" i="1"/>
  <c r="S602" i="1" s="1"/>
  <c r="V602" i="1"/>
  <c r="W602" i="1" s="1"/>
  <c r="T602" i="1"/>
  <c r="U602" i="1" s="1"/>
  <c r="J602" i="1"/>
  <c r="K602" i="1" s="1"/>
  <c r="L602" i="1"/>
  <c r="M602" i="1" s="1"/>
  <c r="N602" i="1"/>
  <c r="O602" i="1" s="1"/>
  <c r="G602" i="1"/>
  <c r="N601" i="1"/>
  <c r="O601" i="1" s="1"/>
  <c r="V601" i="1"/>
  <c r="W601" i="1" s="1"/>
  <c r="R601" i="1"/>
  <c r="S601" i="1" s="1"/>
  <c r="T601" i="1"/>
  <c r="U601" i="1" s="1"/>
  <c r="J601" i="1"/>
  <c r="K601" i="1" s="1"/>
  <c r="L601" i="1"/>
  <c r="M601" i="1" s="1"/>
  <c r="P601" i="1"/>
  <c r="Q601" i="1" s="1"/>
  <c r="G600" i="1"/>
  <c r="F527" i="1"/>
  <c r="F523" i="1"/>
  <c r="F522" i="1"/>
  <c r="F505" i="1"/>
  <c r="F499" i="1"/>
  <c r="F495" i="1"/>
  <c r="F493" i="1"/>
  <c r="F492" i="1"/>
  <c r="F486" i="1"/>
  <c r="F485" i="1"/>
  <c r="F484" i="1"/>
  <c r="F441" i="1"/>
  <c r="F410" i="1" l="1"/>
  <c r="F409" i="1"/>
  <c r="F405" i="1"/>
  <c r="F404" i="1"/>
  <c r="F403" i="1"/>
  <c r="F391" i="1"/>
  <c r="F387" i="1"/>
  <c r="F353" i="1"/>
  <c r="F352" i="1"/>
  <c r="F346" i="1"/>
  <c r="H307" i="1"/>
  <c r="H304" i="1"/>
  <c r="H305" i="1"/>
  <c r="H306" i="1"/>
  <c r="F303" i="1"/>
  <c r="F302" i="1"/>
  <c r="H288" i="1"/>
  <c r="H299" i="1"/>
  <c r="H292" i="1"/>
  <c r="H294" i="1"/>
  <c r="H295" i="1"/>
  <c r="F289" i="1"/>
  <c r="F286" i="1"/>
  <c r="F285" i="1"/>
  <c r="F278" i="1"/>
  <c r="F231" i="1"/>
  <c r="F230" i="1"/>
  <c r="F229" i="1"/>
  <c r="F214" i="1"/>
  <c r="F197" i="1"/>
  <c r="F190" i="1"/>
  <c r="F15" i="1" l="1"/>
  <c r="G15" i="1" s="1"/>
  <c r="T15" i="1" l="1"/>
  <c r="U15" i="1" s="1"/>
  <c r="R15" i="1"/>
  <c r="S15" i="1" s="1"/>
  <c r="P15" i="1"/>
  <c r="Q15" i="1" s="1"/>
  <c r="N15" i="1"/>
  <c r="O15" i="1" s="1"/>
  <c r="L15" i="1"/>
  <c r="M15" i="1" s="1"/>
  <c r="J15" i="1"/>
  <c r="K15" i="1" s="1"/>
  <c r="H15" i="1"/>
  <c r="I15" i="1" s="1"/>
  <c r="F356" i="1" l="1"/>
  <c r="F31" i="1" l="1"/>
  <c r="G31" i="1" s="1"/>
  <c r="F624" i="1" l="1"/>
  <c r="R391" i="1"/>
  <c r="S391" i="1" s="1"/>
  <c r="F547" i="1"/>
  <c r="F536" i="1"/>
  <c r="F535" i="1"/>
  <c r="F533" i="1"/>
  <c r="F512" i="1"/>
  <c r="F511" i="1"/>
  <c r="F504" i="1"/>
  <c r="F500" i="1"/>
  <c r="F498" i="1"/>
  <c r="F494" i="1"/>
  <c r="F489" i="1"/>
  <c r="F488" i="1"/>
  <c r="P484" i="1"/>
  <c r="Q484" i="1" s="1"/>
  <c r="N484" i="1" l="1"/>
  <c r="O484" i="1" s="1"/>
  <c r="L484" i="1"/>
  <c r="M484" i="1" s="1"/>
  <c r="V391" i="1"/>
  <c r="W391" i="1" s="1"/>
  <c r="J391" i="1"/>
  <c r="K391" i="1" s="1"/>
  <c r="N391" i="1"/>
  <c r="O391" i="1" s="1"/>
  <c r="P391" i="1"/>
  <c r="Q391" i="1" s="1"/>
  <c r="T391" i="1"/>
  <c r="U391" i="1" s="1"/>
  <c r="H391" i="1"/>
  <c r="I391" i="1" s="1"/>
  <c r="L391" i="1"/>
  <c r="M391" i="1" s="1"/>
  <c r="G391" i="1"/>
  <c r="R484" i="1"/>
  <c r="S484" i="1" s="1"/>
  <c r="G484" i="1"/>
  <c r="H484" i="1"/>
  <c r="I484" i="1" s="1"/>
  <c r="T484" i="1"/>
  <c r="U484" i="1" s="1"/>
  <c r="J484" i="1"/>
  <c r="K484" i="1" s="1"/>
  <c r="V484" i="1"/>
  <c r="W484" i="1" s="1"/>
  <c r="F443" i="1"/>
  <c r="F428" i="1"/>
  <c r="F402" i="1"/>
  <c r="F390" i="1"/>
  <c r="F388" i="1"/>
  <c r="F384" i="1"/>
  <c r="F382" i="1"/>
  <c r="F381" i="1"/>
  <c r="F377" i="1"/>
  <c r="F376" i="1" l="1"/>
  <c r="F373" i="1"/>
  <c r="F371" i="1"/>
  <c r="F367" i="1"/>
  <c r="F366" i="1"/>
  <c r="F365" i="1"/>
  <c r="F364" i="1"/>
  <c r="F363" i="1"/>
  <c r="F351" i="1"/>
  <c r="F350" i="1"/>
  <c r="F349" i="1"/>
  <c r="F343" i="1"/>
  <c r="F341" i="1"/>
  <c r="F340" i="1"/>
  <c r="F339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15" i="1"/>
  <c r="F314" i="1"/>
  <c r="F313" i="1"/>
  <c r="F310" i="1"/>
  <c r="F301" i="1"/>
  <c r="F290" i="1"/>
  <c r="F284" i="1"/>
  <c r="F253" i="1"/>
  <c r="F252" i="1"/>
  <c r="F251" i="1"/>
  <c r="F249" i="1"/>
  <c r="F242" i="1"/>
  <c r="F235" i="1"/>
  <c r="F234" i="1"/>
  <c r="F232" i="1"/>
  <c r="F222" i="1"/>
  <c r="F219" i="1"/>
  <c r="F218" i="1"/>
  <c r="F217" i="1"/>
  <c r="F189" i="1"/>
  <c r="F166" i="1"/>
  <c r="F163" i="1"/>
  <c r="F162" i="1"/>
  <c r="F143" i="1"/>
  <c r="F106" i="1"/>
  <c r="F104" i="1"/>
  <c r="F103" i="1"/>
  <c r="F102" i="1"/>
  <c r="F457" i="1"/>
  <c r="F101" i="1"/>
  <c r="F100" i="1"/>
  <c r="F97" i="1"/>
  <c r="J162" i="1" l="1"/>
  <c r="V162" i="1"/>
  <c r="W162" i="1" s="1"/>
  <c r="T162" i="1"/>
  <c r="U162" i="1" s="1"/>
  <c r="R162" i="1"/>
  <c r="S162" i="1" s="1"/>
  <c r="P162" i="1"/>
  <c r="Q162" i="1" s="1"/>
  <c r="N162" i="1"/>
  <c r="O162" i="1" s="1"/>
  <c r="L162" i="1"/>
  <c r="M162" i="1" s="1"/>
  <c r="W124" i="1"/>
  <c r="U124" i="1"/>
  <c r="S124" i="1"/>
  <c r="Q124" i="1"/>
  <c r="O124" i="1"/>
  <c r="W51" i="1"/>
  <c r="U51" i="1"/>
  <c r="S51" i="1"/>
  <c r="Q51" i="1"/>
  <c r="O51" i="1"/>
  <c r="W50" i="1"/>
  <c r="U50" i="1"/>
  <c r="S50" i="1"/>
  <c r="Q50" i="1"/>
  <c r="O50" i="1"/>
  <c r="W48" i="1"/>
  <c r="U48" i="1"/>
  <c r="S48" i="1"/>
  <c r="Q48" i="1"/>
  <c r="O48" i="1"/>
  <c r="W47" i="1"/>
  <c r="U47" i="1"/>
  <c r="S47" i="1"/>
  <c r="Q47" i="1"/>
  <c r="O47" i="1"/>
  <c r="W45" i="1"/>
  <c r="U45" i="1"/>
  <c r="S45" i="1"/>
  <c r="Q45" i="1"/>
  <c r="O45" i="1"/>
  <c r="W44" i="1"/>
  <c r="U44" i="1"/>
  <c r="S44" i="1"/>
  <c r="Q44" i="1"/>
  <c r="O44" i="1"/>
  <c r="W42" i="1"/>
  <c r="U42" i="1"/>
  <c r="S42" i="1"/>
  <c r="Q42" i="1"/>
  <c r="O42" i="1"/>
  <c r="W39" i="1"/>
  <c r="U39" i="1"/>
  <c r="S39" i="1"/>
  <c r="Q39" i="1"/>
  <c r="O39" i="1"/>
  <c r="W36" i="1"/>
  <c r="U36" i="1"/>
  <c r="S36" i="1"/>
  <c r="Q36" i="1"/>
  <c r="O36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F620" i="1"/>
  <c r="F556" i="1" l="1"/>
  <c r="G556" i="1" s="1"/>
  <c r="T556" i="1" l="1"/>
  <c r="U556" i="1" s="1"/>
  <c r="H556" i="1"/>
  <c r="I556" i="1" s="1"/>
  <c r="P556" i="1"/>
  <c r="Q556" i="1" s="1"/>
  <c r="J556" i="1"/>
  <c r="K556" i="1" s="1"/>
  <c r="R556" i="1"/>
  <c r="S556" i="1" s="1"/>
  <c r="N556" i="1"/>
  <c r="O556" i="1" s="1"/>
  <c r="V556" i="1"/>
  <c r="W556" i="1" s="1"/>
  <c r="L556" i="1"/>
  <c r="M556" i="1" s="1"/>
  <c r="G347" i="1" l="1"/>
  <c r="V346" i="1"/>
  <c r="W346" i="1" s="1"/>
  <c r="L347" i="1" l="1"/>
  <c r="M347" i="1" s="1"/>
  <c r="P347" i="1"/>
  <c r="Q347" i="1" s="1"/>
  <c r="T347" i="1"/>
  <c r="U347" i="1" s="1"/>
  <c r="N347" i="1"/>
  <c r="O347" i="1" s="1"/>
  <c r="R347" i="1"/>
  <c r="S347" i="1" s="1"/>
  <c r="V347" i="1"/>
  <c r="W347" i="1" s="1"/>
  <c r="N346" i="1"/>
  <c r="O346" i="1" s="1"/>
  <c r="G346" i="1"/>
  <c r="L346" i="1"/>
  <c r="M346" i="1" s="1"/>
  <c r="P346" i="1"/>
  <c r="Q346" i="1" s="1"/>
  <c r="T346" i="1"/>
  <c r="U346" i="1" s="1"/>
  <c r="R346" i="1"/>
  <c r="S346" i="1" s="1"/>
  <c r="V405" i="1"/>
  <c r="W405" i="1" s="1"/>
  <c r="N406" i="1"/>
  <c r="O406" i="1" s="1"/>
  <c r="N403" i="1"/>
  <c r="O403" i="1" s="1"/>
  <c r="V404" i="1"/>
  <c r="W404" i="1" s="1"/>
  <c r="F227" i="1"/>
  <c r="R227" i="1" s="1"/>
  <c r="S227" i="1" s="1"/>
  <c r="F245" i="1"/>
  <c r="F532" i="1"/>
  <c r="V403" i="1" l="1"/>
  <c r="W403" i="1" s="1"/>
  <c r="P405" i="1"/>
  <c r="Q405" i="1" s="1"/>
  <c r="R405" i="1"/>
  <c r="S405" i="1" s="1"/>
  <c r="T405" i="1"/>
  <c r="U405" i="1" s="1"/>
  <c r="L405" i="1"/>
  <c r="M405" i="1" s="1"/>
  <c r="N405" i="1"/>
  <c r="O405" i="1" s="1"/>
  <c r="G405" i="1"/>
  <c r="H405" i="1"/>
  <c r="I405" i="1" s="1"/>
  <c r="J405" i="1"/>
  <c r="K405" i="1" s="1"/>
  <c r="T406" i="1"/>
  <c r="U406" i="1" s="1"/>
  <c r="G406" i="1"/>
  <c r="J406" i="1"/>
  <c r="K406" i="1" s="1"/>
  <c r="L406" i="1"/>
  <c r="M406" i="1" s="1"/>
  <c r="P406" i="1"/>
  <c r="Q406" i="1" s="1"/>
  <c r="V406" i="1"/>
  <c r="W406" i="1" s="1"/>
  <c r="R406" i="1"/>
  <c r="S406" i="1" s="1"/>
  <c r="H406" i="1"/>
  <c r="I406" i="1" s="1"/>
  <c r="R403" i="1"/>
  <c r="S403" i="1" s="1"/>
  <c r="L403" i="1"/>
  <c r="M403" i="1" s="1"/>
  <c r="P403" i="1"/>
  <c r="Q403" i="1" s="1"/>
  <c r="G403" i="1"/>
  <c r="H403" i="1"/>
  <c r="I403" i="1" s="1"/>
  <c r="T403" i="1"/>
  <c r="U403" i="1" s="1"/>
  <c r="J403" i="1"/>
  <c r="K403" i="1" s="1"/>
  <c r="T404" i="1"/>
  <c r="U404" i="1" s="1"/>
  <c r="L404" i="1"/>
  <c r="M404" i="1" s="1"/>
  <c r="N404" i="1"/>
  <c r="O404" i="1" s="1"/>
  <c r="P404" i="1"/>
  <c r="Q404" i="1" s="1"/>
  <c r="R404" i="1"/>
  <c r="S404" i="1" s="1"/>
  <c r="G404" i="1"/>
  <c r="H404" i="1"/>
  <c r="I404" i="1" s="1"/>
  <c r="J404" i="1"/>
  <c r="K404" i="1" s="1"/>
  <c r="G227" i="1"/>
  <c r="H227" i="1"/>
  <c r="I227" i="1" s="1"/>
  <c r="J227" i="1"/>
  <c r="K227" i="1" s="1"/>
  <c r="L227" i="1"/>
  <c r="M227" i="1" s="1"/>
  <c r="T227" i="1"/>
  <c r="U227" i="1" s="1"/>
  <c r="V227" i="1"/>
  <c r="W227" i="1" s="1"/>
  <c r="N227" i="1"/>
  <c r="O227" i="1" s="1"/>
  <c r="P227" i="1"/>
  <c r="Q227" i="1" s="1"/>
  <c r="V12" i="1" l="1"/>
  <c r="W12" i="1" s="1"/>
  <c r="T12" i="1"/>
  <c r="U12" i="1" s="1"/>
  <c r="R12" i="1"/>
  <c r="S12" i="1" s="1"/>
  <c r="P12" i="1"/>
  <c r="Q12" i="1" s="1"/>
  <c r="N12" i="1"/>
  <c r="O12" i="1" s="1"/>
  <c r="J12" i="1"/>
  <c r="G12" i="1"/>
  <c r="H415" i="1" l="1"/>
  <c r="I415" i="1" s="1"/>
  <c r="V229" i="1"/>
  <c r="W229" i="1" s="1"/>
  <c r="L229" i="1" l="1"/>
  <c r="M229" i="1" s="1"/>
  <c r="P229" i="1"/>
  <c r="Q229" i="1" s="1"/>
  <c r="N229" i="1"/>
  <c r="O229" i="1" s="1"/>
  <c r="R229" i="1"/>
  <c r="S229" i="1" s="1"/>
  <c r="G229" i="1"/>
  <c r="H229" i="1"/>
  <c r="I229" i="1" s="1"/>
  <c r="T229" i="1"/>
  <c r="U229" i="1" s="1"/>
  <c r="J229" i="1"/>
  <c r="K229" i="1" s="1"/>
  <c r="T230" i="1" l="1"/>
  <c r="U230" i="1" s="1"/>
  <c r="V230" i="1" l="1"/>
  <c r="W230" i="1" s="1"/>
  <c r="L230" i="1"/>
  <c r="M230" i="1" s="1"/>
  <c r="J230" i="1"/>
  <c r="K230" i="1" s="1"/>
  <c r="N230" i="1"/>
  <c r="O230" i="1" s="1"/>
  <c r="P230" i="1"/>
  <c r="Q230" i="1" s="1"/>
  <c r="G230" i="1"/>
  <c r="R230" i="1"/>
  <c r="S230" i="1" s="1"/>
  <c r="H230" i="1"/>
  <c r="I230" i="1" s="1"/>
  <c r="F345" i="1"/>
  <c r="P345" i="1" s="1"/>
  <c r="Q345" i="1" s="1"/>
  <c r="T345" i="1" l="1"/>
  <c r="U345" i="1" s="1"/>
  <c r="R345" i="1"/>
  <c r="S345" i="1" s="1"/>
  <c r="V345" i="1"/>
  <c r="W345" i="1" s="1"/>
  <c r="G345" i="1"/>
  <c r="L345" i="1"/>
  <c r="M345" i="1" s="1"/>
  <c r="N345" i="1"/>
  <c r="O345" i="1" s="1"/>
  <c r="G379" i="1"/>
  <c r="L379" i="1" l="1"/>
  <c r="M379" i="1" s="1"/>
  <c r="N379" i="1"/>
  <c r="O379" i="1" s="1"/>
  <c r="P379" i="1"/>
  <c r="Q379" i="1" s="1"/>
  <c r="R379" i="1"/>
  <c r="S379" i="1" s="1"/>
  <c r="T379" i="1"/>
  <c r="U379" i="1" s="1"/>
  <c r="V379" i="1"/>
  <c r="W379" i="1" s="1"/>
  <c r="F472" i="1"/>
  <c r="V472" i="1" l="1"/>
  <c r="W472" i="1" s="1"/>
  <c r="L472" i="1" l="1"/>
  <c r="M472" i="1" s="1"/>
  <c r="R472" i="1"/>
  <c r="S472" i="1" s="1"/>
  <c r="T472" i="1"/>
  <c r="U472" i="1" s="1"/>
  <c r="N472" i="1"/>
  <c r="O472" i="1" s="1"/>
  <c r="P472" i="1"/>
  <c r="Q472" i="1" s="1"/>
  <c r="G472" i="1"/>
  <c r="H472" i="1"/>
  <c r="I472" i="1" s="1"/>
  <c r="J472" i="1"/>
  <c r="K472" i="1" s="1"/>
  <c r="F155" i="1"/>
  <c r="F241" i="1"/>
  <c r="J439" i="1"/>
  <c r="K439" i="1" s="1"/>
  <c r="H439" i="1"/>
  <c r="I439" i="1" s="1"/>
  <c r="V508" i="1"/>
  <c r="W508" i="1" s="1"/>
  <c r="T508" i="1"/>
  <c r="U508" i="1" s="1"/>
  <c r="R508" i="1"/>
  <c r="S508" i="1" s="1"/>
  <c r="P508" i="1"/>
  <c r="Q508" i="1" s="1"/>
  <c r="N508" i="1"/>
  <c r="O508" i="1" s="1"/>
  <c r="L508" i="1"/>
  <c r="M508" i="1" s="1"/>
  <c r="J508" i="1"/>
  <c r="K508" i="1" s="1"/>
  <c r="H508" i="1"/>
  <c r="I508" i="1" s="1"/>
  <c r="J538" i="1"/>
  <c r="K538" i="1" s="1"/>
  <c r="L538" i="1"/>
  <c r="M538" i="1" s="1"/>
  <c r="N538" i="1"/>
  <c r="O538" i="1" s="1"/>
  <c r="P538" i="1"/>
  <c r="Q538" i="1" s="1"/>
  <c r="R538" i="1"/>
  <c r="S538" i="1" s="1"/>
  <c r="T538" i="1"/>
  <c r="U538" i="1" s="1"/>
  <c r="V538" i="1"/>
  <c r="W538" i="1" s="1"/>
  <c r="J539" i="1"/>
  <c r="K539" i="1" s="1"/>
  <c r="L539" i="1"/>
  <c r="M539" i="1" s="1"/>
  <c r="N539" i="1"/>
  <c r="O539" i="1" s="1"/>
  <c r="P539" i="1"/>
  <c r="Q539" i="1" s="1"/>
  <c r="R539" i="1"/>
  <c r="S539" i="1" s="1"/>
  <c r="T539" i="1"/>
  <c r="U539" i="1" s="1"/>
  <c r="V539" i="1"/>
  <c r="W539" i="1" s="1"/>
  <c r="H521" i="1"/>
  <c r="I521" i="1" s="1"/>
  <c r="J521" i="1"/>
  <c r="K521" i="1" s="1"/>
  <c r="L521" i="1"/>
  <c r="M521" i="1" s="1"/>
  <c r="N521" i="1"/>
  <c r="O521" i="1" s="1"/>
  <c r="P521" i="1"/>
  <c r="Q521" i="1" s="1"/>
  <c r="R521" i="1"/>
  <c r="S521" i="1" s="1"/>
  <c r="T521" i="1"/>
  <c r="U521" i="1" s="1"/>
  <c r="V521" i="1"/>
  <c r="W521" i="1" s="1"/>
  <c r="H524" i="1"/>
  <c r="I524" i="1" s="1"/>
  <c r="J524" i="1"/>
  <c r="K524" i="1" s="1"/>
  <c r="L524" i="1"/>
  <c r="M524" i="1" s="1"/>
  <c r="N524" i="1"/>
  <c r="O524" i="1" s="1"/>
  <c r="P524" i="1"/>
  <c r="Q524" i="1" s="1"/>
  <c r="R524" i="1"/>
  <c r="S524" i="1" s="1"/>
  <c r="T524" i="1"/>
  <c r="U524" i="1" s="1"/>
  <c r="V524" i="1"/>
  <c r="W524" i="1" s="1"/>
  <c r="H525" i="1"/>
  <c r="I525" i="1" s="1"/>
  <c r="J525" i="1"/>
  <c r="K525" i="1" s="1"/>
  <c r="L525" i="1"/>
  <c r="M525" i="1" s="1"/>
  <c r="N525" i="1"/>
  <c r="O525" i="1" s="1"/>
  <c r="P525" i="1"/>
  <c r="Q525" i="1" s="1"/>
  <c r="R525" i="1"/>
  <c r="S525" i="1" s="1"/>
  <c r="T525" i="1"/>
  <c r="U525" i="1" s="1"/>
  <c r="V525" i="1"/>
  <c r="W525" i="1" s="1"/>
  <c r="L531" i="1"/>
  <c r="M531" i="1" s="1"/>
  <c r="N531" i="1"/>
  <c r="O531" i="1" s="1"/>
  <c r="P531" i="1"/>
  <c r="Q531" i="1" s="1"/>
  <c r="R531" i="1"/>
  <c r="S531" i="1" s="1"/>
  <c r="T531" i="1"/>
  <c r="U531" i="1" s="1"/>
  <c r="V531" i="1"/>
  <c r="W531" i="1" s="1"/>
  <c r="T630" i="1"/>
  <c r="U630" i="1" s="1"/>
  <c r="R630" i="1"/>
  <c r="S630" i="1" s="1"/>
  <c r="P630" i="1"/>
  <c r="Q630" i="1" s="1"/>
  <c r="N630" i="1"/>
  <c r="O630" i="1" s="1"/>
  <c r="L630" i="1"/>
  <c r="M630" i="1" s="1"/>
  <c r="J630" i="1"/>
  <c r="K630" i="1" s="1"/>
  <c r="T626" i="1"/>
  <c r="R626" i="1"/>
  <c r="P626" i="1"/>
  <c r="N626" i="1"/>
  <c r="L626" i="1"/>
  <c r="J626" i="1"/>
  <c r="L628" i="1"/>
  <c r="J628" i="1"/>
  <c r="L627" i="1"/>
  <c r="V573" i="1"/>
  <c r="W573" i="1" s="1"/>
  <c r="T573" i="1"/>
  <c r="U573" i="1" s="1"/>
  <c r="R573" i="1"/>
  <c r="S573" i="1" s="1"/>
  <c r="P573" i="1"/>
  <c r="Q573" i="1" s="1"/>
  <c r="N573" i="1"/>
  <c r="O573" i="1" s="1"/>
  <c r="L573" i="1"/>
  <c r="M573" i="1" s="1"/>
  <c r="J573" i="1"/>
  <c r="K573" i="1" s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H570" i="1"/>
  <c r="I570" i="1" s="1"/>
  <c r="V569" i="1"/>
  <c r="W569" i="1" s="1"/>
  <c r="T569" i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H564" i="1"/>
  <c r="H565" i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J565" i="1"/>
  <c r="K565" i="1" s="1"/>
  <c r="V564" i="1"/>
  <c r="W564" i="1" s="1"/>
  <c r="T564" i="1"/>
  <c r="U564" i="1" s="1"/>
  <c r="R564" i="1"/>
  <c r="S564" i="1" s="1"/>
  <c r="P564" i="1"/>
  <c r="Q564" i="1" s="1"/>
  <c r="N564" i="1"/>
  <c r="O564" i="1" s="1"/>
  <c r="L564" i="1"/>
  <c r="M564" i="1" s="1"/>
  <c r="J564" i="1"/>
  <c r="K564" i="1" s="1"/>
  <c r="V563" i="1"/>
  <c r="W563" i="1" s="1"/>
  <c r="T563" i="1"/>
  <c r="U563" i="1" s="1"/>
  <c r="R563" i="1"/>
  <c r="S563" i="1" s="1"/>
  <c r="P563" i="1"/>
  <c r="Q563" i="1" s="1"/>
  <c r="N563" i="1"/>
  <c r="O563" i="1" s="1"/>
  <c r="L563" i="1"/>
  <c r="M563" i="1" s="1"/>
  <c r="V562" i="1"/>
  <c r="T562" i="1"/>
  <c r="R562" i="1"/>
  <c r="P562" i="1"/>
  <c r="N562" i="1"/>
  <c r="L562" i="1"/>
  <c r="J562" i="1"/>
  <c r="G570" i="1"/>
  <c r="T155" i="1" l="1"/>
  <c r="R155" i="1"/>
  <c r="V155" i="1"/>
  <c r="P155" i="1"/>
  <c r="N155" i="1"/>
  <c r="V423" i="1"/>
  <c r="W423" i="1" s="1"/>
  <c r="T423" i="1"/>
  <c r="U423" i="1" s="1"/>
  <c r="R423" i="1"/>
  <c r="S423" i="1" s="1"/>
  <c r="P423" i="1"/>
  <c r="Q423" i="1" s="1"/>
  <c r="N423" i="1"/>
  <c r="O423" i="1" s="1"/>
  <c r="L423" i="1"/>
  <c r="M423" i="1" s="1"/>
  <c r="J423" i="1"/>
  <c r="K423" i="1" s="1"/>
  <c r="L421" i="1"/>
  <c r="L420" i="1"/>
  <c r="M420" i="1" s="1"/>
  <c r="J420" i="1"/>
  <c r="K420" i="1" s="1"/>
  <c r="J421" i="1"/>
  <c r="J415" i="1"/>
  <c r="V271" i="1" l="1"/>
  <c r="W271" i="1" s="1"/>
  <c r="T271" i="1"/>
  <c r="U271" i="1" s="1"/>
  <c r="R271" i="1"/>
  <c r="S271" i="1" s="1"/>
  <c r="P271" i="1"/>
  <c r="Q271" i="1" s="1"/>
  <c r="N271" i="1"/>
  <c r="O271" i="1" s="1"/>
  <c r="L271" i="1"/>
  <c r="M271" i="1" s="1"/>
  <c r="J271" i="1"/>
  <c r="K271" i="1" s="1"/>
  <c r="V264" i="1"/>
  <c r="W264" i="1" s="1"/>
  <c r="T264" i="1"/>
  <c r="U264" i="1" s="1"/>
  <c r="R264" i="1"/>
  <c r="S264" i="1" s="1"/>
  <c r="P264" i="1"/>
  <c r="Q264" i="1" s="1"/>
  <c r="N264" i="1"/>
  <c r="O264" i="1" s="1"/>
  <c r="L264" i="1"/>
  <c r="M264" i="1" s="1"/>
  <c r="J264" i="1"/>
  <c r="K264" i="1" s="1"/>
  <c r="H264" i="1"/>
  <c r="I264" i="1" s="1"/>
  <c r="V263" i="1"/>
  <c r="W263" i="1" s="1"/>
  <c r="T263" i="1"/>
  <c r="U263" i="1" s="1"/>
  <c r="R263" i="1"/>
  <c r="S263" i="1" s="1"/>
  <c r="P263" i="1"/>
  <c r="Q263" i="1" s="1"/>
  <c r="N263" i="1"/>
  <c r="O263" i="1" s="1"/>
  <c r="L263" i="1"/>
  <c r="M263" i="1" s="1"/>
  <c r="J263" i="1"/>
  <c r="K263" i="1" s="1"/>
  <c r="H263" i="1"/>
  <c r="I263" i="1" s="1"/>
  <c r="V262" i="1"/>
  <c r="W262" i="1" s="1"/>
  <c r="T262" i="1"/>
  <c r="U262" i="1" s="1"/>
  <c r="R262" i="1"/>
  <c r="S262" i="1" s="1"/>
  <c r="P262" i="1"/>
  <c r="Q262" i="1" s="1"/>
  <c r="N262" i="1"/>
  <c r="O262" i="1" s="1"/>
  <c r="L262" i="1"/>
  <c r="M262" i="1" s="1"/>
  <c r="J262" i="1"/>
  <c r="K262" i="1" s="1"/>
  <c r="H262" i="1"/>
  <c r="I262" i="1" s="1"/>
  <c r="V261" i="1"/>
  <c r="W261" i="1" s="1"/>
  <c r="T261" i="1"/>
  <c r="U261" i="1" s="1"/>
  <c r="R261" i="1"/>
  <c r="S261" i="1" s="1"/>
  <c r="P261" i="1"/>
  <c r="Q261" i="1" s="1"/>
  <c r="N261" i="1"/>
  <c r="O261" i="1" s="1"/>
  <c r="L261" i="1"/>
  <c r="M261" i="1" s="1"/>
  <c r="J261" i="1"/>
  <c r="K261" i="1" s="1"/>
  <c r="H261" i="1"/>
  <c r="I261" i="1" s="1"/>
  <c r="V260" i="1"/>
  <c r="W260" i="1" s="1"/>
  <c r="T260" i="1"/>
  <c r="U260" i="1" s="1"/>
  <c r="R260" i="1"/>
  <c r="S260" i="1" s="1"/>
  <c r="P260" i="1"/>
  <c r="Q260" i="1" s="1"/>
  <c r="N260" i="1"/>
  <c r="O260" i="1" s="1"/>
  <c r="L260" i="1"/>
  <c r="M260" i="1" s="1"/>
  <c r="J260" i="1"/>
  <c r="K260" i="1" s="1"/>
  <c r="H260" i="1"/>
  <c r="I260" i="1" s="1"/>
  <c r="V259" i="1"/>
  <c r="W259" i="1" s="1"/>
  <c r="T259" i="1"/>
  <c r="U259" i="1" s="1"/>
  <c r="R259" i="1"/>
  <c r="S259" i="1" s="1"/>
  <c r="P259" i="1"/>
  <c r="Q259" i="1" s="1"/>
  <c r="N259" i="1"/>
  <c r="O259" i="1" s="1"/>
  <c r="L259" i="1"/>
  <c r="M259" i="1" s="1"/>
  <c r="J259" i="1"/>
  <c r="K259" i="1" s="1"/>
  <c r="H259" i="1"/>
  <c r="I259" i="1" s="1"/>
  <c r="V258" i="1"/>
  <c r="W258" i="1" s="1"/>
  <c r="T258" i="1"/>
  <c r="U258" i="1" s="1"/>
  <c r="R258" i="1"/>
  <c r="S258" i="1" s="1"/>
  <c r="P258" i="1"/>
  <c r="Q258" i="1" s="1"/>
  <c r="N258" i="1"/>
  <c r="O258" i="1" s="1"/>
  <c r="L258" i="1"/>
  <c r="M258" i="1" s="1"/>
  <c r="J258" i="1"/>
  <c r="K258" i="1" s="1"/>
  <c r="V256" i="1"/>
  <c r="W256" i="1" s="1"/>
  <c r="T256" i="1"/>
  <c r="U256" i="1" s="1"/>
  <c r="R256" i="1"/>
  <c r="S256" i="1" s="1"/>
  <c r="P256" i="1"/>
  <c r="Q256" i="1" s="1"/>
  <c r="N256" i="1"/>
  <c r="O256" i="1" s="1"/>
  <c r="L256" i="1"/>
  <c r="M256" i="1" s="1"/>
  <c r="J256" i="1"/>
  <c r="K256" i="1" s="1"/>
  <c r="H256" i="1"/>
  <c r="I256" i="1" s="1"/>
  <c r="N206" i="1"/>
  <c r="O206" i="1" s="1"/>
  <c r="L206" i="1"/>
  <c r="M206" i="1" s="1"/>
  <c r="J206" i="1"/>
  <c r="K206" i="1" s="1"/>
  <c r="V203" i="1"/>
  <c r="W203" i="1" s="1"/>
  <c r="T203" i="1"/>
  <c r="U203" i="1" s="1"/>
  <c r="V202" i="1"/>
  <c r="W202" i="1" s="1"/>
  <c r="T202" i="1"/>
  <c r="U202" i="1" s="1"/>
  <c r="V201" i="1"/>
  <c r="W201" i="1" s="1"/>
  <c r="T201" i="1"/>
  <c r="U201" i="1" s="1"/>
  <c r="R201" i="1"/>
  <c r="S201" i="1" s="1"/>
  <c r="P201" i="1"/>
  <c r="Q201" i="1" s="1"/>
  <c r="N201" i="1"/>
  <c r="O201" i="1" s="1"/>
  <c r="V241" i="1"/>
  <c r="W241" i="1" s="1"/>
  <c r="T241" i="1"/>
  <c r="U241" i="1" s="1"/>
  <c r="R241" i="1"/>
  <c r="S241" i="1" s="1"/>
  <c r="P241" i="1"/>
  <c r="Q241" i="1" s="1"/>
  <c r="N241" i="1"/>
  <c r="O241" i="1" s="1"/>
  <c r="L241" i="1"/>
  <c r="M241" i="1" s="1"/>
  <c r="J241" i="1"/>
  <c r="K241" i="1" s="1"/>
  <c r="H241" i="1"/>
  <c r="I241" i="1" s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H228" i="1"/>
  <c r="I228" i="1" s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H226" i="1"/>
  <c r="I226" i="1" s="1"/>
  <c r="H225" i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N215" i="1"/>
  <c r="J215" i="1"/>
  <c r="L215" i="1"/>
  <c r="M215" i="1" s="1"/>
  <c r="L216" i="1"/>
  <c r="V214" i="1"/>
  <c r="W214" i="1" s="1"/>
  <c r="T214" i="1"/>
  <c r="U214" i="1" s="1"/>
  <c r="R214" i="1"/>
  <c r="S214" i="1" s="1"/>
  <c r="P214" i="1"/>
  <c r="Q214" i="1" s="1"/>
  <c r="N214" i="1"/>
  <c r="O214" i="1" s="1"/>
  <c r="L214" i="1"/>
  <c r="M214" i="1" s="1"/>
  <c r="J214" i="1"/>
  <c r="K214" i="1" s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J212" i="1"/>
  <c r="K212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V200" i="1"/>
  <c r="W200" i="1" s="1"/>
  <c r="T200" i="1"/>
  <c r="U200" i="1" s="1"/>
  <c r="R200" i="1"/>
  <c r="S200" i="1" s="1"/>
  <c r="P200" i="1"/>
  <c r="Q200" i="1" s="1"/>
  <c r="N200" i="1"/>
  <c r="O200" i="1" s="1"/>
  <c r="L200" i="1"/>
  <c r="M200" i="1" s="1"/>
  <c r="J200" i="1"/>
  <c r="K200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J199" i="1"/>
  <c r="K199" i="1" s="1"/>
  <c r="L180" i="1"/>
  <c r="N180" i="1"/>
  <c r="P180" i="1"/>
  <c r="R180" i="1"/>
  <c r="T180" i="1"/>
  <c r="V180" i="1"/>
  <c r="V186" i="1"/>
  <c r="W186" i="1" s="1"/>
  <c r="T186" i="1"/>
  <c r="U186" i="1" s="1"/>
  <c r="R186" i="1"/>
  <c r="S186" i="1" s="1"/>
  <c r="P186" i="1"/>
  <c r="Q186" i="1" s="1"/>
  <c r="N186" i="1"/>
  <c r="O186" i="1" s="1"/>
  <c r="L186" i="1"/>
  <c r="M186" i="1" s="1"/>
  <c r="V184" i="1"/>
  <c r="W184" i="1" s="1"/>
  <c r="T184" i="1"/>
  <c r="U184" i="1" s="1"/>
  <c r="R184" i="1"/>
  <c r="S184" i="1" s="1"/>
  <c r="P184" i="1"/>
  <c r="Q184" i="1" s="1"/>
  <c r="N184" i="1"/>
  <c r="O184" i="1" s="1"/>
  <c r="L184" i="1"/>
  <c r="M184" i="1" s="1"/>
  <c r="V185" i="1"/>
  <c r="W185" i="1" s="1"/>
  <c r="T185" i="1"/>
  <c r="U185" i="1" s="1"/>
  <c r="R185" i="1"/>
  <c r="S185" i="1" s="1"/>
  <c r="P185" i="1"/>
  <c r="Q185" i="1" s="1"/>
  <c r="N185" i="1"/>
  <c r="O185" i="1" s="1"/>
  <c r="L185" i="1"/>
  <c r="M185" i="1" s="1"/>
  <c r="V183" i="1"/>
  <c r="W183" i="1" s="1"/>
  <c r="T183" i="1"/>
  <c r="U183" i="1" s="1"/>
  <c r="R183" i="1"/>
  <c r="S183" i="1" s="1"/>
  <c r="P183" i="1"/>
  <c r="Q183" i="1" s="1"/>
  <c r="N183" i="1"/>
  <c r="O183" i="1" s="1"/>
  <c r="L183" i="1"/>
  <c r="M183" i="1" s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1" i="1"/>
  <c r="T181" i="1"/>
  <c r="U181" i="1" s="1"/>
  <c r="R181" i="1"/>
  <c r="S181" i="1" s="1"/>
  <c r="P181" i="1"/>
  <c r="Q181" i="1" s="1"/>
  <c r="N181" i="1"/>
  <c r="O181" i="1" s="1"/>
  <c r="L181" i="1"/>
  <c r="M181" i="1" s="1"/>
  <c r="V13" i="1"/>
  <c r="W13" i="1" s="1"/>
  <c r="T13" i="1"/>
  <c r="U13" i="1" s="1"/>
  <c r="R13" i="1"/>
  <c r="S13" i="1" s="1"/>
  <c r="P13" i="1"/>
  <c r="Q13" i="1" s="1"/>
  <c r="N13" i="1"/>
  <c r="O13" i="1" s="1"/>
  <c r="V11" i="1"/>
  <c r="W11" i="1" s="1"/>
  <c r="T11" i="1"/>
  <c r="U11" i="1" s="1"/>
  <c r="R11" i="1"/>
  <c r="S11" i="1" s="1"/>
  <c r="P11" i="1"/>
  <c r="Q11" i="1" s="1"/>
  <c r="N11" i="1"/>
  <c r="O11" i="1" s="1"/>
  <c r="J11" i="1"/>
  <c r="V31" i="1"/>
  <c r="W31" i="1" s="1"/>
  <c r="T31" i="1"/>
  <c r="U31" i="1" s="1"/>
  <c r="R31" i="1"/>
  <c r="S31" i="1" s="1"/>
  <c r="P31" i="1"/>
  <c r="Q31" i="1" s="1"/>
  <c r="N31" i="1"/>
  <c r="O31" i="1" s="1"/>
  <c r="L31" i="1"/>
  <c r="M31" i="1" s="1"/>
  <c r="V61" i="1"/>
  <c r="W61" i="1" s="1"/>
  <c r="T61" i="1"/>
  <c r="U61" i="1" s="1"/>
  <c r="R61" i="1"/>
  <c r="S61" i="1" s="1"/>
  <c r="P61" i="1"/>
  <c r="Q61" i="1" s="1"/>
  <c r="N61" i="1"/>
  <c r="O61" i="1" s="1"/>
  <c r="V62" i="1"/>
  <c r="W62" i="1" s="1"/>
  <c r="T62" i="1"/>
  <c r="U62" i="1" s="1"/>
  <c r="R62" i="1"/>
  <c r="S62" i="1" s="1"/>
  <c r="P62" i="1"/>
  <c r="Q62" i="1" s="1"/>
  <c r="N62" i="1"/>
  <c r="O62" i="1" s="1"/>
  <c r="V63" i="1"/>
  <c r="W63" i="1" s="1"/>
  <c r="T63" i="1"/>
  <c r="U63" i="1" s="1"/>
  <c r="R63" i="1"/>
  <c r="S63" i="1" s="1"/>
  <c r="P63" i="1"/>
  <c r="Q63" i="1" s="1"/>
  <c r="N63" i="1"/>
  <c r="O63" i="1" s="1"/>
  <c r="V66" i="1"/>
  <c r="W66" i="1" s="1"/>
  <c r="T66" i="1"/>
  <c r="U66" i="1" s="1"/>
  <c r="R66" i="1"/>
  <c r="S66" i="1" s="1"/>
  <c r="P66" i="1"/>
  <c r="Q66" i="1" s="1"/>
  <c r="N66" i="1"/>
  <c r="O66" i="1" s="1"/>
  <c r="V65" i="1"/>
  <c r="W65" i="1" s="1"/>
  <c r="T65" i="1"/>
  <c r="U65" i="1" s="1"/>
  <c r="R65" i="1"/>
  <c r="S65" i="1" s="1"/>
  <c r="P65" i="1"/>
  <c r="Q65" i="1" s="1"/>
  <c r="N65" i="1"/>
  <c r="O65" i="1" s="1"/>
  <c r="W64" i="1"/>
  <c r="U64" i="1"/>
  <c r="S64" i="1"/>
  <c r="Q64" i="1"/>
  <c r="O64" i="1"/>
  <c r="M64" i="1"/>
  <c r="J64" i="1"/>
  <c r="K64" i="1" s="1"/>
  <c r="V69" i="1"/>
  <c r="W69" i="1" s="1"/>
  <c r="T69" i="1"/>
  <c r="U69" i="1" s="1"/>
  <c r="R69" i="1"/>
  <c r="S69" i="1" s="1"/>
  <c r="P69" i="1"/>
  <c r="Q69" i="1" s="1"/>
  <c r="N69" i="1"/>
  <c r="O69" i="1" s="1"/>
  <c r="L69" i="1"/>
  <c r="M69" i="1" s="1"/>
  <c r="J69" i="1"/>
  <c r="K69" i="1" s="1"/>
  <c r="H69" i="1"/>
  <c r="I69" i="1" s="1"/>
  <c r="J107" i="1"/>
  <c r="J99" i="1"/>
  <c r="V98" i="1"/>
  <c r="W98" i="1" s="1"/>
  <c r="T98" i="1"/>
  <c r="U98" i="1" s="1"/>
  <c r="R98" i="1"/>
  <c r="S98" i="1" s="1"/>
  <c r="P98" i="1"/>
  <c r="Q98" i="1" s="1"/>
  <c r="N98" i="1"/>
  <c r="O98" i="1" s="1"/>
  <c r="L98" i="1"/>
  <c r="M98" i="1" s="1"/>
  <c r="J98" i="1"/>
  <c r="K98" i="1" s="1"/>
  <c r="L96" i="1"/>
  <c r="J96" i="1"/>
  <c r="W155" i="1"/>
  <c r="U155" i="1"/>
  <c r="S155" i="1"/>
  <c r="Q155" i="1"/>
  <c r="O155" i="1"/>
  <c r="L155" i="1"/>
  <c r="M155" i="1" s="1"/>
  <c r="Q161" i="1"/>
  <c r="O161" i="1"/>
  <c r="L161" i="1"/>
  <c r="M161" i="1" s="1"/>
  <c r="K161" i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V276" i="1"/>
  <c r="W276" i="1" s="1"/>
  <c r="T276" i="1"/>
  <c r="U276" i="1" s="1"/>
  <c r="R276" i="1"/>
  <c r="S276" i="1" s="1"/>
  <c r="P276" i="1"/>
  <c r="Q276" i="1" s="1"/>
  <c r="N276" i="1"/>
  <c r="O276" i="1" s="1"/>
  <c r="V275" i="1"/>
  <c r="W275" i="1" s="1"/>
  <c r="T275" i="1"/>
  <c r="U275" i="1" s="1"/>
  <c r="R275" i="1"/>
  <c r="S275" i="1" s="1"/>
  <c r="P275" i="1"/>
  <c r="Q275" i="1" s="1"/>
  <c r="N275" i="1"/>
  <c r="O275" i="1" s="1"/>
  <c r="V274" i="1"/>
  <c r="W274" i="1" s="1"/>
  <c r="T274" i="1"/>
  <c r="U274" i="1" s="1"/>
  <c r="R274" i="1"/>
  <c r="S274" i="1" s="1"/>
  <c r="P274" i="1"/>
  <c r="Q274" i="1" s="1"/>
  <c r="N274" i="1"/>
  <c r="O274" i="1" s="1"/>
  <c r="V273" i="1"/>
  <c r="W273" i="1" s="1"/>
  <c r="T273" i="1"/>
  <c r="U273" i="1" s="1"/>
  <c r="R273" i="1"/>
  <c r="S273" i="1" s="1"/>
  <c r="P273" i="1"/>
  <c r="Q273" i="1" s="1"/>
  <c r="N273" i="1"/>
  <c r="O273" i="1" s="1"/>
  <c r="V272" i="1"/>
  <c r="W272" i="1" s="1"/>
  <c r="T272" i="1"/>
  <c r="U272" i="1" s="1"/>
  <c r="R272" i="1"/>
  <c r="S272" i="1" s="1"/>
  <c r="P272" i="1"/>
  <c r="Q272" i="1" s="1"/>
  <c r="N272" i="1"/>
  <c r="O272" i="1" s="1"/>
  <c r="V307" i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I307" i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I306" i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I305" i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I304" i="1"/>
  <c r="H291" i="1"/>
  <c r="I291" i="1" s="1"/>
  <c r="J291" i="1"/>
  <c r="K291" i="1" s="1"/>
  <c r="L291" i="1"/>
  <c r="M291" i="1" s="1"/>
  <c r="N291" i="1"/>
  <c r="O291" i="1" s="1"/>
  <c r="P291" i="1"/>
  <c r="Q291" i="1" s="1"/>
  <c r="R291" i="1"/>
  <c r="S291" i="1" s="1"/>
  <c r="T291" i="1"/>
  <c r="U291" i="1" s="1"/>
  <c r="V291" i="1"/>
  <c r="W291" i="1" s="1"/>
  <c r="I292" i="1"/>
  <c r="J292" i="1"/>
  <c r="K292" i="1" s="1"/>
  <c r="L292" i="1"/>
  <c r="M292" i="1" s="1"/>
  <c r="N292" i="1"/>
  <c r="O292" i="1" s="1"/>
  <c r="P292" i="1"/>
  <c r="Q292" i="1" s="1"/>
  <c r="R292" i="1"/>
  <c r="S292" i="1" s="1"/>
  <c r="T292" i="1"/>
  <c r="U292" i="1" s="1"/>
  <c r="V292" i="1"/>
  <c r="W292" i="1" s="1"/>
  <c r="H293" i="1"/>
  <c r="I293" i="1" s="1"/>
  <c r="J293" i="1"/>
  <c r="K293" i="1" s="1"/>
  <c r="L293" i="1"/>
  <c r="M293" i="1" s="1"/>
  <c r="N293" i="1"/>
  <c r="O293" i="1" s="1"/>
  <c r="P293" i="1"/>
  <c r="Q293" i="1" s="1"/>
  <c r="R293" i="1"/>
  <c r="S293" i="1" s="1"/>
  <c r="T293" i="1"/>
  <c r="U293" i="1" s="1"/>
  <c r="V293" i="1"/>
  <c r="W293" i="1" s="1"/>
  <c r="I294" i="1"/>
  <c r="J294" i="1"/>
  <c r="K294" i="1" s="1"/>
  <c r="L294" i="1"/>
  <c r="M294" i="1" s="1"/>
  <c r="N294" i="1"/>
  <c r="O294" i="1" s="1"/>
  <c r="P294" i="1"/>
  <c r="Q294" i="1" s="1"/>
  <c r="R294" i="1"/>
  <c r="S294" i="1" s="1"/>
  <c r="T294" i="1"/>
  <c r="U294" i="1" s="1"/>
  <c r="V294" i="1"/>
  <c r="W294" i="1" s="1"/>
  <c r="I295" i="1"/>
  <c r="J295" i="1"/>
  <c r="K295" i="1" s="1"/>
  <c r="L295" i="1"/>
  <c r="M295" i="1" s="1"/>
  <c r="N295" i="1"/>
  <c r="O295" i="1" s="1"/>
  <c r="P295" i="1"/>
  <c r="Q295" i="1" s="1"/>
  <c r="R295" i="1"/>
  <c r="S295" i="1" s="1"/>
  <c r="T295" i="1"/>
  <c r="U295" i="1" s="1"/>
  <c r="V295" i="1"/>
  <c r="W295" i="1" s="1"/>
  <c r="I299" i="1"/>
  <c r="J299" i="1"/>
  <c r="K299" i="1" s="1"/>
  <c r="L299" i="1"/>
  <c r="M299" i="1" s="1"/>
  <c r="N299" i="1"/>
  <c r="O299" i="1" s="1"/>
  <c r="P299" i="1"/>
  <c r="Q299" i="1" s="1"/>
  <c r="R299" i="1"/>
  <c r="S299" i="1" s="1"/>
  <c r="T299" i="1"/>
  <c r="U299" i="1" s="1"/>
  <c r="V299" i="1"/>
  <c r="W299" i="1" s="1"/>
  <c r="V288" i="1"/>
  <c r="W288" i="1" s="1"/>
  <c r="T288" i="1"/>
  <c r="U288" i="1" s="1"/>
  <c r="R288" i="1"/>
  <c r="S288" i="1" s="1"/>
  <c r="P288" i="1"/>
  <c r="Q288" i="1" s="1"/>
  <c r="N288" i="1"/>
  <c r="O288" i="1" s="1"/>
  <c r="L288" i="1"/>
  <c r="M288" i="1" s="1"/>
  <c r="J288" i="1"/>
  <c r="K288" i="1" s="1"/>
  <c r="I288" i="1"/>
  <c r="V383" i="1"/>
  <c r="W383" i="1" s="1"/>
  <c r="T383" i="1"/>
  <c r="U383" i="1" s="1"/>
  <c r="R383" i="1"/>
  <c r="S383" i="1" s="1"/>
  <c r="P383" i="1"/>
  <c r="Q383" i="1" s="1"/>
  <c r="N383" i="1"/>
  <c r="O383" i="1" s="1"/>
  <c r="L383" i="1"/>
  <c r="M383" i="1" s="1"/>
  <c r="V360" i="1"/>
  <c r="W360" i="1" s="1"/>
  <c r="T360" i="1"/>
  <c r="U360" i="1" s="1"/>
  <c r="R360" i="1"/>
  <c r="S360" i="1" s="1"/>
  <c r="P360" i="1"/>
  <c r="Q360" i="1" s="1"/>
  <c r="N360" i="1"/>
  <c r="O360" i="1" s="1"/>
  <c r="L360" i="1"/>
  <c r="M360" i="1" s="1"/>
  <c r="V354" i="1"/>
  <c r="W354" i="1" s="1"/>
  <c r="T354" i="1"/>
  <c r="U354" i="1" s="1"/>
  <c r="R354" i="1"/>
  <c r="S354" i="1" s="1"/>
  <c r="P354" i="1"/>
  <c r="Q354" i="1" s="1"/>
  <c r="N354" i="1"/>
  <c r="O354" i="1" s="1"/>
  <c r="L354" i="1"/>
  <c r="M354" i="1" s="1"/>
  <c r="V280" i="1" l="1"/>
  <c r="W280" i="1" s="1"/>
  <c r="T280" i="1"/>
  <c r="U280" i="1" s="1"/>
  <c r="R280" i="1"/>
  <c r="S280" i="1" s="1"/>
  <c r="P280" i="1"/>
  <c r="Q280" i="1" s="1"/>
  <c r="N280" i="1"/>
  <c r="O280" i="1" s="1"/>
  <c r="L280" i="1"/>
  <c r="M280" i="1" s="1"/>
  <c r="V281" i="1"/>
  <c r="W281" i="1" s="1"/>
  <c r="T281" i="1"/>
  <c r="U281" i="1" s="1"/>
  <c r="R281" i="1"/>
  <c r="S281" i="1" s="1"/>
  <c r="P281" i="1"/>
  <c r="Q281" i="1" s="1"/>
  <c r="N281" i="1"/>
  <c r="O281" i="1" s="1"/>
  <c r="L281" i="1"/>
  <c r="M281" i="1" s="1"/>
  <c r="L282" i="1"/>
  <c r="M282" i="1" s="1"/>
  <c r="V282" i="1"/>
  <c r="W282" i="1" s="1"/>
  <c r="T282" i="1"/>
  <c r="U282" i="1" s="1"/>
  <c r="R282" i="1"/>
  <c r="S282" i="1" s="1"/>
  <c r="P282" i="1"/>
  <c r="Q282" i="1" s="1"/>
  <c r="N282" i="1"/>
  <c r="O282" i="1" s="1"/>
  <c r="P278" i="1"/>
  <c r="Q278" i="1" s="1"/>
  <c r="R278" i="1" l="1"/>
  <c r="S278" i="1" s="1"/>
  <c r="T278" i="1"/>
  <c r="U278" i="1" s="1"/>
  <c r="V278" i="1"/>
  <c r="W278" i="1" s="1"/>
  <c r="V336" i="1"/>
  <c r="W336" i="1" s="1"/>
  <c r="T336" i="1"/>
  <c r="U336" i="1" s="1"/>
  <c r="R336" i="1"/>
  <c r="S336" i="1" s="1"/>
  <c r="P336" i="1"/>
  <c r="Q336" i="1" s="1"/>
  <c r="N336" i="1"/>
  <c r="O336" i="1" s="1"/>
  <c r="L336" i="1"/>
  <c r="M336" i="1" s="1"/>
  <c r="N333" i="1"/>
  <c r="O333" i="1" s="1"/>
  <c r="P333" i="1"/>
  <c r="Q333" i="1" s="1"/>
  <c r="R333" i="1"/>
  <c r="S333" i="1" s="1"/>
  <c r="L333" i="1"/>
  <c r="M333" i="1" s="1"/>
  <c r="H278" i="1"/>
  <c r="I278" i="1" s="1"/>
  <c r="V313" i="1"/>
  <c r="W313" i="1" s="1"/>
  <c r="T313" i="1"/>
  <c r="U313" i="1" s="1"/>
  <c r="R313" i="1"/>
  <c r="S313" i="1" s="1"/>
  <c r="P313" i="1"/>
  <c r="Q313" i="1" s="1"/>
  <c r="L313" i="1"/>
  <c r="M313" i="1" s="1"/>
  <c r="N313" i="1"/>
  <c r="O313" i="1" s="1"/>
  <c r="J278" i="1"/>
  <c r="K278" i="1" s="1"/>
  <c r="L278" i="1"/>
  <c r="M278" i="1" s="1"/>
  <c r="P335" i="1"/>
  <c r="Q335" i="1" s="1"/>
  <c r="N335" i="1"/>
  <c r="O335" i="1" s="1"/>
  <c r="L335" i="1"/>
  <c r="M335" i="1" s="1"/>
  <c r="T335" i="1"/>
  <c r="U335" i="1" s="1"/>
  <c r="R335" i="1"/>
  <c r="S335" i="1" s="1"/>
  <c r="V335" i="1"/>
  <c r="W335" i="1" s="1"/>
  <c r="T284" i="1"/>
  <c r="U284" i="1" s="1"/>
  <c r="P284" i="1"/>
  <c r="Q284" i="1" s="1"/>
  <c r="L284" i="1"/>
  <c r="M284" i="1" s="1"/>
  <c r="J284" i="1"/>
  <c r="K284" i="1" s="1"/>
  <c r="H284" i="1"/>
  <c r="I284" i="1" s="1"/>
  <c r="N284" i="1"/>
  <c r="O284" i="1" s="1"/>
  <c r="V284" i="1"/>
  <c r="W284" i="1" s="1"/>
  <c r="R284" i="1"/>
  <c r="S284" i="1" s="1"/>
  <c r="N278" i="1"/>
  <c r="O278" i="1" s="1"/>
  <c r="G278" i="1"/>
  <c r="U107" i="1" l="1"/>
  <c r="W107" i="1"/>
  <c r="Q107" i="1"/>
  <c r="O107" i="1"/>
  <c r="M107" i="1"/>
  <c r="S107" i="1"/>
  <c r="F355" i="1"/>
  <c r="F370" i="1"/>
  <c r="V365" i="1" l="1"/>
  <c r="W365" i="1" s="1"/>
  <c r="T365" i="1"/>
  <c r="U365" i="1" s="1"/>
  <c r="R365" i="1"/>
  <c r="S365" i="1" s="1"/>
  <c r="P365" i="1"/>
  <c r="Q365" i="1" s="1"/>
  <c r="N365" i="1"/>
  <c r="O365" i="1" s="1"/>
  <c r="L365" i="1"/>
  <c r="M365" i="1" s="1"/>
  <c r="V370" i="1"/>
  <c r="W370" i="1" s="1"/>
  <c r="T370" i="1"/>
  <c r="U370" i="1" s="1"/>
  <c r="R370" i="1"/>
  <c r="S370" i="1" s="1"/>
  <c r="P370" i="1"/>
  <c r="Q370" i="1" s="1"/>
  <c r="N370" i="1"/>
  <c r="O370" i="1" s="1"/>
  <c r="L370" i="1"/>
  <c r="M370" i="1" s="1"/>
  <c r="R355" i="1"/>
  <c r="S355" i="1" s="1"/>
  <c r="N355" i="1"/>
  <c r="O355" i="1" s="1"/>
  <c r="V355" i="1"/>
  <c r="W355" i="1" s="1"/>
  <c r="T355" i="1"/>
  <c r="U355" i="1" s="1"/>
  <c r="P355" i="1"/>
  <c r="Q355" i="1" s="1"/>
  <c r="L355" i="1"/>
  <c r="M355" i="1" s="1"/>
  <c r="R373" i="1"/>
  <c r="S373" i="1" s="1"/>
  <c r="N373" i="1"/>
  <c r="O373" i="1" s="1"/>
  <c r="T373" i="1"/>
  <c r="U373" i="1" s="1"/>
  <c r="V373" i="1"/>
  <c r="W373" i="1" s="1"/>
  <c r="P373" i="1"/>
  <c r="Q373" i="1" s="1"/>
  <c r="L373" i="1"/>
  <c r="M373" i="1" s="1"/>
  <c r="V356" i="1"/>
  <c r="W356" i="1" s="1"/>
  <c r="T356" i="1"/>
  <c r="U356" i="1" s="1"/>
  <c r="R356" i="1"/>
  <c r="S356" i="1" s="1"/>
  <c r="P356" i="1"/>
  <c r="Q356" i="1" s="1"/>
  <c r="N356" i="1"/>
  <c r="O356" i="1" s="1"/>
  <c r="L356" i="1"/>
  <c r="M356" i="1" s="1"/>
  <c r="F385" i="1"/>
  <c r="F386" i="1"/>
  <c r="F358" i="1"/>
  <c r="F392" i="1"/>
  <c r="F393" i="1"/>
  <c r="F394" i="1"/>
  <c r="F412" i="1"/>
  <c r="F411" i="1"/>
  <c r="H411" i="1" s="1"/>
  <c r="I411" i="1" s="1"/>
  <c r="V358" i="1" l="1"/>
  <c r="W358" i="1" s="1"/>
  <c r="T358" i="1"/>
  <c r="U358" i="1" s="1"/>
  <c r="R358" i="1"/>
  <c r="S358" i="1" s="1"/>
  <c r="P358" i="1"/>
  <c r="Q358" i="1" s="1"/>
  <c r="L358" i="1"/>
  <c r="M358" i="1" s="1"/>
  <c r="N358" i="1"/>
  <c r="O358" i="1" s="1"/>
  <c r="T387" i="1"/>
  <c r="U387" i="1" s="1"/>
  <c r="R387" i="1"/>
  <c r="S387" i="1" s="1"/>
  <c r="P387" i="1"/>
  <c r="Q387" i="1" s="1"/>
  <c r="N387" i="1"/>
  <c r="O387" i="1" s="1"/>
  <c r="V387" i="1"/>
  <c r="W387" i="1" s="1"/>
  <c r="L387" i="1"/>
  <c r="M387" i="1" s="1"/>
  <c r="N411" i="1"/>
  <c r="O411" i="1" s="1"/>
  <c r="V411" i="1"/>
  <c r="W411" i="1" s="1"/>
  <c r="T411" i="1"/>
  <c r="U411" i="1" s="1"/>
  <c r="R411" i="1"/>
  <c r="S411" i="1" s="1"/>
  <c r="P411" i="1"/>
  <c r="Q411" i="1" s="1"/>
  <c r="L411" i="1"/>
  <c r="M411" i="1" s="1"/>
  <c r="J411" i="1"/>
  <c r="K411" i="1" s="1"/>
  <c r="V410" i="1"/>
  <c r="W410" i="1" s="1"/>
  <c r="T410" i="1"/>
  <c r="U410" i="1" s="1"/>
  <c r="R410" i="1"/>
  <c r="S410" i="1" s="1"/>
  <c r="P410" i="1"/>
  <c r="Q410" i="1" s="1"/>
  <c r="N410" i="1"/>
  <c r="O410" i="1" s="1"/>
  <c r="L410" i="1"/>
  <c r="M410" i="1" s="1"/>
  <c r="J410" i="1"/>
  <c r="K410" i="1" s="1"/>
  <c r="H410" i="1"/>
  <c r="I410" i="1" s="1"/>
  <c r="N386" i="1"/>
  <c r="O386" i="1" s="1"/>
  <c r="L386" i="1"/>
  <c r="M386" i="1" s="1"/>
  <c r="V385" i="1"/>
  <c r="W385" i="1" s="1"/>
  <c r="P385" i="1"/>
  <c r="Q385" i="1" s="1"/>
  <c r="N385" i="1"/>
  <c r="O385" i="1" s="1"/>
  <c r="L385" i="1"/>
  <c r="M385" i="1" s="1"/>
  <c r="T385" i="1"/>
  <c r="U385" i="1" s="1"/>
  <c r="R385" i="1"/>
  <c r="S385" i="1" s="1"/>
  <c r="P412" i="1"/>
  <c r="Q412" i="1" s="1"/>
  <c r="N412" i="1"/>
  <c r="O412" i="1" s="1"/>
  <c r="L412" i="1"/>
  <c r="M412" i="1" s="1"/>
  <c r="V412" i="1"/>
  <c r="W412" i="1" s="1"/>
  <c r="T412" i="1"/>
  <c r="U412" i="1" s="1"/>
  <c r="J412" i="1"/>
  <c r="K412" i="1" s="1"/>
  <c r="H412" i="1"/>
  <c r="I412" i="1" s="1"/>
  <c r="R412" i="1"/>
  <c r="S412" i="1" s="1"/>
  <c r="T402" i="1"/>
  <c r="V402" i="1"/>
  <c r="R402" i="1"/>
  <c r="J402" i="1"/>
  <c r="N402" i="1"/>
  <c r="H402" i="1"/>
  <c r="P402" i="1"/>
  <c r="L402" i="1"/>
  <c r="T394" i="1"/>
  <c r="U394" i="1" s="1"/>
  <c r="J394" i="1"/>
  <c r="K394" i="1" s="1"/>
  <c r="L394" i="1"/>
  <c r="M394" i="1" s="1"/>
  <c r="R394" i="1"/>
  <c r="S394" i="1" s="1"/>
  <c r="V394" i="1"/>
  <c r="W394" i="1" s="1"/>
  <c r="P394" i="1"/>
  <c r="Q394" i="1" s="1"/>
  <c r="N394" i="1"/>
  <c r="O394" i="1" s="1"/>
  <c r="H394" i="1"/>
  <c r="I394" i="1" s="1"/>
  <c r="V392" i="1"/>
  <c r="W392" i="1" s="1"/>
  <c r="R392" i="1"/>
  <c r="S392" i="1" s="1"/>
  <c r="P392" i="1"/>
  <c r="Q392" i="1" s="1"/>
  <c r="H392" i="1"/>
  <c r="I392" i="1" s="1"/>
  <c r="T392" i="1"/>
  <c r="U392" i="1" s="1"/>
  <c r="N392" i="1"/>
  <c r="O392" i="1" s="1"/>
  <c r="L392" i="1"/>
  <c r="M392" i="1" s="1"/>
  <c r="J392" i="1"/>
  <c r="K392" i="1" s="1"/>
  <c r="N428" i="1"/>
  <c r="O428" i="1" s="1"/>
  <c r="P428" i="1"/>
  <c r="Q428" i="1" s="1"/>
  <c r="L428" i="1"/>
  <c r="M428" i="1" s="1"/>
  <c r="J428" i="1"/>
  <c r="K428" i="1" s="1"/>
  <c r="V428" i="1"/>
  <c r="W428" i="1" s="1"/>
  <c r="T428" i="1"/>
  <c r="U428" i="1" s="1"/>
  <c r="R428" i="1"/>
  <c r="S428" i="1" s="1"/>
  <c r="T393" i="1"/>
  <c r="U393" i="1" s="1"/>
  <c r="R393" i="1"/>
  <c r="S393" i="1" s="1"/>
  <c r="V393" i="1"/>
  <c r="W393" i="1" s="1"/>
  <c r="P393" i="1"/>
  <c r="Q393" i="1" s="1"/>
  <c r="L393" i="1"/>
  <c r="M393" i="1" s="1"/>
  <c r="N393" i="1"/>
  <c r="O393" i="1" s="1"/>
  <c r="H393" i="1"/>
  <c r="I393" i="1" s="1"/>
  <c r="J393" i="1"/>
  <c r="K393" i="1" s="1"/>
  <c r="G410" i="1"/>
  <c r="F634" i="1" l="1"/>
  <c r="F633" i="1"/>
  <c r="L633" i="1" l="1"/>
  <c r="M633" i="1" s="1"/>
  <c r="J633" i="1"/>
  <c r="K633" i="1" s="1"/>
  <c r="T633" i="1"/>
  <c r="U633" i="1" s="1"/>
  <c r="R633" i="1"/>
  <c r="S633" i="1" s="1"/>
  <c r="P633" i="1"/>
  <c r="Q633" i="1" s="1"/>
  <c r="N633" i="1"/>
  <c r="O633" i="1" s="1"/>
  <c r="R634" i="1"/>
  <c r="S634" i="1" s="1"/>
  <c r="P634" i="1"/>
  <c r="Q634" i="1" s="1"/>
  <c r="N634" i="1"/>
  <c r="O634" i="1" s="1"/>
  <c r="L634" i="1"/>
  <c r="M634" i="1" s="1"/>
  <c r="J634" i="1"/>
  <c r="K634" i="1" s="1"/>
  <c r="T634" i="1"/>
  <c r="U634" i="1" s="1"/>
  <c r="P631" i="1"/>
  <c r="Q631" i="1" s="1"/>
  <c r="N631" i="1"/>
  <c r="O631" i="1" s="1"/>
  <c r="L631" i="1"/>
  <c r="M631" i="1" s="1"/>
  <c r="J631" i="1"/>
  <c r="K631" i="1" s="1"/>
  <c r="R631" i="1"/>
  <c r="S631" i="1" s="1"/>
  <c r="T631" i="1"/>
  <c r="U631" i="1" s="1"/>
  <c r="F537" i="1"/>
  <c r="F519" i="1"/>
  <c r="F506" i="1"/>
  <c r="V485" i="1" l="1"/>
  <c r="W485" i="1" s="1"/>
  <c r="R485" i="1"/>
  <c r="S485" i="1" s="1"/>
  <c r="J485" i="1"/>
  <c r="K485" i="1" s="1"/>
  <c r="T485" i="1"/>
  <c r="U485" i="1" s="1"/>
  <c r="P485" i="1"/>
  <c r="Q485" i="1" s="1"/>
  <c r="L485" i="1"/>
  <c r="M485" i="1" s="1"/>
  <c r="H485" i="1"/>
  <c r="I485" i="1" s="1"/>
  <c r="N485" i="1"/>
  <c r="O485" i="1" s="1"/>
  <c r="P486" i="1"/>
  <c r="Q486" i="1" s="1"/>
  <c r="N486" i="1"/>
  <c r="O486" i="1" s="1"/>
  <c r="T486" i="1"/>
  <c r="U486" i="1" s="1"/>
  <c r="L486" i="1"/>
  <c r="M486" i="1" s="1"/>
  <c r="J486" i="1"/>
  <c r="K486" i="1" s="1"/>
  <c r="H486" i="1"/>
  <c r="I486" i="1" s="1"/>
  <c r="V486" i="1"/>
  <c r="W486" i="1" s="1"/>
  <c r="R486" i="1"/>
  <c r="S486" i="1" s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J493" i="1"/>
  <c r="K493" i="1" s="1"/>
  <c r="H493" i="1"/>
  <c r="I493" i="1" s="1"/>
  <c r="V495" i="1"/>
  <c r="W495" i="1" s="1"/>
  <c r="T495" i="1"/>
  <c r="U495" i="1" s="1"/>
  <c r="R495" i="1"/>
  <c r="S495" i="1" s="1"/>
  <c r="H495" i="1"/>
  <c r="I495" i="1" s="1"/>
  <c r="P495" i="1"/>
  <c r="Q495" i="1" s="1"/>
  <c r="N495" i="1"/>
  <c r="O495" i="1" s="1"/>
  <c r="L495" i="1"/>
  <c r="M495" i="1" s="1"/>
  <c r="J495" i="1"/>
  <c r="K495" i="1" s="1"/>
  <c r="T533" i="1"/>
  <c r="U533" i="1" s="1"/>
  <c r="V533" i="1"/>
  <c r="W533" i="1" s="1"/>
  <c r="H533" i="1"/>
  <c r="I533" i="1" s="1"/>
  <c r="J533" i="1"/>
  <c r="K533" i="1" s="1"/>
  <c r="P533" i="1"/>
  <c r="Q533" i="1" s="1"/>
  <c r="L533" i="1"/>
  <c r="M533" i="1" s="1"/>
  <c r="R533" i="1"/>
  <c r="S533" i="1" s="1"/>
  <c r="N533" i="1"/>
  <c r="O533" i="1" s="1"/>
  <c r="J505" i="1"/>
  <c r="K505" i="1" s="1"/>
  <c r="H505" i="1"/>
  <c r="I505" i="1" s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L534" i="1"/>
  <c r="M534" i="1" s="1"/>
  <c r="J534" i="1"/>
  <c r="K534" i="1" s="1"/>
  <c r="H534" i="1"/>
  <c r="I534" i="1" s="1"/>
  <c r="R534" i="1"/>
  <c r="S534" i="1" s="1"/>
  <c r="V534" i="1"/>
  <c r="W534" i="1" s="1"/>
  <c r="T534" i="1"/>
  <c r="U534" i="1" s="1"/>
  <c r="P534" i="1"/>
  <c r="Q534" i="1" s="1"/>
  <c r="N534" i="1"/>
  <c r="O534" i="1" s="1"/>
  <c r="L535" i="1"/>
  <c r="M535" i="1" s="1"/>
  <c r="N535" i="1"/>
  <c r="O535" i="1" s="1"/>
  <c r="P535" i="1"/>
  <c r="Q535" i="1" s="1"/>
  <c r="R535" i="1"/>
  <c r="S535" i="1" s="1"/>
  <c r="V535" i="1"/>
  <c r="W535" i="1" s="1"/>
  <c r="T535" i="1"/>
  <c r="U535" i="1" s="1"/>
  <c r="H535" i="1"/>
  <c r="I535" i="1" s="1"/>
  <c r="J535" i="1"/>
  <c r="K535" i="1" s="1"/>
  <c r="L543" i="1"/>
  <c r="M543" i="1" s="1"/>
  <c r="N543" i="1"/>
  <c r="O543" i="1" s="1"/>
  <c r="P543" i="1"/>
  <c r="Q543" i="1" s="1"/>
  <c r="R543" i="1"/>
  <c r="S543" i="1" s="1"/>
  <c r="T543" i="1"/>
  <c r="U543" i="1" s="1"/>
  <c r="V543" i="1"/>
  <c r="W543" i="1" s="1"/>
  <c r="H543" i="1"/>
  <c r="I543" i="1" s="1"/>
  <c r="J543" i="1"/>
  <c r="K543" i="1" s="1"/>
  <c r="N512" i="1"/>
  <c r="O512" i="1" s="1"/>
  <c r="L512" i="1"/>
  <c r="M512" i="1" s="1"/>
  <c r="H512" i="1"/>
  <c r="I512" i="1" s="1"/>
  <c r="J512" i="1"/>
  <c r="K512" i="1" s="1"/>
  <c r="J536" i="1"/>
  <c r="K536" i="1" s="1"/>
  <c r="L536" i="1"/>
  <c r="M536" i="1" s="1"/>
  <c r="H536" i="1"/>
  <c r="I536" i="1" s="1"/>
  <c r="N536" i="1"/>
  <c r="O536" i="1" s="1"/>
  <c r="V536" i="1"/>
  <c r="W536" i="1" s="1"/>
  <c r="P536" i="1"/>
  <c r="Q536" i="1" s="1"/>
  <c r="R536" i="1"/>
  <c r="S536" i="1" s="1"/>
  <c r="T536" i="1"/>
  <c r="U536" i="1" s="1"/>
  <c r="V537" i="1"/>
  <c r="W537" i="1" s="1"/>
  <c r="H537" i="1"/>
  <c r="I537" i="1" s="1"/>
  <c r="J537" i="1"/>
  <c r="K537" i="1" s="1"/>
  <c r="L537" i="1"/>
  <c r="M537" i="1" s="1"/>
  <c r="R537" i="1"/>
  <c r="S537" i="1" s="1"/>
  <c r="N537" i="1"/>
  <c r="O537" i="1" s="1"/>
  <c r="P537" i="1"/>
  <c r="Q537" i="1" s="1"/>
  <c r="T537" i="1"/>
  <c r="U537" i="1" s="1"/>
  <c r="V519" i="1"/>
  <c r="H519" i="1"/>
  <c r="T519" i="1"/>
  <c r="R519" i="1"/>
  <c r="P519" i="1"/>
  <c r="J519" i="1"/>
  <c r="N519" i="1"/>
  <c r="L519" i="1"/>
  <c r="T415" i="1"/>
  <c r="U415" i="1" s="1"/>
  <c r="R415" i="1"/>
  <c r="S415" i="1" s="1"/>
  <c r="P415" i="1"/>
  <c r="Q415" i="1" s="1"/>
  <c r="N415" i="1"/>
  <c r="O415" i="1" s="1"/>
  <c r="L415" i="1"/>
  <c r="M415" i="1" s="1"/>
  <c r="K415" i="1"/>
  <c r="G415" i="1"/>
  <c r="G486" i="1" l="1"/>
  <c r="G485" i="1"/>
  <c r="J311" i="1"/>
  <c r="T138" i="1"/>
  <c r="U138" i="1" s="1"/>
  <c r="V138" i="1"/>
  <c r="W138" i="1" s="1"/>
  <c r="R138" i="1"/>
  <c r="S138" i="1" s="1"/>
  <c r="P138" i="1"/>
  <c r="Q138" i="1" s="1"/>
  <c r="N138" i="1"/>
  <c r="O138" i="1" s="1"/>
  <c r="L138" i="1"/>
  <c r="M138" i="1" s="1"/>
  <c r="J138" i="1"/>
  <c r="K138" i="1" s="1"/>
  <c r="L142" i="1"/>
  <c r="M142" i="1" s="1"/>
  <c r="N142" i="1"/>
  <c r="O142" i="1" s="1"/>
  <c r="P142" i="1"/>
  <c r="Q142" i="1" s="1"/>
  <c r="R142" i="1"/>
  <c r="S142" i="1" s="1"/>
  <c r="T142" i="1"/>
  <c r="U142" i="1" s="1"/>
  <c r="V142" i="1"/>
  <c r="W142" i="1" s="1"/>
  <c r="J142" i="1"/>
  <c r="K142" i="1" s="1"/>
  <c r="V137" i="1"/>
  <c r="W137" i="1" s="1"/>
  <c r="T137" i="1"/>
  <c r="U137" i="1" s="1"/>
  <c r="R137" i="1"/>
  <c r="S137" i="1" s="1"/>
  <c r="P137" i="1"/>
  <c r="Q137" i="1" s="1"/>
  <c r="N137" i="1"/>
  <c r="O137" i="1" s="1"/>
  <c r="L137" i="1"/>
  <c r="M137" i="1" s="1"/>
  <c r="J137" i="1"/>
  <c r="K137" i="1" s="1"/>
  <c r="L141" i="1"/>
  <c r="V141" i="1"/>
  <c r="T141" i="1"/>
  <c r="R141" i="1"/>
  <c r="P141" i="1"/>
  <c r="N141" i="1"/>
  <c r="J141" i="1"/>
  <c r="V235" i="1" l="1"/>
  <c r="W235" i="1" s="1"/>
  <c r="T235" i="1"/>
  <c r="U235" i="1" s="1"/>
  <c r="R235" i="1"/>
  <c r="S235" i="1" s="1"/>
  <c r="P235" i="1"/>
  <c r="Q235" i="1" s="1"/>
  <c r="N235" i="1"/>
  <c r="O235" i="1" s="1"/>
  <c r="L235" i="1"/>
  <c r="M235" i="1" s="1"/>
  <c r="H235" i="1"/>
  <c r="I235" i="1" s="1"/>
  <c r="J235" i="1"/>
  <c r="K235" i="1" s="1"/>
  <c r="T382" i="1"/>
  <c r="U382" i="1" s="1"/>
  <c r="P382" i="1"/>
  <c r="Q382" i="1" s="1"/>
  <c r="L382" i="1"/>
  <c r="M382" i="1" s="1"/>
  <c r="V382" i="1"/>
  <c r="W382" i="1" s="1"/>
  <c r="R382" i="1"/>
  <c r="S382" i="1" s="1"/>
  <c r="N382" i="1"/>
  <c r="O382" i="1" s="1"/>
  <c r="G235" i="1"/>
  <c r="G382" i="1"/>
  <c r="J60" i="1" l="1"/>
  <c r="L60" i="1"/>
  <c r="N60" i="1"/>
  <c r="T409" i="1" l="1"/>
  <c r="U409" i="1" s="1"/>
  <c r="R409" i="1"/>
  <c r="S409" i="1" s="1"/>
  <c r="P409" i="1"/>
  <c r="Q409" i="1" s="1"/>
  <c r="L409" i="1"/>
  <c r="M409" i="1" s="1"/>
  <c r="N409" i="1"/>
  <c r="O409" i="1" s="1"/>
  <c r="H409" i="1"/>
  <c r="I409" i="1" s="1"/>
  <c r="J409" i="1"/>
  <c r="K409" i="1" s="1"/>
  <c r="V409" i="1"/>
  <c r="W409" i="1" s="1"/>
  <c r="G409" i="1"/>
  <c r="V498" i="1" l="1"/>
  <c r="W498" i="1" s="1"/>
  <c r="T491" i="1" l="1"/>
  <c r="U491" i="1" s="1"/>
  <c r="R491" i="1"/>
  <c r="S491" i="1" s="1"/>
  <c r="P491" i="1"/>
  <c r="Q491" i="1" s="1"/>
  <c r="V491" i="1"/>
  <c r="W491" i="1" s="1"/>
  <c r="N491" i="1"/>
  <c r="O491" i="1" s="1"/>
  <c r="L491" i="1"/>
  <c r="M491" i="1" s="1"/>
  <c r="J491" i="1"/>
  <c r="K491" i="1" s="1"/>
  <c r="H491" i="1"/>
  <c r="I491" i="1" s="1"/>
  <c r="J499" i="1"/>
  <c r="K499" i="1" s="1"/>
  <c r="H499" i="1"/>
  <c r="I499" i="1" s="1"/>
  <c r="P499" i="1"/>
  <c r="Q499" i="1" s="1"/>
  <c r="V499" i="1"/>
  <c r="W499" i="1" s="1"/>
  <c r="T499" i="1"/>
  <c r="U499" i="1" s="1"/>
  <c r="R499" i="1"/>
  <c r="S499" i="1" s="1"/>
  <c r="L499" i="1"/>
  <c r="M499" i="1" s="1"/>
  <c r="N499" i="1"/>
  <c r="O499" i="1" s="1"/>
  <c r="T498" i="1"/>
  <c r="U498" i="1" s="1"/>
  <c r="R498" i="1"/>
  <c r="S498" i="1" s="1"/>
  <c r="J498" i="1"/>
  <c r="K498" i="1" s="1"/>
  <c r="L498" i="1"/>
  <c r="M498" i="1" s="1"/>
  <c r="P498" i="1"/>
  <c r="Q498" i="1" s="1"/>
  <c r="H498" i="1"/>
  <c r="I498" i="1" s="1"/>
  <c r="N498" i="1"/>
  <c r="O498" i="1" s="1"/>
  <c r="G499" i="1"/>
  <c r="G412" i="1" l="1"/>
  <c r="T456" i="1" l="1"/>
  <c r="U456" i="1" s="1"/>
  <c r="R456" i="1"/>
  <c r="S456" i="1" s="1"/>
  <c r="P456" i="1"/>
  <c r="Q456" i="1" s="1"/>
  <c r="N456" i="1"/>
  <c r="O456" i="1" s="1"/>
  <c r="L456" i="1"/>
  <c r="M456" i="1" s="1"/>
  <c r="T455" i="1"/>
  <c r="U455" i="1" s="1"/>
  <c r="R455" i="1"/>
  <c r="S455" i="1" s="1"/>
  <c r="P455" i="1"/>
  <c r="Q455" i="1" s="1"/>
  <c r="N455" i="1"/>
  <c r="O455" i="1" s="1"/>
  <c r="L455" i="1"/>
  <c r="M455" i="1" s="1"/>
  <c r="T454" i="1"/>
  <c r="U454" i="1" s="1"/>
  <c r="R454" i="1"/>
  <c r="S454" i="1" s="1"/>
  <c r="P454" i="1"/>
  <c r="Q454" i="1" s="1"/>
  <c r="N454" i="1"/>
  <c r="O454" i="1" s="1"/>
  <c r="L454" i="1"/>
  <c r="M454" i="1" s="1"/>
  <c r="T453" i="1"/>
  <c r="U453" i="1" s="1"/>
  <c r="R453" i="1"/>
  <c r="S453" i="1" s="1"/>
  <c r="P453" i="1"/>
  <c r="Q453" i="1" s="1"/>
  <c r="N453" i="1"/>
  <c r="O453" i="1" s="1"/>
  <c r="L453" i="1"/>
  <c r="M453" i="1" s="1"/>
  <c r="T452" i="1"/>
  <c r="U452" i="1" s="1"/>
  <c r="R452" i="1"/>
  <c r="S452" i="1" s="1"/>
  <c r="P452" i="1"/>
  <c r="Q452" i="1" s="1"/>
  <c r="N452" i="1"/>
  <c r="O452" i="1" s="1"/>
  <c r="L452" i="1"/>
  <c r="M452" i="1" s="1"/>
  <c r="T451" i="1"/>
  <c r="U451" i="1" s="1"/>
  <c r="R451" i="1"/>
  <c r="S451" i="1" s="1"/>
  <c r="P451" i="1"/>
  <c r="Q451" i="1" s="1"/>
  <c r="N451" i="1"/>
  <c r="O451" i="1" s="1"/>
  <c r="L451" i="1"/>
  <c r="M451" i="1" s="1"/>
  <c r="V464" i="1"/>
  <c r="W464" i="1" s="1"/>
  <c r="T464" i="1"/>
  <c r="U464" i="1" s="1"/>
  <c r="R464" i="1"/>
  <c r="S464" i="1" s="1"/>
  <c r="P464" i="1"/>
  <c r="Q464" i="1" s="1"/>
  <c r="N464" i="1"/>
  <c r="O464" i="1" s="1"/>
  <c r="L464" i="1"/>
  <c r="M464" i="1" s="1"/>
  <c r="J464" i="1"/>
  <c r="K464" i="1" s="1"/>
  <c r="H464" i="1"/>
  <c r="I464" i="1" s="1"/>
  <c r="V463" i="1"/>
  <c r="W463" i="1" s="1"/>
  <c r="T463" i="1"/>
  <c r="U463" i="1" s="1"/>
  <c r="R463" i="1"/>
  <c r="S463" i="1" s="1"/>
  <c r="P463" i="1"/>
  <c r="Q463" i="1" s="1"/>
  <c r="N463" i="1"/>
  <c r="O463" i="1" s="1"/>
  <c r="L463" i="1"/>
  <c r="M463" i="1" s="1"/>
  <c r="J463" i="1"/>
  <c r="K463" i="1" s="1"/>
  <c r="H463" i="1"/>
  <c r="I463" i="1" s="1"/>
  <c r="V461" i="1"/>
  <c r="W461" i="1" s="1"/>
  <c r="T461" i="1"/>
  <c r="U461" i="1" s="1"/>
  <c r="R461" i="1"/>
  <c r="S461" i="1" s="1"/>
  <c r="P461" i="1"/>
  <c r="Q461" i="1" s="1"/>
  <c r="N461" i="1"/>
  <c r="O461" i="1" s="1"/>
  <c r="L461" i="1"/>
  <c r="M461" i="1" s="1"/>
  <c r="J461" i="1"/>
  <c r="K461" i="1" s="1"/>
  <c r="H461" i="1"/>
  <c r="I461" i="1" s="1"/>
  <c r="V460" i="1"/>
  <c r="W460" i="1" s="1"/>
  <c r="T460" i="1"/>
  <c r="U460" i="1" s="1"/>
  <c r="R460" i="1"/>
  <c r="S460" i="1" s="1"/>
  <c r="P460" i="1"/>
  <c r="Q460" i="1" s="1"/>
  <c r="N460" i="1"/>
  <c r="O460" i="1" s="1"/>
  <c r="L460" i="1"/>
  <c r="M460" i="1" s="1"/>
  <c r="J460" i="1"/>
  <c r="K460" i="1" s="1"/>
  <c r="H460" i="1"/>
  <c r="I460" i="1" s="1"/>
  <c r="V459" i="1"/>
  <c r="W459" i="1" s="1"/>
  <c r="T459" i="1"/>
  <c r="U459" i="1" s="1"/>
  <c r="R459" i="1"/>
  <c r="S459" i="1" s="1"/>
  <c r="P459" i="1"/>
  <c r="Q459" i="1" s="1"/>
  <c r="N459" i="1"/>
  <c r="O459" i="1" s="1"/>
  <c r="L459" i="1"/>
  <c r="M459" i="1" s="1"/>
  <c r="J459" i="1"/>
  <c r="K459" i="1" s="1"/>
  <c r="H459" i="1"/>
  <c r="I459" i="1" s="1"/>
  <c r="V458" i="1"/>
  <c r="W458" i="1" s="1"/>
  <c r="T458" i="1"/>
  <c r="U458" i="1" s="1"/>
  <c r="R458" i="1"/>
  <c r="S458" i="1" s="1"/>
  <c r="P458" i="1"/>
  <c r="Q458" i="1" s="1"/>
  <c r="N458" i="1"/>
  <c r="O458" i="1" s="1"/>
  <c r="L458" i="1"/>
  <c r="M458" i="1" s="1"/>
  <c r="J458" i="1"/>
  <c r="K458" i="1" s="1"/>
  <c r="H458" i="1"/>
  <c r="I458" i="1" s="1"/>
  <c r="V467" i="1"/>
  <c r="W467" i="1" s="1"/>
  <c r="T467" i="1"/>
  <c r="U467" i="1" s="1"/>
  <c r="R467" i="1"/>
  <c r="S467" i="1" s="1"/>
  <c r="P467" i="1"/>
  <c r="Q467" i="1" s="1"/>
  <c r="N467" i="1"/>
  <c r="O467" i="1" s="1"/>
  <c r="L467" i="1"/>
  <c r="M467" i="1" s="1"/>
  <c r="J467" i="1"/>
  <c r="K467" i="1" s="1"/>
  <c r="H467" i="1"/>
  <c r="I467" i="1" s="1"/>
  <c r="V466" i="1"/>
  <c r="W466" i="1" s="1"/>
  <c r="T466" i="1"/>
  <c r="U466" i="1" s="1"/>
  <c r="R466" i="1"/>
  <c r="S466" i="1" s="1"/>
  <c r="P466" i="1"/>
  <c r="Q466" i="1" s="1"/>
  <c r="N466" i="1"/>
  <c r="O466" i="1" s="1"/>
  <c r="L466" i="1"/>
  <c r="M466" i="1" s="1"/>
  <c r="J466" i="1"/>
  <c r="K466" i="1" s="1"/>
  <c r="H466" i="1"/>
  <c r="I466" i="1" s="1"/>
  <c r="V470" i="1"/>
  <c r="W470" i="1" s="1"/>
  <c r="T470" i="1"/>
  <c r="U470" i="1" s="1"/>
  <c r="R470" i="1"/>
  <c r="S470" i="1" s="1"/>
  <c r="P470" i="1"/>
  <c r="Q470" i="1" s="1"/>
  <c r="N470" i="1"/>
  <c r="O470" i="1" s="1"/>
  <c r="L470" i="1"/>
  <c r="M470" i="1" s="1"/>
  <c r="J470" i="1"/>
  <c r="K470" i="1" s="1"/>
  <c r="H470" i="1"/>
  <c r="I470" i="1" s="1"/>
  <c r="T507" i="1" l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F554" i="1" l="1"/>
  <c r="F541" i="1"/>
  <c r="G457" i="1"/>
  <c r="T527" i="1" l="1"/>
  <c r="U527" i="1" s="1"/>
  <c r="V527" i="1"/>
  <c r="W527" i="1" s="1"/>
  <c r="H527" i="1"/>
  <c r="I527" i="1" s="1"/>
  <c r="P527" i="1"/>
  <c r="Q527" i="1" s="1"/>
  <c r="R527" i="1"/>
  <c r="S527" i="1" s="1"/>
  <c r="J527" i="1"/>
  <c r="K527" i="1" s="1"/>
  <c r="L527" i="1"/>
  <c r="M527" i="1" s="1"/>
  <c r="N527" i="1"/>
  <c r="O527" i="1" s="1"/>
  <c r="N542" i="1"/>
  <c r="O542" i="1" s="1"/>
  <c r="P542" i="1"/>
  <c r="Q542" i="1" s="1"/>
  <c r="L542" i="1"/>
  <c r="M542" i="1" s="1"/>
  <c r="R542" i="1"/>
  <c r="S542" i="1" s="1"/>
  <c r="T542" i="1"/>
  <c r="U542" i="1" s="1"/>
  <c r="H542" i="1"/>
  <c r="I542" i="1" s="1"/>
  <c r="V542" i="1"/>
  <c r="W542" i="1" s="1"/>
  <c r="J542" i="1"/>
  <c r="K542" i="1" s="1"/>
  <c r="H544" i="1"/>
  <c r="I544" i="1" s="1"/>
  <c r="J544" i="1"/>
  <c r="K544" i="1" s="1"/>
  <c r="L544" i="1"/>
  <c r="M544" i="1" s="1"/>
  <c r="N544" i="1"/>
  <c r="O544" i="1" s="1"/>
  <c r="P544" i="1"/>
  <c r="Q544" i="1" s="1"/>
  <c r="R544" i="1"/>
  <c r="S544" i="1" s="1"/>
  <c r="T544" i="1"/>
  <c r="U544" i="1" s="1"/>
  <c r="V544" i="1"/>
  <c r="W544" i="1" s="1"/>
  <c r="V553" i="1"/>
  <c r="W553" i="1" s="1"/>
  <c r="T553" i="1"/>
  <c r="U553" i="1" s="1"/>
  <c r="R553" i="1"/>
  <c r="S553" i="1" s="1"/>
  <c r="P553" i="1"/>
  <c r="Q553" i="1" s="1"/>
  <c r="N553" i="1"/>
  <c r="O553" i="1" s="1"/>
  <c r="L553" i="1"/>
  <c r="M553" i="1" s="1"/>
  <c r="J553" i="1"/>
  <c r="K553" i="1" s="1"/>
  <c r="H553" i="1"/>
  <c r="I553" i="1" s="1"/>
  <c r="R541" i="1"/>
  <c r="S541" i="1" s="1"/>
  <c r="P541" i="1"/>
  <c r="Q541" i="1" s="1"/>
  <c r="T541" i="1"/>
  <c r="U541" i="1" s="1"/>
  <c r="N541" i="1"/>
  <c r="O541" i="1" s="1"/>
  <c r="H541" i="1"/>
  <c r="I541" i="1" s="1"/>
  <c r="V541" i="1"/>
  <c r="W541" i="1" s="1"/>
  <c r="L541" i="1"/>
  <c r="M541" i="1" s="1"/>
  <c r="J541" i="1"/>
  <c r="K541" i="1" s="1"/>
  <c r="H545" i="1"/>
  <c r="I545" i="1" s="1"/>
  <c r="V545" i="1"/>
  <c r="W545" i="1" s="1"/>
  <c r="J545" i="1"/>
  <c r="K545" i="1" s="1"/>
  <c r="R545" i="1"/>
  <c r="S545" i="1" s="1"/>
  <c r="L545" i="1"/>
  <c r="M545" i="1" s="1"/>
  <c r="N545" i="1"/>
  <c r="O545" i="1" s="1"/>
  <c r="T545" i="1"/>
  <c r="U545" i="1" s="1"/>
  <c r="P545" i="1"/>
  <c r="Q545" i="1" s="1"/>
  <c r="V554" i="1"/>
  <c r="W554" i="1" s="1"/>
  <c r="T554" i="1"/>
  <c r="U554" i="1" s="1"/>
  <c r="R554" i="1"/>
  <c r="S554" i="1" s="1"/>
  <c r="P554" i="1"/>
  <c r="Q554" i="1" s="1"/>
  <c r="L554" i="1"/>
  <c r="M554" i="1" s="1"/>
  <c r="N554" i="1"/>
  <c r="O554" i="1" s="1"/>
  <c r="H554" i="1"/>
  <c r="I554" i="1" s="1"/>
  <c r="J554" i="1"/>
  <c r="K554" i="1" s="1"/>
  <c r="P457" i="1"/>
  <c r="Q457" i="1" s="1"/>
  <c r="N457" i="1"/>
  <c r="O457" i="1" s="1"/>
  <c r="L457" i="1"/>
  <c r="M457" i="1" s="1"/>
  <c r="V457" i="1"/>
  <c r="W457" i="1" s="1"/>
  <c r="J457" i="1"/>
  <c r="K457" i="1" s="1"/>
  <c r="T457" i="1"/>
  <c r="U457" i="1" s="1"/>
  <c r="R457" i="1"/>
  <c r="S457" i="1" s="1"/>
  <c r="H457" i="1"/>
  <c r="I457" i="1" s="1"/>
  <c r="N500" i="1" l="1"/>
  <c r="O500" i="1" s="1"/>
  <c r="J500" i="1"/>
  <c r="K500" i="1" s="1"/>
  <c r="L500" i="1"/>
  <c r="M500" i="1" s="1"/>
  <c r="H500" i="1"/>
  <c r="I500" i="1" s="1"/>
  <c r="V500" i="1"/>
  <c r="W500" i="1" s="1"/>
  <c r="T500" i="1"/>
  <c r="U500" i="1" s="1"/>
  <c r="R500" i="1"/>
  <c r="S500" i="1" s="1"/>
  <c r="P500" i="1"/>
  <c r="Q500" i="1" s="1"/>
  <c r="R490" i="1"/>
  <c r="S490" i="1" s="1"/>
  <c r="P490" i="1"/>
  <c r="Q490" i="1" s="1"/>
  <c r="N490" i="1"/>
  <c r="O490" i="1" s="1"/>
  <c r="L490" i="1"/>
  <c r="M490" i="1" s="1"/>
  <c r="J490" i="1"/>
  <c r="K490" i="1" s="1"/>
  <c r="H490" i="1"/>
  <c r="I490" i="1" s="1"/>
  <c r="T490" i="1"/>
  <c r="U490" i="1" s="1"/>
  <c r="V490" i="1"/>
  <c r="W490" i="1" s="1"/>
  <c r="N506" i="1"/>
  <c r="O506" i="1" s="1"/>
  <c r="L506" i="1"/>
  <c r="M506" i="1" s="1"/>
  <c r="J506" i="1"/>
  <c r="K506" i="1" s="1"/>
  <c r="H506" i="1"/>
  <c r="I506" i="1" s="1"/>
  <c r="P506" i="1"/>
  <c r="Q506" i="1" s="1"/>
  <c r="V506" i="1"/>
  <c r="W506" i="1" s="1"/>
  <c r="T506" i="1"/>
  <c r="U506" i="1" s="1"/>
  <c r="R506" i="1"/>
  <c r="S506" i="1" s="1"/>
  <c r="L621" i="1"/>
  <c r="L620" i="1"/>
  <c r="F442" i="1"/>
  <c r="F401" i="1"/>
  <c r="F378" i="1"/>
  <c r="R442" i="1" l="1"/>
  <c r="S442" i="1" s="1"/>
  <c r="P442" i="1"/>
  <c r="Q442" i="1" s="1"/>
  <c r="N442" i="1"/>
  <c r="O442" i="1" s="1"/>
  <c r="L442" i="1"/>
  <c r="M442" i="1" s="1"/>
  <c r="T442" i="1"/>
  <c r="U442" i="1" s="1"/>
  <c r="J442" i="1"/>
  <c r="K442" i="1" s="1"/>
  <c r="H442" i="1"/>
  <c r="I442" i="1" s="1"/>
  <c r="V442" i="1"/>
  <c r="W442" i="1" s="1"/>
  <c r="T429" i="1"/>
  <c r="U429" i="1" s="1"/>
  <c r="R429" i="1"/>
  <c r="S429" i="1" s="1"/>
  <c r="P429" i="1"/>
  <c r="Q429" i="1" s="1"/>
  <c r="V429" i="1"/>
  <c r="W429" i="1" s="1"/>
  <c r="N429" i="1"/>
  <c r="O429" i="1" s="1"/>
  <c r="L429" i="1"/>
  <c r="M429" i="1" s="1"/>
  <c r="J429" i="1"/>
  <c r="K429" i="1" s="1"/>
  <c r="V381" i="1"/>
  <c r="W381" i="1" s="1"/>
  <c r="T381" i="1"/>
  <c r="U381" i="1" s="1"/>
  <c r="R381" i="1"/>
  <c r="S381" i="1" s="1"/>
  <c r="P381" i="1"/>
  <c r="Q381" i="1" s="1"/>
  <c r="N381" i="1"/>
  <c r="O381" i="1" s="1"/>
  <c r="L381" i="1"/>
  <c r="M381" i="1" s="1"/>
  <c r="H388" i="1"/>
  <c r="I388" i="1" s="1"/>
  <c r="L388" i="1"/>
  <c r="M388" i="1" s="1"/>
  <c r="J388" i="1"/>
  <c r="K388" i="1" s="1"/>
  <c r="V378" i="1"/>
  <c r="W378" i="1" s="1"/>
  <c r="T378" i="1"/>
  <c r="U378" i="1" s="1"/>
  <c r="R378" i="1"/>
  <c r="S378" i="1" s="1"/>
  <c r="N378" i="1"/>
  <c r="O378" i="1" s="1"/>
  <c r="L378" i="1"/>
  <c r="M378" i="1" s="1"/>
  <c r="P378" i="1"/>
  <c r="Q378" i="1" s="1"/>
  <c r="J401" i="1"/>
  <c r="K401" i="1" s="1"/>
  <c r="H401" i="1"/>
  <c r="I401" i="1" s="1"/>
  <c r="V401" i="1"/>
  <c r="W401" i="1" s="1"/>
  <c r="R401" i="1"/>
  <c r="S401" i="1" s="1"/>
  <c r="P401" i="1"/>
  <c r="Q401" i="1" s="1"/>
  <c r="T401" i="1"/>
  <c r="U401" i="1" s="1"/>
  <c r="L401" i="1"/>
  <c r="M401" i="1" s="1"/>
  <c r="N401" i="1"/>
  <c r="O401" i="1" s="1"/>
  <c r="G393" i="1"/>
  <c r="F368" i="1"/>
  <c r="R366" i="1" l="1"/>
  <c r="S366" i="1" s="1"/>
  <c r="N366" i="1"/>
  <c r="O366" i="1" s="1"/>
  <c r="P366" i="1"/>
  <c r="Q366" i="1" s="1"/>
  <c r="V366" i="1"/>
  <c r="W366" i="1" s="1"/>
  <c r="T366" i="1"/>
  <c r="U366" i="1" s="1"/>
  <c r="L366" i="1"/>
  <c r="M366" i="1" s="1"/>
  <c r="V368" i="1"/>
  <c r="W368" i="1" s="1"/>
  <c r="T368" i="1"/>
  <c r="U368" i="1" s="1"/>
  <c r="R368" i="1"/>
  <c r="S368" i="1" s="1"/>
  <c r="P368" i="1"/>
  <c r="Q368" i="1" s="1"/>
  <c r="N368" i="1"/>
  <c r="O368" i="1" s="1"/>
  <c r="L368" i="1"/>
  <c r="M368" i="1" s="1"/>
  <c r="R340" i="1"/>
  <c r="S340" i="1" s="1"/>
  <c r="P340" i="1"/>
  <c r="Q340" i="1" s="1"/>
  <c r="N340" i="1"/>
  <c r="O340" i="1" s="1"/>
  <c r="L340" i="1"/>
  <c r="M340" i="1" s="1"/>
  <c r="V340" i="1"/>
  <c r="W340" i="1" s="1"/>
  <c r="T340" i="1"/>
  <c r="U340" i="1" s="1"/>
  <c r="V343" i="1"/>
  <c r="N343" i="1"/>
  <c r="H343" i="1"/>
  <c r="T343" i="1"/>
  <c r="L343" i="1"/>
  <c r="J343" i="1"/>
  <c r="R343" i="1"/>
  <c r="P343" i="1"/>
  <c r="L339" i="1"/>
  <c r="M339" i="1" s="1"/>
  <c r="V339" i="1"/>
  <c r="W339" i="1" s="1"/>
  <c r="P339" i="1"/>
  <c r="Q339" i="1" s="1"/>
  <c r="T339" i="1"/>
  <c r="U339" i="1" s="1"/>
  <c r="R339" i="1"/>
  <c r="S339" i="1" s="1"/>
  <c r="N339" i="1"/>
  <c r="O339" i="1" s="1"/>
  <c r="R351" i="1"/>
  <c r="S351" i="1" s="1"/>
  <c r="N351" i="1"/>
  <c r="O351" i="1" s="1"/>
  <c r="T351" i="1"/>
  <c r="U351" i="1" s="1"/>
  <c r="V351" i="1"/>
  <c r="W351" i="1" s="1"/>
  <c r="P351" i="1"/>
  <c r="Q351" i="1" s="1"/>
  <c r="L337" i="1"/>
  <c r="M337" i="1" s="1"/>
  <c r="N337" i="1"/>
  <c r="O337" i="1" s="1"/>
  <c r="V337" i="1"/>
  <c r="W337" i="1" s="1"/>
  <c r="T337" i="1"/>
  <c r="U337" i="1" s="1"/>
  <c r="R337" i="1"/>
  <c r="S337" i="1" s="1"/>
  <c r="P337" i="1"/>
  <c r="Q337" i="1" s="1"/>
  <c r="H367" i="1"/>
  <c r="I367" i="1" s="1"/>
  <c r="T367" i="1"/>
  <c r="U367" i="1" s="1"/>
  <c r="N367" i="1"/>
  <c r="O367" i="1" s="1"/>
  <c r="J367" i="1"/>
  <c r="K367" i="1" s="1"/>
  <c r="L367" i="1"/>
  <c r="M367" i="1" s="1"/>
  <c r="V367" i="1"/>
  <c r="W367" i="1" s="1"/>
  <c r="R367" i="1"/>
  <c r="S367" i="1" s="1"/>
  <c r="P367" i="1"/>
  <c r="Q367" i="1" s="1"/>
  <c r="R371" i="1"/>
  <c r="S371" i="1" s="1"/>
  <c r="N371" i="1"/>
  <c r="O371" i="1" s="1"/>
  <c r="P371" i="1"/>
  <c r="Q371" i="1" s="1"/>
  <c r="V371" i="1"/>
  <c r="W371" i="1" s="1"/>
  <c r="T371" i="1"/>
  <c r="U371" i="1" s="1"/>
  <c r="L371" i="1"/>
  <c r="M371" i="1" s="1"/>
  <c r="F312" i="1"/>
  <c r="F309" i="1"/>
  <c r="H309" i="1" s="1"/>
  <c r="I309" i="1" s="1"/>
  <c r="F298" i="1"/>
  <c r="F287" i="1"/>
  <c r="F279" i="1"/>
  <c r="F540" i="1"/>
  <c r="F248" i="1"/>
  <c r="F257" i="1"/>
  <c r="F244" i="1"/>
  <c r="F233" i="1"/>
  <c r="F224" i="1"/>
  <c r="F220" i="1"/>
  <c r="F198" i="1"/>
  <c r="F188" i="1"/>
  <c r="F168" i="1"/>
  <c r="F167" i="1"/>
  <c r="F164" i="1"/>
  <c r="J164" i="1" s="1"/>
  <c r="F145" i="1"/>
  <c r="W433" i="1"/>
  <c r="U433" i="1"/>
  <c r="S433" i="1"/>
  <c r="Q433" i="1"/>
  <c r="O433" i="1"/>
  <c r="W432" i="1"/>
  <c r="U432" i="1"/>
  <c r="S432" i="1"/>
  <c r="Q432" i="1"/>
  <c r="O432" i="1"/>
  <c r="W427" i="1"/>
  <c r="U427" i="1"/>
  <c r="S427" i="1"/>
  <c r="Q427" i="1"/>
  <c r="O427" i="1"/>
  <c r="W426" i="1"/>
  <c r="U426" i="1"/>
  <c r="S426" i="1"/>
  <c r="Q426" i="1"/>
  <c r="O426" i="1"/>
  <c r="F27" i="1"/>
  <c r="F29" i="1"/>
  <c r="F30" i="1"/>
  <c r="F17" i="1"/>
  <c r="F18" i="1"/>
  <c r="N301" i="1" l="1"/>
  <c r="O301" i="1" s="1"/>
  <c r="V301" i="1"/>
  <c r="W301" i="1" s="1"/>
  <c r="T301" i="1"/>
  <c r="U301" i="1" s="1"/>
  <c r="R301" i="1"/>
  <c r="S301" i="1" s="1"/>
  <c r="P301" i="1"/>
  <c r="Q301" i="1" s="1"/>
  <c r="L301" i="1"/>
  <c r="M301" i="1" s="1"/>
  <c r="J301" i="1"/>
  <c r="K301" i="1" s="1"/>
  <c r="H301" i="1"/>
  <c r="I301" i="1" s="1"/>
  <c r="K162" i="1"/>
  <c r="T248" i="1"/>
  <c r="U248" i="1" s="1"/>
  <c r="R248" i="1"/>
  <c r="S248" i="1" s="1"/>
  <c r="P248" i="1"/>
  <c r="Q248" i="1" s="1"/>
  <c r="N248" i="1"/>
  <c r="O248" i="1" s="1"/>
  <c r="L248" i="1"/>
  <c r="M248" i="1" s="1"/>
  <c r="J248" i="1"/>
  <c r="K248" i="1" s="1"/>
  <c r="H248" i="1"/>
  <c r="I248" i="1" s="1"/>
  <c r="V248" i="1"/>
  <c r="W248" i="1" s="1"/>
  <c r="T252" i="1"/>
  <c r="U252" i="1" s="1"/>
  <c r="R252" i="1"/>
  <c r="S252" i="1" s="1"/>
  <c r="P252" i="1"/>
  <c r="Q252" i="1" s="1"/>
  <c r="N252" i="1"/>
  <c r="O252" i="1" s="1"/>
  <c r="L252" i="1"/>
  <c r="M252" i="1" s="1"/>
  <c r="J252" i="1"/>
  <c r="K252" i="1" s="1"/>
  <c r="H252" i="1"/>
  <c r="I252" i="1" s="1"/>
  <c r="V252" i="1"/>
  <c r="W252" i="1" s="1"/>
  <c r="V309" i="1"/>
  <c r="T309" i="1"/>
  <c r="R309" i="1"/>
  <c r="J309" i="1"/>
  <c r="P309" i="1"/>
  <c r="L309" i="1"/>
  <c r="N309" i="1"/>
  <c r="R540" i="1"/>
  <c r="S540" i="1" s="1"/>
  <c r="T540" i="1"/>
  <c r="U540" i="1" s="1"/>
  <c r="V540" i="1"/>
  <c r="W540" i="1" s="1"/>
  <c r="H540" i="1"/>
  <c r="I540" i="1" s="1"/>
  <c r="J540" i="1"/>
  <c r="K540" i="1" s="1"/>
  <c r="L540" i="1"/>
  <c r="M540" i="1" s="1"/>
  <c r="P540" i="1"/>
  <c r="Q540" i="1" s="1"/>
  <c r="N540" i="1"/>
  <c r="O540" i="1" s="1"/>
  <c r="P164" i="1"/>
  <c r="Q164" i="1" s="1"/>
  <c r="R164" i="1"/>
  <c r="S164" i="1" s="1"/>
  <c r="L164" i="1"/>
  <c r="M164" i="1" s="1"/>
  <c r="K164" i="1"/>
  <c r="N164" i="1"/>
  <c r="O164" i="1" s="1"/>
  <c r="L279" i="1"/>
  <c r="H279" i="1"/>
  <c r="V279" i="1"/>
  <c r="T279" i="1"/>
  <c r="R279" i="1"/>
  <c r="P279" i="1"/>
  <c r="N279" i="1"/>
  <c r="J279" i="1"/>
  <c r="R257" i="1"/>
  <c r="S257" i="1" s="1"/>
  <c r="P257" i="1"/>
  <c r="Q257" i="1" s="1"/>
  <c r="N257" i="1"/>
  <c r="O257" i="1" s="1"/>
  <c r="L257" i="1"/>
  <c r="M257" i="1" s="1"/>
  <c r="H257" i="1"/>
  <c r="I257" i="1" s="1"/>
  <c r="J257" i="1"/>
  <c r="K257" i="1" s="1"/>
  <c r="V249" i="1"/>
  <c r="W249" i="1" s="1"/>
  <c r="T249" i="1"/>
  <c r="U249" i="1" s="1"/>
  <c r="R249" i="1"/>
  <c r="S249" i="1" s="1"/>
  <c r="P249" i="1"/>
  <c r="Q249" i="1" s="1"/>
  <c r="N249" i="1"/>
  <c r="O249" i="1" s="1"/>
  <c r="L249" i="1"/>
  <c r="M249" i="1" s="1"/>
  <c r="H249" i="1"/>
  <c r="I249" i="1" s="1"/>
  <c r="J249" i="1"/>
  <c r="K249" i="1" s="1"/>
  <c r="V189" i="1"/>
  <c r="W189" i="1" s="1"/>
  <c r="T189" i="1"/>
  <c r="U189" i="1" s="1"/>
  <c r="R189" i="1"/>
  <c r="S189" i="1" s="1"/>
  <c r="P189" i="1"/>
  <c r="Q189" i="1" s="1"/>
  <c r="N189" i="1"/>
  <c r="O189" i="1" s="1"/>
  <c r="L189" i="1"/>
  <c r="M189" i="1" s="1"/>
  <c r="J286" i="1"/>
  <c r="K286" i="1" s="1"/>
  <c r="H286" i="1"/>
  <c r="L286" i="1"/>
  <c r="M286" i="1" s="1"/>
  <c r="N286" i="1"/>
  <c r="O286" i="1" s="1"/>
  <c r="P286" i="1"/>
  <c r="Q286" i="1" s="1"/>
  <c r="V286" i="1"/>
  <c r="W286" i="1" s="1"/>
  <c r="T286" i="1"/>
  <c r="U286" i="1" s="1"/>
  <c r="R286" i="1"/>
  <c r="S286" i="1" s="1"/>
  <c r="T233" i="1"/>
  <c r="U233" i="1" s="1"/>
  <c r="R233" i="1"/>
  <c r="S233" i="1" s="1"/>
  <c r="P233" i="1"/>
  <c r="Q233" i="1" s="1"/>
  <c r="N233" i="1"/>
  <c r="O233" i="1" s="1"/>
  <c r="L233" i="1"/>
  <c r="M233" i="1" s="1"/>
  <c r="J233" i="1"/>
  <c r="K233" i="1" s="1"/>
  <c r="H233" i="1"/>
  <c r="I233" i="1" s="1"/>
  <c r="V233" i="1"/>
  <c r="W233" i="1" s="1"/>
  <c r="J166" i="1"/>
  <c r="K166" i="1" s="1"/>
  <c r="L166" i="1"/>
  <c r="M166" i="1" s="1"/>
  <c r="N166" i="1"/>
  <c r="O166" i="1" s="1"/>
  <c r="P166" i="1"/>
  <c r="Q166" i="1" s="1"/>
  <c r="R166" i="1"/>
  <c r="S166" i="1" s="1"/>
  <c r="H166" i="1"/>
  <c r="T166" i="1"/>
  <c r="U166" i="1" s="1"/>
  <c r="V166" i="1"/>
  <c r="W166" i="1" s="1"/>
  <c r="J167" i="1"/>
  <c r="K167" i="1" s="1"/>
  <c r="H167" i="1"/>
  <c r="I167" i="1" s="1"/>
  <c r="T167" i="1"/>
  <c r="U167" i="1" s="1"/>
  <c r="R167" i="1"/>
  <c r="S167" i="1" s="1"/>
  <c r="P167" i="1"/>
  <c r="Q167" i="1" s="1"/>
  <c r="N167" i="1"/>
  <c r="O167" i="1" s="1"/>
  <c r="L167" i="1"/>
  <c r="M167" i="1" s="1"/>
  <c r="R188" i="1"/>
  <c r="S188" i="1" s="1"/>
  <c r="P188" i="1"/>
  <c r="Q188" i="1" s="1"/>
  <c r="N188" i="1"/>
  <c r="O188" i="1" s="1"/>
  <c r="L188" i="1"/>
  <c r="M188" i="1" s="1"/>
  <c r="V188" i="1"/>
  <c r="W188" i="1" s="1"/>
  <c r="T188" i="1"/>
  <c r="U188" i="1" s="1"/>
  <c r="R97" i="1"/>
  <c r="S97" i="1" s="1"/>
  <c r="P97" i="1"/>
  <c r="Q97" i="1" s="1"/>
  <c r="L97" i="1"/>
  <c r="M97" i="1" s="1"/>
  <c r="J97" i="1"/>
  <c r="K97" i="1" s="1"/>
  <c r="N97" i="1"/>
  <c r="O97" i="1" s="1"/>
  <c r="V97" i="1"/>
  <c r="W97" i="1" s="1"/>
  <c r="T97" i="1"/>
  <c r="U97" i="1" s="1"/>
  <c r="P198" i="1"/>
  <c r="Q198" i="1" s="1"/>
  <c r="N198" i="1"/>
  <c r="O198" i="1" s="1"/>
  <c r="L198" i="1"/>
  <c r="M198" i="1" s="1"/>
  <c r="J198" i="1"/>
  <c r="K198" i="1" s="1"/>
  <c r="T198" i="1"/>
  <c r="U198" i="1" s="1"/>
  <c r="V198" i="1"/>
  <c r="W198" i="1" s="1"/>
  <c r="R198" i="1"/>
  <c r="S198" i="1" s="1"/>
  <c r="J287" i="1"/>
  <c r="K287" i="1" s="1"/>
  <c r="H287" i="1"/>
  <c r="I287" i="1" s="1"/>
  <c r="T244" i="1"/>
  <c r="U244" i="1" s="1"/>
  <c r="R244" i="1"/>
  <c r="S244" i="1" s="1"/>
  <c r="P244" i="1"/>
  <c r="Q244" i="1" s="1"/>
  <c r="N244" i="1"/>
  <c r="O244" i="1" s="1"/>
  <c r="L244" i="1"/>
  <c r="M244" i="1" s="1"/>
  <c r="J244" i="1"/>
  <c r="K244" i="1" s="1"/>
  <c r="H244" i="1"/>
  <c r="I244" i="1" s="1"/>
  <c r="V244" i="1"/>
  <c r="W244" i="1" s="1"/>
  <c r="H163" i="1"/>
  <c r="I163" i="1" s="1"/>
  <c r="V163" i="1"/>
  <c r="W163" i="1" s="1"/>
  <c r="T163" i="1"/>
  <c r="U163" i="1" s="1"/>
  <c r="R163" i="1"/>
  <c r="S163" i="1" s="1"/>
  <c r="P163" i="1"/>
  <c r="Q163" i="1" s="1"/>
  <c r="N163" i="1"/>
  <c r="O163" i="1" s="1"/>
  <c r="L163" i="1"/>
  <c r="M163" i="1" s="1"/>
  <c r="J163" i="1"/>
  <c r="K163" i="1" s="1"/>
  <c r="T168" i="1"/>
  <c r="U168" i="1" s="1"/>
  <c r="R168" i="1"/>
  <c r="S168" i="1" s="1"/>
  <c r="P168" i="1"/>
  <c r="Q168" i="1" s="1"/>
  <c r="N168" i="1"/>
  <c r="O168" i="1" s="1"/>
  <c r="L168" i="1"/>
  <c r="M168" i="1" s="1"/>
  <c r="J168" i="1"/>
  <c r="K168" i="1" s="1"/>
  <c r="H168" i="1"/>
  <c r="I168" i="1" s="1"/>
  <c r="J101" i="1"/>
  <c r="K101" i="1" s="1"/>
  <c r="H101" i="1"/>
  <c r="I101" i="1" s="1"/>
  <c r="V101" i="1"/>
  <c r="W101" i="1" s="1"/>
  <c r="T101" i="1"/>
  <c r="U101" i="1" s="1"/>
  <c r="R101" i="1"/>
  <c r="S101" i="1" s="1"/>
  <c r="P101" i="1"/>
  <c r="Q101" i="1" s="1"/>
  <c r="L101" i="1"/>
  <c r="M101" i="1" s="1"/>
  <c r="N101" i="1"/>
  <c r="O101" i="1" s="1"/>
  <c r="V220" i="1"/>
  <c r="W220" i="1" s="1"/>
  <c r="T220" i="1"/>
  <c r="U220" i="1" s="1"/>
  <c r="R220" i="1"/>
  <c r="S220" i="1" s="1"/>
  <c r="P220" i="1"/>
  <c r="Q220" i="1" s="1"/>
  <c r="N220" i="1"/>
  <c r="O220" i="1" s="1"/>
  <c r="L220" i="1"/>
  <c r="M220" i="1" s="1"/>
  <c r="J220" i="1"/>
  <c r="K220" i="1" s="1"/>
  <c r="R290" i="1"/>
  <c r="S290" i="1" s="1"/>
  <c r="H290" i="1"/>
  <c r="I290" i="1" s="1"/>
  <c r="T290" i="1"/>
  <c r="U290" i="1" s="1"/>
  <c r="J290" i="1"/>
  <c r="K290" i="1" s="1"/>
  <c r="N290" i="1"/>
  <c r="O290" i="1" s="1"/>
  <c r="V290" i="1"/>
  <c r="W290" i="1" s="1"/>
  <c r="L290" i="1"/>
  <c r="M290" i="1" s="1"/>
  <c r="P290" i="1"/>
  <c r="Q290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H104" i="1"/>
  <c r="I104" i="1" s="1"/>
  <c r="V224" i="1"/>
  <c r="T224" i="1"/>
  <c r="R224" i="1"/>
  <c r="S224" i="1" s="1"/>
  <c r="P224" i="1"/>
  <c r="Q224" i="1" s="1"/>
  <c r="N224" i="1"/>
  <c r="O224" i="1" s="1"/>
  <c r="L224" i="1"/>
  <c r="M224" i="1" s="1"/>
  <c r="J224" i="1"/>
  <c r="K224" i="1" s="1"/>
  <c r="H224" i="1"/>
  <c r="I224" i="1" s="1"/>
  <c r="J298" i="1"/>
  <c r="K298" i="1" s="1"/>
  <c r="V298" i="1"/>
  <c r="W298" i="1" s="1"/>
  <c r="L298" i="1"/>
  <c r="M298" i="1" s="1"/>
  <c r="P298" i="1"/>
  <c r="Q298" i="1" s="1"/>
  <c r="R298" i="1"/>
  <c r="S298" i="1" s="1"/>
  <c r="T298" i="1"/>
  <c r="U298" i="1" s="1"/>
  <c r="N298" i="1"/>
  <c r="O298" i="1" s="1"/>
  <c r="H298" i="1"/>
  <c r="I298" i="1" s="1"/>
  <c r="T145" i="1"/>
  <c r="U145" i="1" s="1"/>
  <c r="R145" i="1"/>
  <c r="S145" i="1" s="1"/>
  <c r="P145" i="1"/>
  <c r="Q145" i="1" s="1"/>
  <c r="H145" i="1"/>
  <c r="V145" i="1"/>
  <c r="W145" i="1" s="1"/>
  <c r="N145" i="1"/>
  <c r="O145" i="1" s="1"/>
  <c r="L145" i="1"/>
  <c r="M145" i="1" s="1"/>
  <c r="J145" i="1"/>
  <c r="K145" i="1" s="1"/>
  <c r="G309" i="1"/>
  <c r="G540" i="1"/>
  <c r="F389" i="1"/>
  <c r="G389" i="1" l="1"/>
  <c r="L389" i="1"/>
  <c r="M389" i="1" s="1"/>
  <c r="V389" i="1"/>
  <c r="W389" i="1" s="1"/>
  <c r="H389" i="1"/>
  <c r="I389" i="1" s="1"/>
  <c r="T389" i="1"/>
  <c r="U389" i="1" s="1"/>
  <c r="R389" i="1"/>
  <c r="S389" i="1" s="1"/>
  <c r="P389" i="1"/>
  <c r="Q389" i="1" s="1"/>
  <c r="N389" i="1"/>
  <c r="O389" i="1" s="1"/>
  <c r="J389" i="1"/>
  <c r="K389" i="1" s="1"/>
  <c r="T414" i="1"/>
  <c r="R414" i="1"/>
  <c r="P414" i="1"/>
  <c r="N414" i="1"/>
  <c r="L414" i="1"/>
  <c r="F487" i="1" l="1"/>
  <c r="J487" i="1" l="1"/>
  <c r="K487" i="1" s="1"/>
  <c r="H487" i="1"/>
  <c r="I487" i="1" s="1"/>
  <c r="L487" i="1"/>
  <c r="M487" i="1" s="1"/>
  <c r="V487" i="1"/>
  <c r="W487" i="1" s="1"/>
  <c r="T487" i="1"/>
  <c r="U487" i="1" s="1"/>
  <c r="R487" i="1"/>
  <c r="S487" i="1" s="1"/>
  <c r="P487" i="1"/>
  <c r="Q487" i="1" s="1"/>
  <c r="N487" i="1"/>
  <c r="O487" i="1" s="1"/>
  <c r="G487" i="1"/>
  <c r="R364" i="1" l="1"/>
  <c r="S364" i="1" s="1"/>
  <c r="N364" i="1"/>
  <c r="O364" i="1" s="1"/>
  <c r="T364" i="1"/>
  <c r="U364" i="1" s="1"/>
  <c r="P364" i="1"/>
  <c r="Q364" i="1" s="1"/>
  <c r="L364" i="1"/>
  <c r="M364" i="1" s="1"/>
  <c r="V364" i="1"/>
  <c r="W364" i="1" s="1"/>
  <c r="G364" i="1"/>
  <c r="P551" i="1" l="1"/>
  <c r="Q551" i="1" s="1"/>
  <c r="R551" i="1"/>
  <c r="S551" i="1" s="1"/>
  <c r="T551" i="1"/>
  <c r="U551" i="1" s="1"/>
  <c r="N551" i="1"/>
  <c r="O551" i="1" s="1"/>
  <c r="H551" i="1"/>
  <c r="I551" i="1" s="1"/>
  <c r="V551" i="1"/>
  <c r="W551" i="1" s="1"/>
  <c r="L551" i="1"/>
  <c r="M551" i="1" s="1"/>
  <c r="J551" i="1"/>
  <c r="K551" i="1" s="1"/>
  <c r="F509" i="1"/>
  <c r="G509" i="1" l="1"/>
  <c r="R509" i="1"/>
  <c r="S509" i="1" s="1"/>
  <c r="P509" i="1"/>
  <c r="Q509" i="1" s="1"/>
  <c r="N509" i="1"/>
  <c r="O509" i="1" s="1"/>
  <c r="L509" i="1"/>
  <c r="M509" i="1" s="1"/>
  <c r="J509" i="1"/>
  <c r="K509" i="1" s="1"/>
  <c r="H509" i="1"/>
  <c r="I509" i="1" s="1"/>
  <c r="T509" i="1"/>
  <c r="U509" i="1" s="1"/>
  <c r="V509" i="1"/>
  <c r="W509" i="1" s="1"/>
  <c r="G366" i="1" l="1"/>
  <c r="F362" i="1"/>
  <c r="R362" i="1" l="1"/>
  <c r="S362" i="1" s="1"/>
  <c r="N362" i="1"/>
  <c r="O362" i="1" s="1"/>
  <c r="P362" i="1"/>
  <c r="Q362" i="1" s="1"/>
  <c r="V362" i="1"/>
  <c r="W362" i="1" s="1"/>
  <c r="T362" i="1"/>
  <c r="U362" i="1" s="1"/>
  <c r="L362" i="1"/>
  <c r="M362" i="1" s="1"/>
  <c r="G362" i="1"/>
  <c r="F338" i="1" l="1"/>
  <c r="P621" i="1"/>
  <c r="Q621" i="1" s="1"/>
  <c r="F247" i="1"/>
  <c r="L247" i="1" l="1"/>
  <c r="M247" i="1" s="1"/>
  <c r="J247" i="1"/>
  <c r="K247" i="1" s="1"/>
  <c r="H247" i="1"/>
  <c r="I247" i="1" s="1"/>
  <c r="V247" i="1"/>
  <c r="W247" i="1" s="1"/>
  <c r="T247" i="1"/>
  <c r="U247" i="1" s="1"/>
  <c r="P247" i="1"/>
  <c r="Q247" i="1" s="1"/>
  <c r="N247" i="1"/>
  <c r="O247" i="1" s="1"/>
  <c r="R247" i="1"/>
  <c r="S247" i="1" s="1"/>
  <c r="T523" i="1"/>
  <c r="U523" i="1" s="1"/>
  <c r="V523" i="1"/>
  <c r="W523" i="1" s="1"/>
  <c r="H523" i="1"/>
  <c r="I523" i="1" s="1"/>
  <c r="J523" i="1"/>
  <c r="K523" i="1" s="1"/>
  <c r="L523" i="1"/>
  <c r="M523" i="1" s="1"/>
  <c r="N523" i="1"/>
  <c r="O523" i="1" s="1"/>
  <c r="P523" i="1"/>
  <c r="Q523" i="1" s="1"/>
  <c r="R523" i="1"/>
  <c r="S523" i="1" s="1"/>
  <c r="T522" i="1"/>
  <c r="U522" i="1" s="1"/>
  <c r="V522" i="1"/>
  <c r="W522" i="1" s="1"/>
  <c r="H522" i="1"/>
  <c r="I522" i="1" s="1"/>
  <c r="J522" i="1"/>
  <c r="K522" i="1" s="1"/>
  <c r="L522" i="1"/>
  <c r="M522" i="1" s="1"/>
  <c r="N522" i="1"/>
  <c r="O522" i="1" s="1"/>
  <c r="R522" i="1"/>
  <c r="S522" i="1" s="1"/>
  <c r="P522" i="1"/>
  <c r="Q522" i="1" s="1"/>
  <c r="R338" i="1"/>
  <c r="S338" i="1" s="1"/>
  <c r="T338" i="1"/>
  <c r="U338" i="1" s="1"/>
  <c r="P338" i="1"/>
  <c r="Q338" i="1" s="1"/>
  <c r="N338" i="1"/>
  <c r="O338" i="1" s="1"/>
  <c r="L338" i="1"/>
  <c r="M338" i="1" s="1"/>
  <c r="V338" i="1"/>
  <c r="W338" i="1" s="1"/>
  <c r="M621" i="1"/>
  <c r="V621" i="1"/>
  <c r="W621" i="1" s="1"/>
  <c r="G621" i="1"/>
  <c r="R621" i="1"/>
  <c r="S621" i="1" s="1"/>
  <c r="N621" i="1"/>
  <c r="O621" i="1" s="1"/>
  <c r="T621" i="1"/>
  <c r="U621" i="1" s="1"/>
  <c r="G523" i="1"/>
  <c r="G551" i="1"/>
  <c r="G101" i="1"/>
  <c r="G145" i="1"/>
  <c r="I145" i="1"/>
  <c r="R628" i="1" l="1"/>
  <c r="R627" i="1"/>
  <c r="P628" i="1"/>
  <c r="P627" i="1"/>
  <c r="N628" i="1"/>
  <c r="N627" i="1"/>
  <c r="T627" i="1"/>
  <c r="T628" i="1"/>
  <c r="P443" i="1" l="1"/>
  <c r="Q443" i="1" s="1"/>
  <c r="R443" i="1"/>
  <c r="S443" i="1" s="1"/>
  <c r="N443" i="1"/>
  <c r="O443" i="1" s="1"/>
  <c r="L443" i="1"/>
  <c r="M443" i="1" s="1"/>
  <c r="J443" i="1"/>
  <c r="K443" i="1" s="1"/>
  <c r="H443" i="1"/>
  <c r="I443" i="1" s="1"/>
  <c r="T443" i="1"/>
  <c r="U443" i="1" s="1"/>
  <c r="V443" i="1"/>
  <c r="W443" i="1" s="1"/>
  <c r="R441" i="1"/>
  <c r="S441" i="1" s="1"/>
  <c r="N441" i="1"/>
  <c r="O441" i="1" s="1"/>
  <c r="P441" i="1"/>
  <c r="Q441" i="1" s="1"/>
  <c r="L441" i="1"/>
  <c r="M441" i="1" s="1"/>
  <c r="J441" i="1"/>
  <c r="K441" i="1" s="1"/>
  <c r="H441" i="1"/>
  <c r="I441" i="1" s="1"/>
  <c r="V441" i="1"/>
  <c r="W441" i="1" s="1"/>
  <c r="T441" i="1"/>
  <c r="U441" i="1" s="1"/>
  <c r="G441" i="1"/>
  <c r="G443" i="1"/>
  <c r="V620" i="1"/>
  <c r="W620" i="1" s="1"/>
  <c r="G442" i="1"/>
  <c r="P620" i="1"/>
  <c r="Q620" i="1" s="1"/>
  <c r="R620" i="1"/>
  <c r="S620" i="1" s="1"/>
  <c r="N620" i="1"/>
  <c r="O620" i="1" s="1"/>
  <c r="T620" i="1"/>
  <c r="U620" i="1" s="1"/>
  <c r="G620" i="1"/>
  <c r="M620" i="1"/>
  <c r="F448" i="1"/>
  <c r="F445" i="1"/>
  <c r="F444" i="1"/>
  <c r="F447" i="1"/>
  <c r="V363" i="1" l="1"/>
  <c r="W363" i="1" s="1"/>
  <c r="T363" i="1"/>
  <c r="U363" i="1" s="1"/>
  <c r="R363" i="1"/>
  <c r="S363" i="1" s="1"/>
  <c r="P363" i="1"/>
  <c r="Q363" i="1" s="1"/>
  <c r="N363" i="1"/>
  <c r="O363" i="1" s="1"/>
  <c r="L363" i="1"/>
  <c r="M363" i="1" s="1"/>
  <c r="R444" i="1"/>
  <c r="S444" i="1" s="1"/>
  <c r="P444" i="1"/>
  <c r="Q444" i="1" s="1"/>
  <c r="N444" i="1"/>
  <c r="O444" i="1" s="1"/>
  <c r="L444" i="1"/>
  <c r="M444" i="1" s="1"/>
  <c r="J444" i="1"/>
  <c r="K444" i="1" s="1"/>
  <c r="V444" i="1"/>
  <c r="W444" i="1" s="1"/>
  <c r="H444" i="1"/>
  <c r="I444" i="1" s="1"/>
  <c r="T444" i="1"/>
  <c r="U444" i="1" s="1"/>
  <c r="V447" i="1"/>
  <c r="W447" i="1" s="1"/>
  <c r="T447" i="1"/>
  <c r="U447" i="1" s="1"/>
  <c r="R447" i="1"/>
  <c r="S447" i="1" s="1"/>
  <c r="P447" i="1"/>
  <c r="Q447" i="1" s="1"/>
  <c r="N447" i="1"/>
  <c r="O447" i="1" s="1"/>
  <c r="L447" i="1"/>
  <c r="M447" i="1" s="1"/>
  <c r="J447" i="1"/>
  <c r="K447" i="1" s="1"/>
  <c r="H447" i="1"/>
  <c r="I447" i="1" s="1"/>
  <c r="T445" i="1"/>
  <c r="U445" i="1" s="1"/>
  <c r="R445" i="1"/>
  <c r="S445" i="1" s="1"/>
  <c r="P445" i="1"/>
  <c r="Q445" i="1" s="1"/>
  <c r="N445" i="1"/>
  <c r="O445" i="1" s="1"/>
  <c r="L445" i="1"/>
  <c r="M445" i="1" s="1"/>
  <c r="J445" i="1"/>
  <c r="K445" i="1" s="1"/>
  <c r="H445" i="1"/>
  <c r="I445" i="1" s="1"/>
  <c r="V445" i="1"/>
  <c r="W445" i="1" s="1"/>
  <c r="V448" i="1"/>
  <c r="W448" i="1" s="1"/>
  <c r="T448" i="1"/>
  <c r="U448" i="1" s="1"/>
  <c r="H448" i="1"/>
  <c r="I448" i="1" s="1"/>
  <c r="R448" i="1"/>
  <c r="S448" i="1" s="1"/>
  <c r="P448" i="1"/>
  <c r="Q448" i="1" s="1"/>
  <c r="N448" i="1"/>
  <c r="O448" i="1" s="1"/>
  <c r="L448" i="1"/>
  <c r="M448" i="1" s="1"/>
  <c r="J448" i="1"/>
  <c r="K448" i="1" s="1"/>
  <c r="G444" i="1"/>
  <c r="G445" i="1"/>
  <c r="G447" i="1"/>
  <c r="G448" i="1"/>
  <c r="G363" i="1" l="1"/>
  <c r="F308" i="1" l="1"/>
  <c r="H308" i="1" s="1"/>
  <c r="I308" i="1" s="1"/>
  <c r="R308" i="1" l="1"/>
  <c r="S308" i="1" s="1"/>
  <c r="P308" i="1"/>
  <c r="Q308" i="1" s="1"/>
  <c r="N308" i="1"/>
  <c r="O308" i="1" s="1"/>
  <c r="L308" i="1"/>
  <c r="M308" i="1" s="1"/>
  <c r="J308" i="1"/>
  <c r="K308" i="1" s="1"/>
  <c r="T308" i="1"/>
  <c r="U308" i="1" s="1"/>
  <c r="V308" i="1"/>
  <c r="W308" i="1" s="1"/>
  <c r="W149" i="1"/>
  <c r="U149" i="1"/>
  <c r="S149" i="1"/>
  <c r="Q149" i="1"/>
  <c r="O149" i="1"/>
  <c r="M149" i="1"/>
  <c r="K149" i="1"/>
  <c r="W435" i="1"/>
  <c r="W434" i="1"/>
  <c r="W431" i="1"/>
  <c r="W430" i="1"/>
  <c r="U435" i="1"/>
  <c r="U434" i="1"/>
  <c r="U431" i="1"/>
  <c r="U430" i="1"/>
  <c r="S435" i="1"/>
  <c r="S434" i="1"/>
  <c r="S431" i="1"/>
  <c r="S430" i="1"/>
  <c r="Q435" i="1"/>
  <c r="Q434" i="1"/>
  <c r="Q431" i="1"/>
  <c r="Q430" i="1"/>
  <c r="O435" i="1"/>
  <c r="O434" i="1"/>
  <c r="O431" i="1"/>
  <c r="O430" i="1"/>
  <c r="G433" i="1"/>
  <c r="G434" i="1"/>
  <c r="G435" i="1"/>
  <c r="G432" i="1"/>
  <c r="G431" i="1"/>
  <c r="G430" i="1"/>
  <c r="G298" i="1" l="1"/>
  <c r="F375" i="1" l="1"/>
  <c r="T375" i="1" l="1"/>
  <c r="U375" i="1" s="1"/>
  <c r="P375" i="1"/>
  <c r="Q375" i="1" s="1"/>
  <c r="L375" i="1"/>
  <c r="M375" i="1" s="1"/>
  <c r="R375" i="1"/>
  <c r="S375" i="1" s="1"/>
  <c r="V375" i="1"/>
  <c r="W375" i="1" s="1"/>
  <c r="N375" i="1"/>
  <c r="O375" i="1" s="1"/>
  <c r="F359" i="1"/>
  <c r="F357" i="1"/>
  <c r="T377" i="1" l="1"/>
  <c r="U377" i="1" s="1"/>
  <c r="P377" i="1"/>
  <c r="Q377" i="1" s="1"/>
  <c r="L377" i="1"/>
  <c r="M377" i="1" s="1"/>
  <c r="V377" i="1"/>
  <c r="W377" i="1" s="1"/>
  <c r="R377" i="1"/>
  <c r="S377" i="1" s="1"/>
  <c r="N377" i="1"/>
  <c r="O377" i="1" s="1"/>
  <c r="P390" i="1"/>
  <c r="Q390" i="1" s="1"/>
  <c r="R390" i="1"/>
  <c r="S390" i="1" s="1"/>
  <c r="N390" i="1"/>
  <c r="O390" i="1" s="1"/>
  <c r="L390" i="1"/>
  <c r="M390" i="1" s="1"/>
  <c r="J390" i="1"/>
  <c r="K390" i="1" s="1"/>
  <c r="H390" i="1"/>
  <c r="I390" i="1" s="1"/>
  <c r="V390" i="1"/>
  <c r="W390" i="1" s="1"/>
  <c r="T390" i="1"/>
  <c r="U390" i="1" s="1"/>
  <c r="R357" i="1"/>
  <c r="S357" i="1" s="1"/>
  <c r="N357" i="1"/>
  <c r="O357" i="1" s="1"/>
  <c r="L357" i="1"/>
  <c r="M357" i="1" s="1"/>
  <c r="P357" i="1"/>
  <c r="Q357" i="1" s="1"/>
  <c r="V357" i="1"/>
  <c r="W357" i="1" s="1"/>
  <c r="T357" i="1"/>
  <c r="U357" i="1" s="1"/>
  <c r="H437" i="1"/>
  <c r="I437" i="1" s="1"/>
  <c r="V437" i="1"/>
  <c r="W437" i="1" s="1"/>
  <c r="T437" i="1"/>
  <c r="U437" i="1" s="1"/>
  <c r="J437" i="1"/>
  <c r="K437" i="1" s="1"/>
  <c r="R437" i="1"/>
  <c r="S437" i="1" s="1"/>
  <c r="P437" i="1"/>
  <c r="Q437" i="1" s="1"/>
  <c r="N437" i="1"/>
  <c r="O437" i="1" s="1"/>
  <c r="L437" i="1"/>
  <c r="M437" i="1" s="1"/>
  <c r="P341" i="1"/>
  <c r="Q341" i="1" s="1"/>
  <c r="V341" i="1"/>
  <c r="W341" i="1" s="1"/>
  <c r="L341" i="1"/>
  <c r="M341" i="1" s="1"/>
  <c r="T341" i="1"/>
  <c r="U341" i="1" s="1"/>
  <c r="R341" i="1"/>
  <c r="S341" i="1" s="1"/>
  <c r="N341" i="1"/>
  <c r="O341" i="1" s="1"/>
  <c r="R349" i="1"/>
  <c r="N349" i="1"/>
  <c r="P349" i="1"/>
  <c r="V349" i="1"/>
  <c r="L349" i="1"/>
  <c r="T349" i="1"/>
  <c r="N359" i="1"/>
  <c r="O359" i="1" s="1"/>
  <c r="L359" i="1"/>
  <c r="M359" i="1" s="1"/>
  <c r="N384" i="1"/>
  <c r="O384" i="1" s="1"/>
  <c r="V384" i="1"/>
  <c r="W384" i="1" s="1"/>
  <c r="T384" i="1"/>
  <c r="U384" i="1" s="1"/>
  <c r="R384" i="1"/>
  <c r="S384" i="1" s="1"/>
  <c r="P384" i="1"/>
  <c r="Q384" i="1" s="1"/>
  <c r="L384" i="1"/>
  <c r="M384" i="1" s="1"/>
  <c r="V436" i="1"/>
  <c r="W436" i="1" s="1"/>
  <c r="T436" i="1"/>
  <c r="U436" i="1" s="1"/>
  <c r="R436" i="1"/>
  <c r="S436" i="1" s="1"/>
  <c r="P436" i="1"/>
  <c r="Q436" i="1" s="1"/>
  <c r="N436" i="1"/>
  <c r="O436" i="1" s="1"/>
  <c r="J436" i="1"/>
  <c r="K436" i="1" s="1"/>
  <c r="L436" i="1"/>
  <c r="M436" i="1" s="1"/>
  <c r="H436" i="1"/>
  <c r="I436" i="1" s="1"/>
  <c r="V350" i="1"/>
  <c r="W350" i="1" s="1"/>
  <c r="T350" i="1"/>
  <c r="U350" i="1" s="1"/>
  <c r="R350" i="1"/>
  <c r="S350" i="1" s="1"/>
  <c r="P350" i="1"/>
  <c r="Q350" i="1" s="1"/>
  <c r="N350" i="1"/>
  <c r="O350" i="1" s="1"/>
  <c r="L350" i="1"/>
  <c r="M350" i="1" s="1"/>
  <c r="V376" i="1"/>
  <c r="W376" i="1" s="1"/>
  <c r="T376" i="1"/>
  <c r="U376" i="1" s="1"/>
  <c r="R376" i="1"/>
  <c r="S376" i="1" s="1"/>
  <c r="P376" i="1"/>
  <c r="Q376" i="1" s="1"/>
  <c r="N376" i="1"/>
  <c r="O376" i="1" s="1"/>
  <c r="L376" i="1"/>
  <c r="M376" i="1" s="1"/>
  <c r="G337" i="1"/>
  <c r="T321" i="1" l="1"/>
  <c r="U321" i="1" s="1"/>
  <c r="R321" i="1"/>
  <c r="S321" i="1" s="1"/>
  <c r="V321" i="1"/>
  <c r="W321" i="1" s="1"/>
  <c r="L321" i="1"/>
  <c r="M321" i="1" s="1"/>
  <c r="N321" i="1"/>
  <c r="O321" i="1" s="1"/>
  <c r="P321" i="1"/>
  <c r="Q321" i="1" s="1"/>
  <c r="T325" i="1"/>
  <c r="U325" i="1" s="1"/>
  <c r="R325" i="1"/>
  <c r="S325" i="1" s="1"/>
  <c r="V325" i="1"/>
  <c r="W325" i="1" s="1"/>
  <c r="L325" i="1"/>
  <c r="M325" i="1" s="1"/>
  <c r="N325" i="1"/>
  <c r="O325" i="1" s="1"/>
  <c r="P325" i="1"/>
  <c r="Q325" i="1" s="1"/>
  <c r="T322" i="1"/>
  <c r="U322" i="1" s="1"/>
  <c r="V322" i="1"/>
  <c r="W322" i="1" s="1"/>
  <c r="L322" i="1"/>
  <c r="M322" i="1" s="1"/>
  <c r="R322" i="1"/>
  <c r="S322" i="1" s="1"/>
  <c r="N322" i="1"/>
  <c r="O322" i="1" s="1"/>
  <c r="P322" i="1"/>
  <c r="Q322" i="1" s="1"/>
  <c r="T324" i="1"/>
  <c r="U324" i="1" s="1"/>
  <c r="V324" i="1"/>
  <c r="W324" i="1" s="1"/>
  <c r="R324" i="1"/>
  <c r="S324" i="1" s="1"/>
  <c r="L324" i="1"/>
  <c r="M324" i="1" s="1"/>
  <c r="N324" i="1"/>
  <c r="O324" i="1" s="1"/>
  <c r="P324" i="1"/>
  <c r="Q324" i="1" s="1"/>
  <c r="T331" i="1"/>
  <c r="U331" i="1" s="1"/>
  <c r="V331" i="1"/>
  <c r="W331" i="1" s="1"/>
  <c r="R331" i="1"/>
  <c r="S331" i="1" s="1"/>
  <c r="L331" i="1"/>
  <c r="M331" i="1" s="1"/>
  <c r="N331" i="1"/>
  <c r="O331" i="1" s="1"/>
  <c r="P331" i="1"/>
  <c r="Q331" i="1" s="1"/>
  <c r="T323" i="1"/>
  <c r="U323" i="1" s="1"/>
  <c r="V323" i="1"/>
  <c r="W323" i="1" s="1"/>
  <c r="L323" i="1"/>
  <c r="M323" i="1" s="1"/>
  <c r="N323" i="1"/>
  <c r="O323" i="1" s="1"/>
  <c r="P323" i="1"/>
  <c r="Q323" i="1" s="1"/>
  <c r="R323" i="1"/>
  <c r="S323" i="1" s="1"/>
  <c r="T327" i="1"/>
  <c r="U327" i="1" s="1"/>
  <c r="V327" i="1"/>
  <c r="W327" i="1" s="1"/>
  <c r="L327" i="1"/>
  <c r="M327" i="1" s="1"/>
  <c r="N327" i="1"/>
  <c r="O327" i="1" s="1"/>
  <c r="R327" i="1"/>
  <c r="S327" i="1" s="1"/>
  <c r="P327" i="1"/>
  <c r="Q327" i="1" s="1"/>
  <c r="L326" i="1"/>
  <c r="M326" i="1" s="1"/>
  <c r="N326" i="1"/>
  <c r="O326" i="1" s="1"/>
  <c r="T328" i="1"/>
  <c r="U328" i="1" s="1"/>
  <c r="V328" i="1"/>
  <c r="W328" i="1" s="1"/>
  <c r="L328" i="1"/>
  <c r="M328" i="1" s="1"/>
  <c r="R328" i="1"/>
  <c r="S328" i="1" s="1"/>
  <c r="N328" i="1"/>
  <c r="O328" i="1" s="1"/>
  <c r="P328" i="1"/>
  <c r="Q328" i="1" s="1"/>
  <c r="T329" i="1"/>
  <c r="U329" i="1" s="1"/>
  <c r="V329" i="1"/>
  <c r="W329" i="1" s="1"/>
  <c r="R329" i="1"/>
  <c r="S329" i="1" s="1"/>
  <c r="L329" i="1"/>
  <c r="M329" i="1" s="1"/>
  <c r="N329" i="1"/>
  <c r="O329" i="1" s="1"/>
  <c r="P329" i="1"/>
  <c r="Q329" i="1" s="1"/>
  <c r="V310" i="1"/>
  <c r="W310" i="1" s="1"/>
  <c r="T310" i="1"/>
  <c r="U310" i="1" s="1"/>
  <c r="R310" i="1"/>
  <c r="S310" i="1" s="1"/>
  <c r="P310" i="1"/>
  <c r="Q310" i="1" s="1"/>
  <c r="N310" i="1"/>
  <c r="O310" i="1" s="1"/>
  <c r="L310" i="1"/>
  <c r="M310" i="1" s="1"/>
  <c r="T330" i="1"/>
  <c r="U330" i="1" s="1"/>
  <c r="V330" i="1"/>
  <c r="W330" i="1" s="1"/>
  <c r="L330" i="1"/>
  <c r="M330" i="1" s="1"/>
  <c r="N330" i="1"/>
  <c r="O330" i="1" s="1"/>
  <c r="P330" i="1"/>
  <c r="Q330" i="1" s="1"/>
  <c r="R330" i="1"/>
  <c r="S330" i="1" s="1"/>
  <c r="P314" i="1"/>
  <c r="Q314" i="1" s="1"/>
  <c r="V314" i="1"/>
  <c r="W314" i="1" s="1"/>
  <c r="T314" i="1"/>
  <c r="U314" i="1" s="1"/>
  <c r="R314" i="1"/>
  <c r="S314" i="1" s="1"/>
  <c r="N314" i="1"/>
  <c r="O314" i="1" s="1"/>
  <c r="T315" i="1"/>
  <c r="U315" i="1" s="1"/>
  <c r="V315" i="1"/>
  <c r="W315" i="1" s="1"/>
  <c r="R315" i="1"/>
  <c r="S315" i="1" s="1"/>
  <c r="L315" i="1"/>
  <c r="M315" i="1" s="1"/>
  <c r="N315" i="1"/>
  <c r="O315" i="1" s="1"/>
  <c r="P315" i="1"/>
  <c r="Q315" i="1" s="1"/>
  <c r="T332" i="1"/>
  <c r="U332" i="1" s="1"/>
  <c r="R332" i="1"/>
  <c r="S332" i="1" s="1"/>
  <c r="V332" i="1"/>
  <c r="W332" i="1" s="1"/>
  <c r="L332" i="1"/>
  <c r="M332" i="1" s="1"/>
  <c r="N332" i="1"/>
  <c r="O332" i="1" s="1"/>
  <c r="P332" i="1"/>
  <c r="Q332" i="1" s="1"/>
  <c r="L314" i="1"/>
  <c r="M314" i="1" s="1"/>
  <c r="F471" i="1"/>
  <c r="R471" i="1" l="1"/>
  <c r="J471" i="1"/>
  <c r="V471" i="1"/>
  <c r="N471" i="1"/>
  <c r="L471" i="1"/>
  <c r="T471" i="1"/>
  <c r="P471" i="1"/>
  <c r="H471" i="1"/>
  <c r="M124" i="1"/>
  <c r="F510" i="1" l="1"/>
  <c r="R510" i="1" l="1"/>
  <c r="S510" i="1" s="1"/>
  <c r="P510" i="1"/>
  <c r="Q510" i="1" s="1"/>
  <c r="N510" i="1"/>
  <c r="O510" i="1" s="1"/>
  <c r="L510" i="1"/>
  <c r="M510" i="1" s="1"/>
  <c r="T510" i="1"/>
  <c r="U510" i="1" s="1"/>
  <c r="J510" i="1"/>
  <c r="K510" i="1" s="1"/>
  <c r="H510" i="1"/>
  <c r="I510" i="1" s="1"/>
  <c r="V510" i="1"/>
  <c r="W510" i="1" s="1"/>
  <c r="H21" i="1"/>
  <c r="I21" i="1" s="1"/>
  <c r="H22" i="1"/>
  <c r="I22" i="1" s="1"/>
  <c r="F395" i="1"/>
  <c r="H395" i="1" l="1"/>
  <c r="I395" i="1" s="1"/>
  <c r="V395" i="1"/>
  <c r="W395" i="1" s="1"/>
  <c r="T395" i="1"/>
  <c r="U395" i="1" s="1"/>
  <c r="N395" i="1"/>
  <c r="O395" i="1" s="1"/>
  <c r="R395" i="1"/>
  <c r="S395" i="1" s="1"/>
  <c r="P395" i="1"/>
  <c r="Q395" i="1" s="1"/>
  <c r="L395" i="1"/>
  <c r="M395" i="1" s="1"/>
  <c r="J395" i="1"/>
  <c r="K395" i="1" s="1"/>
  <c r="W279" i="1"/>
  <c r="F296" i="1"/>
  <c r="F300" i="1"/>
  <c r="H296" i="1" l="1"/>
  <c r="I296" i="1" s="1"/>
  <c r="L300" i="1"/>
  <c r="M300" i="1" s="1"/>
  <c r="H300" i="1"/>
  <c r="I300" i="1" s="1"/>
  <c r="V300" i="1"/>
  <c r="W300" i="1" s="1"/>
  <c r="T300" i="1"/>
  <c r="U300" i="1" s="1"/>
  <c r="J300" i="1"/>
  <c r="K300" i="1" s="1"/>
  <c r="R300" i="1"/>
  <c r="S300" i="1" s="1"/>
  <c r="P300" i="1"/>
  <c r="Q300" i="1" s="1"/>
  <c r="N300" i="1"/>
  <c r="O300" i="1" s="1"/>
  <c r="U279" i="1"/>
  <c r="K279" i="1"/>
  <c r="O279" i="1"/>
  <c r="Q279" i="1"/>
  <c r="S279" i="1"/>
  <c r="M279" i="1"/>
  <c r="G279" i="1"/>
  <c r="I279" i="1"/>
  <c r="G296" i="1"/>
  <c r="G300" i="1"/>
  <c r="F501" i="1" l="1"/>
  <c r="F503" i="1"/>
  <c r="F502" i="1"/>
  <c r="V503" i="1" l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J503" i="1"/>
  <c r="K503" i="1" s="1"/>
  <c r="H503" i="1"/>
  <c r="I503" i="1" s="1"/>
  <c r="R353" i="1"/>
  <c r="S353" i="1" s="1"/>
  <c r="N353" i="1"/>
  <c r="O353" i="1" s="1"/>
  <c r="V353" i="1"/>
  <c r="W353" i="1" s="1"/>
  <c r="T353" i="1"/>
  <c r="U353" i="1" s="1"/>
  <c r="P353" i="1"/>
  <c r="Q353" i="1" s="1"/>
  <c r="L353" i="1"/>
  <c r="M353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H501" i="1"/>
  <c r="I501" i="1" s="1"/>
  <c r="V501" i="1"/>
  <c r="W501" i="1" s="1"/>
  <c r="L502" i="1"/>
  <c r="M502" i="1" s="1"/>
  <c r="J502" i="1"/>
  <c r="K502" i="1" s="1"/>
  <c r="H502" i="1"/>
  <c r="I502" i="1" s="1"/>
  <c r="V502" i="1"/>
  <c r="W502" i="1" s="1"/>
  <c r="T502" i="1"/>
  <c r="U502" i="1" s="1"/>
  <c r="R502" i="1"/>
  <c r="S502" i="1" s="1"/>
  <c r="P502" i="1"/>
  <c r="Q502" i="1" s="1"/>
  <c r="N502" i="1"/>
  <c r="O502" i="1" s="1"/>
  <c r="G501" i="1"/>
  <c r="G353" i="1"/>
  <c r="F374" i="1" l="1"/>
  <c r="F369" i="1"/>
  <c r="F348" i="1"/>
  <c r="F297" i="1"/>
  <c r="F175" i="1"/>
  <c r="F174" i="1"/>
  <c r="F173" i="1"/>
  <c r="F172" i="1"/>
  <c r="F171" i="1"/>
  <c r="F170" i="1"/>
  <c r="T175" i="1" l="1"/>
  <c r="U175" i="1" s="1"/>
  <c r="R175" i="1"/>
  <c r="S175" i="1" s="1"/>
  <c r="P175" i="1"/>
  <c r="Q175" i="1" s="1"/>
  <c r="N175" i="1"/>
  <c r="O175" i="1" s="1"/>
  <c r="L175" i="1"/>
  <c r="M175" i="1" s="1"/>
  <c r="J175" i="1"/>
  <c r="K175" i="1" s="1"/>
  <c r="H175" i="1"/>
  <c r="I175" i="1" s="1"/>
  <c r="L172" i="1"/>
  <c r="R172" i="1"/>
  <c r="P172" i="1"/>
  <c r="N172" i="1"/>
  <c r="J172" i="1"/>
  <c r="H172" i="1"/>
  <c r="P174" i="1"/>
  <c r="Q174" i="1" s="1"/>
  <c r="N174" i="1"/>
  <c r="O174" i="1" s="1"/>
  <c r="L174" i="1"/>
  <c r="M174" i="1" s="1"/>
  <c r="J174" i="1"/>
  <c r="K174" i="1" s="1"/>
  <c r="H174" i="1"/>
  <c r="I174" i="1" s="1"/>
  <c r="T174" i="1"/>
  <c r="U174" i="1" s="1"/>
  <c r="R174" i="1"/>
  <c r="S174" i="1" s="1"/>
  <c r="J289" i="1"/>
  <c r="K289" i="1" s="1"/>
  <c r="V289" i="1"/>
  <c r="W289" i="1" s="1"/>
  <c r="L289" i="1"/>
  <c r="M289" i="1" s="1"/>
  <c r="P289" i="1"/>
  <c r="Q289" i="1" s="1"/>
  <c r="R289" i="1"/>
  <c r="S289" i="1" s="1"/>
  <c r="T289" i="1"/>
  <c r="U289" i="1" s="1"/>
  <c r="H289" i="1"/>
  <c r="I289" i="1" s="1"/>
  <c r="N289" i="1"/>
  <c r="O289" i="1" s="1"/>
  <c r="R369" i="1"/>
  <c r="S369" i="1" s="1"/>
  <c r="N369" i="1"/>
  <c r="O369" i="1" s="1"/>
  <c r="T369" i="1"/>
  <c r="U369" i="1" s="1"/>
  <c r="P369" i="1"/>
  <c r="Q369" i="1" s="1"/>
  <c r="L369" i="1"/>
  <c r="M369" i="1" s="1"/>
  <c r="V369" i="1"/>
  <c r="W369" i="1" s="1"/>
  <c r="T171" i="1"/>
  <c r="U171" i="1" s="1"/>
  <c r="R171" i="1"/>
  <c r="S171" i="1" s="1"/>
  <c r="P171" i="1"/>
  <c r="Q171" i="1" s="1"/>
  <c r="N171" i="1"/>
  <c r="O171" i="1" s="1"/>
  <c r="H171" i="1"/>
  <c r="I171" i="1" s="1"/>
  <c r="L171" i="1"/>
  <c r="M171" i="1" s="1"/>
  <c r="J171" i="1"/>
  <c r="K171" i="1" s="1"/>
  <c r="R173" i="1"/>
  <c r="S173" i="1" s="1"/>
  <c r="P173" i="1"/>
  <c r="Q173" i="1" s="1"/>
  <c r="N173" i="1"/>
  <c r="O173" i="1" s="1"/>
  <c r="L173" i="1"/>
  <c r="M173" i="1" s="1"/>
  <c r="J173" i="1"/>
  <c r="K173" i="1" s="1"/>
  <c r="T173" i="1"/>
  <c r="U173" i="1" s="1"/>
  <c r="N297" i="1"/>
  <c r="O297" i="1" s="1"/>
  <c r="P297" i="1"/>
  <c r="Q297" i="1" s="1"/>
  <c r="H297" i="1"/>
  <c r="I297" i="1" s="1"/>
  <c r="J297" i="1"/>
  <c r="K297" i="1" s="1"/>
  <c r="L297" i="1"/>
  <c r="M297" i="1" s="1"/>
  <c r="T297" i="1"/>
  <c r="U297" i="1" s="1"/>
  <c r="R297" i="1"/>
  <c r="S297" i="1" s="1"/>
  <c r="V297" i="1"/>
  <c r="W297" i="1" s="1"/>
  <c r="T302" i="1"/>
  <c r="U302" i="1" s="1"/>
  <c r="P302" i="1"/>
  <c r="Q302" i="1" s="1"/>
  <c r="L302" i="1"/>
  <c r="M302" i="1" s="1"/>
  <c r="J302" i="1"/>
  <c r="K302" i="1" s="1"/>
  <c r="H302" i="1"/>
  <c r="I302" i="1" s="1"/>
  <c r="V302" i="1"/>
  <c r="W302" i="1" s="1"/>
  <c r="R302" i="1"/>
  <c r="S302" i="1" s="1"/>
  <c r="N302" i="1"/>
  <c r="O302" i="1" s="1"/>
  <c r="H303" i="1"/>
  <c r="I303" i="1" s="1"/>
  <c r="T348" i="1"/>
  <c r="U348" i="1" s="1"/>
  <c r="R348" i="1"/>
  <c r="S348" i="1" s="1"/>
  <c r="N348" i="1"/>
  <c r="O348" i="1" s="1"/>
  <c r="P348" i="1"/>
  <c r="Q348" i="1" s="1"/>
  <c r="L348" i="1"/>
  <c r="M348" i="1" s="1"/>
  <c r="T170" i="1"/>
  <c r="U170" i="1" s="1"/>
  <c r="R170" i="1"/>
  <c r="S170" i="1" s="1"/>
  <c r="P170" i="1"/>
  <c r="Q170" i="1" s="1"/>
  <c r="N170" i="1"/>
  <c r="O170" i="1" s="1"/>
  <c r="L170" i="1"/>
  <c r="M170" i="1" s="1"/>
  <c r="J170" i="1"/>
  <c r="K170" i="1" s="1"/>
  <c r="H170" i="1"/>
  <c r="I170" i="1" s="1"/>
  <c r="V374" i="1"/>
  <c r="W374" i="1" s="1"/>
  <c r="T374" i="1"/>
  <c r="U374" i="1" s="1"/>
  <c r="R374" i="1"/>
  <c r="S374" i="1" s="1"/>
  <c r="P374" i="1"/>
  <c r="Q374" i="1" s="1"/>
  <c r="N374" i="1"/>
  <c r="O374" i="1" s="1"/>
  <c r="T172" i="1"/>
  <c r="V285" i="1" l="1"/>
  <c r="W285" i="1" s="1"/>
  <c r="P285" i="1"/>
  <c r="Q285" i="1" s="1"/>
  <c r="N285" i="1"/>
  <c r="O285" i="1" s="1"/>
  <c r="L285" i="1"/>
  <c r="M285" i="1" s="1"/>
  <c r="T285" i="1"/>
  <c r="U285" i="1" s="1"/>
  <c r="J285" i="1"/>
  <c r="K285" i="1" s="1"/>
  <c r="R285" i="1"/>
  <c r="S285" i="1" s="1"/>
  <c r="H285" i="1"/>
  <c r="I285" i="1" s="1"/>
  <c r="I286" i="1"/>
  <c r="F372" i="1"/>
  <c r="V372" i="1" l="1"/>
  <c r="W372" i="1" s="1"/>
  <c r="T372" i="1"/>
  <c r="U372" i="1" s="1"/>
  <c r="R372" i="1"/>
  <c r="S372" i="1" s="1"/>
  <c r="P372" i="1"/>
  <c r="Q372" i="1" s="1"/>
  <c r="N372" i="1"/>
  <c r="O372" i="1" s="1"/>
  <c r="L372" i="1"/>
  <c r="M372" i="1" s="1"/>
  <c r="F255" i="1"/>
  <c r="F254" i="1"/>
  <c r="F246" i="1"/>
  <c r="F243" i="1"/>
  <c r="F223" i="1"/>
  <c r="F204" i="1"/>
  <c r="F165" i="1"/>
  <c r="V245" i="1" l="1"/>
  <c r="W245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H245" i="1"/>
  <c r="I245" i="1" s="1"/>
  <c r="J246" i="1"/>
  <c r="K246" i="1" s="1"/>
  <c r="H246" i="1"/>
  <c r="I246" i="1" s="1"/>
  <c r="V246" i="1"/>
  <c r="W246" i="1" s="1"/>
  <c r="T246" i="1"/>
  <c r="U246" i="1" s="1"/>
  <c r="R246" i="1"/>
  <c r="S246" i="1" s="1"/>
  <c r="P246" i="1"/>
  <c r="Q246" i="1" s="1"/>
  <c r="N246" i="1"/>
  <c r="O246" i="1" s="1"/>
  <c r="L246" i="1"/>
  <c r="M246" i="1" s="1"/>
  <c r="V204" i="1"/>
  <c r="W204" i="1" s="1"/>
  <c r="T204" i="1"/>
  <c r="U204" i="1" s="1"/>
  <c r="R204" i="1"/>
  <c r="S204" i="1" s="1"/>
  <c r="P204" i="1"/>
  <c r="Q204" i="1" s="1"/>
  <c r="N204" i="1"/>
  <c r="O204" i="1" s="1"/>
  <c r="L204" i="1"/>
  <c r="M204" i="1" s="1"/>
  <c r="J204" i="1"/>
  <c r="K204" i="1" s="1"/>
  <c r="H204" i="1"/>
  <c r="I204" i="1" s="1"/>
  <c r="V218" i="1"/>
  <c r="W218" i="1" s="1"/>
  <c r="T218" i="1"/>
  <c r="U218" i="1" s="1"/>
  <c r="R218" i="1"/>
  <c r="S218" i="1" s="1"/>
  <c r="P218" i="1"/>
  <c r="Q218" i="1" s="1"/>
  <c r="N218" i="1"/>
  <c r="O218" i="1" s="1"/>
  <c r="J218" i="1"/>
  <c r="K218" i="1" s="1"/>
  <c r="L218" i="1"/>
  <c r="M218" i="1" s="1"/>
  <c r="R103" i="1"/>
  <c r="S103" i="1" s="1"/>
  <c r="P103" i="1"/>
  <c r="Q103" i="1" s="1"/>
  <c r="N103" i="1"/>
  <c r="O103" i="1" s="1"/>
  <c r="L103" i="1"/>
  <c r="M103" i="1" s="1"/>
  <c r="J103" i="1"/>
  <c r="K103" i="1" s="1"/>
  <c r="H103" i="1"/>
  <c r="I103" i="1" s="1"/>
  <c r="T103" i="1"/>
  <c r="U103" i="1" s="1"/>
  <c r="V103" i="1"/>
  <c r="W103" i="1" s="1"/>
  <c r="J223" i="1"/>
  <c r="K223" i="1" s="1"/>
  <c r="H223" i="1"/>
  <c r="I223" i="1" s="1"/>
  <c r="R254" i="1"/>
  <c r="S254" i="1" s="1"/>
  <c r="P254" i="1"/>
  <c r="Q254" i="1" s="1"/>
  <c r="N254" i="1"/>
  <c r="O254" i="1" s="1"/>
  <c r="L254" i="1"/>
  <c r="M254" i="1" s="1"/>
  <c r="V254" i="1"/>
  <c r="W254" i="1" s="1"/>
  <c r="J254" i="1"/>
  <c r="K254" i="1" s="1"/>
  <c r="H254" i="1"/>
  <c r="I254" i="1" s="1"/>
  <c r="T254" i="1"/>
  <c r="U254" i="1" s="1"/>
  <c r="L243" i="1"/>
  <c r="M243" i="1" s="1"/>
  <c r="J243" i="1"/>
  <c r="K243" i="1" s="1"/>
  <c r="H243" i="1"/>
  <c r="I243" i="1" s="1"/>
  <c r="V243" i="1"/>
  <c r="W243" i="1" s="1"/>
  <c r="T243" i="1"/>
  <c r="U243" i="1" s="1"/>
  <c r="P243" i="1"/>
  <c r="Q243" i="1" s="1"/>
  <c r="R243" i="1"/>
  <c r="S243" i="1" s="1"/>
  <c r="N243" i="1"/>
  <c r="O243" i="1" s="1"/>
  <c r="L251" i="1"/>
  <c r="M251" i="1" s="1"/>
  <c r="J251" i="1"/>
  <c r="K251" i="1" s="1"/>
  <c r="H251" i="1"/>
  <c r="I251" i="1" s="1"/>
  <c r="V251" i="1"/>
  <c r="W251" i="1" s="1"/>
  <c r="T251" i="1"/>
  <c r="U251" i="1" s="1"/>
  <c r="R251" i="1"/>
  <c r="S251" i="1" s="1"/>
  <c r="P251" i="1"/>
  <c r="Q251" i="1" s="1"/>
  <c r="N251" i="1"/>
  <c r="O251" i="1" s="1"/>
  <c r="T255" i="1"/>
  <c r="U255" i="1" s="1"/>
  <c r="R255" i="1"/>
  <c r="S255" i="1" s="1"/>
  <c r="P255" i="1"/>
  <c r="Q255" i="1" s="1"/>
  <c r="N255" i="1"/>
  <c r="O255" i="1" s="1"/>
  <c r="L255" i="1"/>
  <c r="M255" i="1" s="1"/>
  <c r="J255" i="1"/>
  <c r="K255" i="1" s="1"/>
  <c r="H255" i="1"/>
  <c r="I255" i="1" s="1"/>
  <c r="V255" i="1"/>
  <c r="W255" i="1" s="1"/>
  <c r="V222" i="1"/>
  <c r="W222" i="1" s="1"/>
  <c r="T222" i="1"/>
  <c r="U222" i="1" s="1"/>
  <c r="R222" i="1"/>
  <c r="S222" i="1" s="1"/>
  <c r="P222" i="1"/>
  <c r="Q222" i="1" s="1"/>
  <c r="N222" i="1"/>
  <c r="O222" i="1" s="1"/>
  <c r="L222" i="1"/>
  <c r="M222" i="1" s="1"/>
  <c r="J222" i="1"/>
  <c r="K222" i="1" s="1"/>
  <c r="L232" i="1"/>
  <c r="M232" i="1" s="1"/>
  <c r="J232" i="1"/>
  <c r="K232" i="1" s="1"/>
  <c r="H232" i="1"/>
  <c r="I232" i="1" s="1"/>
  <c r="V232" i="1"/>
  <c r="W232" i="1" s="1"/>
  <c r="T232" i="1"/>
  <c r="U232" i="1" s="1"/>
  <c r="R232" i="1"/>
  <c r="S232" i="1" s="1"/>
  <c r="P232" i="1"/>
  <c r="Q232" i="1" s="1"/>
  <c r="N232" i="1"/>
  <c r="O232" i="1" s="1"/>
  <c r="J102" i="1"/>
  <c r="K102" i="1" s="1"/>
  <c r="H102" i="1"/>
  <c r="I102" i="1" s="1"/>
  <c r="V102" i="1"/>
  <c r="W102" i="1" s="1"/>
  <c r="T102" i="1"/>
  <c r="U102" i="1" s="1"/>
  <c r="R102" i="1"/>
  <c r="S102" i="1" s="1"/>
  <c r="L102" i="1"/>
  <c r="M102" i="1" s="1"/>
  <c r="P102" i="1"/>
  <c r="Q102" i="1" s="1"/>
  <c r="N102" i="1"/>
  <c r="O102" i="1" s="1"/>
  <c r="V100" i="1"/>
  <c r="W100" i="1" s="1"/>
  <c r="T100" i="1"/>
  <c r="U100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L221" i="1"/>
  <c r="M221" i="1" s="1"/>
  <c r="J221" i="1"/>
  <c r="K221" i="1" s="1"/>
  <c r="V221" i="1"/>
  <c r="W221" i="1" s="1"/>
  <c r="T221" i="1"/>
  <c r="U221" i="1" s="1"/>
  <c r="R221" i="1"/>
  <c r="S221" i="1" s="1"/>
  <c r="P221" i="1"/>
  <c r="Q221" i="1" s="1"/>
  <c r="N221" i="1"/>
  <c r="O221" i="1" s="1"/>
  <c r="J231" i="1"/>
  <c r="K231" i="1" s="1"/>
  <c r="H231" i="1"/>
  <c r="I231" i="1" s="1"/>
  <c r="V231" i="1"/>
  <c r="W231" i="1" s="1"/>
  <c r="T231" i="1"/>
  <c r="U231" i="1" s="1"/>
  <c r="R231" i="1"/>
  <c r="S231" i="1" s="1"/>
  <c r="P231" i="1"/>
  <c r="Q231" i="1" s="1"/>
  <c r="N231" i="1"/>
  <c r="O231" i="1" s="1"/>
  <c r="L231" i="1"/>
  <c r="M231" i="1" s="1"/>
  <c r="V234" i="1"/>
  <c r="W234" i="1" s="1"/>
  <c r="T234" i="1"/>
  <c r="U234" i="1" s="1"/>
  <c r="R234" i="1"/>
  <c r="S234" i="1" s="1"/>
  <c r="P234" i="1"/>
  <c r="Q234" i="1" s="1"/>
  <c r="N234" i="1"/>
  <c r="O234" i="1" s="1"/>
  <c r="L234" i="1"/>
  <c r="M234" i="1" s="1"/>
  <c r="H234" i="1"/>
  <c r="I234" i="1" s="1"/>
  <c r="J234" i="1"/>
  <c r="K234" i="1" s="1"/>
  <c r="T217" i="1"/>
  <c r="U217" i="1" s="1"/>
  <c r="R217" i="1"/>
  <c r="S217" i="1" s="1"/>
  <c r="P217" i="1"/>
  <c r="Q217" i="1" s="1"/>
  <c r="N217" i="1"/>
  <c r="O217" i="1" s="1"/>
  <c r="L217" i="1"/>
  <c r="M217" i="1" s="1"/>
  <c r="J217" i="1"/>
  <c r="K217" i="1" s="1"/>
  <c r="V217" i="1"/>
  <c r="W217" i="1" s="1"/>
  <c r="L165" i="1"/>
  <c r="M165" i="1" s="1"/>
  <c r="J165" i="1"/>
  <c r="K165" i="1" s="1"/>
  <c r="P219" i="1"/>
  <c r="Q219" i="1" s="1"/>
  <c r="N219" i="1"/>
  <c r="O219" i="1" s="1"/>
  <c r="L219" i="1"/>
  <c r="M219" i="1" s="1"/>
  <c r="J219" i="1"/>
  <c r="K219" i="1" s="1"/>
  <c r="V219" i="1"/>
  <c r="W219" i="1" s="1"/>
  <c r="T219" i="1"/>
  <c r="U219" i="1" s="1"/>
  <c r="R219" i="1"/>
  <c r="S219" i="1" s="1"/>
  <c r="V242" i="1"/>
  <c r="W242" i="1" s="1"/>
  <c r="T242" i="1"/>
  <c r="U242" i="1" s="1"/>
  <c r="R242" i="1"/>
  <c r="S242" i="1" s="1"/>
  <c r="P242" i="1"/>
  <c r="Q242" i="1" s="1"/>
  <c r="N242" i="1"/>
  <c r="O242" i="1" s="1"/>
  <c r="L242" i="1"/>
  <c r="M242" i="1" s="1"/>
  <c r="H242" i="1"/>
  <c r="I242" i="1" s="1"/>
  <c r="J242" i="1"/>
  <c r="K242" i="1" s="1"/>
  <c r="H143" i="1"/>
  <c r="T143" i="1"/>
  <c r="U143" i="1" s="1"/>
  <c r="P143" i="1"/>
  <c r="Q143" i="1" s="1"/>
  <c r="R143" i="1"/>
  <c r="S143" i="1" s="1"/>
  <c r="L143" i="1"/>
  <c r="M143" i="1" s="1"/>
  <c r="J143" i="1"/>
  <c r="K143" i="1" s="1"/>
  <c r="V143" i="1"/>
  <c r="W143" i="1" s="1"/>
  <c r="N143" i="1"/>
  <c r="O143" i="1" s="1"/>
  <c r="F125" i="1"/>
  <c r="F127" i="1"/>
  <c r="F632" i="1"/>
  <c r="F380" i="1"/>
  <c r="V125" i="1" l="1"/>
  <c r="W125" i="1" s="1"/>
  <c r="T125" i="1"/>
  <c r="U125" i="1" s="1"/>
  <c r="R125" i="1"/>
  <c r="S125" i="1" s="1"/>
  <c r="T352" i="1"/>
  <c r="U352" i="1" s="1"/>
  <c r="R352" i="1"/>
  <c r="S352" i="1" s="1"/>
  <c r="P352" i="1"/>
  <c r="Q352" i="1" s="1"/>
  <c r="N352" i="1"/>
  <c r="O352" i="1" s="1"/>
  <c r="L352" i="1"/>
  <c r="M352" i="1" s="1"/>
  <c r="P334" i="1"/>
  <c r="Q334" i="1" s="1"/>
  <c r="V334" i="1"/>
  <c r="W334" i="1" s="1"/>
  <c r="L334" i="1"/>
  <c r="M334" i="1" s="1"/>
  <c r="T334" i="1"/>
  <c r="U334" i="1" s="1"/>
  <c r="R334" i="1"/>
  <c r="S334" i="1" s="1"/>
  <c r="N334" i="1"/>
  <c r="O334" i="1" s="1"/>
  <c r="T632" i="1"/>
  <c r="U632" i="1" s="1"/>
  <c r="R632" i="1"/>
  <c r="S632" i="1" s="1"/>
  <c r="P632" i="1"/>
  <c r="Q632" i="1" s="1"/>
  <c r="N632" i="1"/>
  <c r="O632" i="1" s="1"/>
  <c r="L632" i="1"/>
  <c r="M632" i="1" s="1"/>
  <c r="J632" i="1"/>
  <c r="K632" i="1" s="1"/>
  <c r="T380" i="1"/>
  <c r="U380" i="1" s="1"/>
  <c r="P380" i="1"/>
  <c r="Q380" i="1" s="1"/>
  <c r="L380" i="1"/>
  <c r="M380" i="1" s="1"/>
  <c r="R380" i="1"/>
  <c r="S380" i="1" s="1"/>
  <c r="V380" i="1"/>
  <c r="W380" i="1" s="1"/>
  <c r="N380" i="1"/>
  <c r="O380" i="1" s="1"/>
  <c r="P125" i="1"/>
  <c r="N125" i="1"/>
  <c r="L125" i="1"/>
  <c r="J125" i="1"/>
  <c r="V127" i="1"/>
  <c r="R127" i="1"/>
  <c r="T127" i="1"/>
  <c r="P127" i="1"/>
  <c r="Q127" i="1" s="1"/>
  <c r="N127" i="1"/>
  <c r="O127" i="1" s="1"/>
  <c r="L127" i="1"/>
  <c r="M127" i="1" s="1"/>
  <c r="J127" i="1"/>
  <c r="K127" i="1" s="1"/>
  <c r="G370" i="1"/>
  <c r="G378" i="1"/>
  <c r="F622" i="1"/>
  <c r="L622" i="1" s="1"/>
  <c r="V622" i="1" l="1"/>
  <c r="T622" i="1"/>
  <c r="R622" i="1"/>
  <c r="P622" i="1"/>
  <c r="N622" i="1"/>
  <c r="F413" i="1"/>
  <c r="F440" i="1"/>
  <c r="O648" i="1"/>
  <c r="L624" i="1"/>
  <c r="F555" i="1"/>
  <c r="N106" i="1" l="1"/>
  <c r="O106" i="1" s="1"/>
  <c r="L106" i="1"/>
  <c r="M106" i="1" s="1"/>
  <c r="J106" i="1"/>
  <c r="K106" i="1" s="1"/>
  <c r="T106" i="1"/>
  <c r="U106" i="1" s="1"/>
  <c r="R106" i="1"/>
  <c r="P106" i="1"/>
  <c r="Q106" i="1" s="1"/>
  <c r="H546" i="1"/>
  <c r="I546" i="1" s="1"/>
  <c r="V546" i="1"/>
  <c r="W546" i="1" s="1"/>
  <c r="T546" i="1"/>
  <c r="U546" i="1" s="1"/>
  <c r="J546" i="1"/>
  <c r="K546" i="1" s="1"/>
  <c r="L546" i="1"/>
  <c r="M546" i="1" s="1"/>
  <c r="R546" i="1"/>
  <c r="S546" i="1" s="1"/>
  <c r="N546" i="1"/>
  <c r="O546" i="1" s="1"/>
  <c r="P546" i="1"/>
  <c r="Q546" i="1" s="1"/>
  <c r="L438" i="1"/>
  <c r="M438" i="1" s="1"/>
  <c r="H438" i="1"/>
  <c r="I438" i="1" s="1"/>
  <c r="N438" i="1"/>
  <c r="O438" i="1" s="1"/>
  <c r="J438" i="1"/>
  <c r="K438" i="1" s="1"/>
  <c r="V438" i="1"/>
  <c r="W438" i="1" s="1"/>
  <c r="T438" i="1"/>
  <c r="U438" i="1" s="1"/>
  <c r="P438" i="1"/>
  <c r="Q438" i="1" s="1"/>
  <c r="R438" i="1"/>
  <c r="S438" i="1" s="1"/>
  <c r="L197" i="1"/>
  <c r="M197" i="1" s="1"/>
  <c r="J197" i="1"/>
  <c r="K197" i="1" s="1"/>
  <c r="V197" i="1"/>
  <c r="W197" i="1" s="1"/>
  <c r="T197" i="1"/>
  <c r="U197" i="1" s="1"/>
  <c r="R197" i="1"/>
  <c r="S197" i="1" s="1"/>
  <c r="N197" i="1"/>
  <c r="O197" i="1" s="1"/>
  <c r="P197" i="1"/>
  <c r="Q197" i="1" s="1"/>
  <c r="N413" i="1"/>
  <c r="O413" i="1" s="1"/>
  <c r="J413" i="1"/>
  <c r="K413" i="1" s="1"/>
  <c r="T413" i="1"/>
  <c r="U413" i="1" s="1"/>
  <c r="P413" i="1"/>
  <c r="Q413" i="1" s="1"/>
  <c r="L413" i="1"/>
  <c r="M413" i="1" s="1"/>
  <c r="V413" i="1"/>
  <c r="W413" i="1" s="1"/>
  <c r="R413" i="1"/>
  <c r="S413" i="1" s="1"/>
  <c r="P489" i="1"/>
  <c r="Q489" i="1" s="1"/>
  <c r="N489" i="1"/>
  <c r="O489" i="1" s="1"/>
  <c r="R489" i="1"/>
  <c r="S489" i="1" s="1"/>
  <c r="L489" i="1"/>
  <c r="M489" i="1" s="1"/>
  <c r="J489" i="1"/>
  <c r="K489" i="1" s="1"/>
  <c r="H489" i="1"/>
  <c r="I489" i="1" s="1"/>
  <c r="T489" i="1"/>
  <c r="U489" i="1" s="1"/>
  <c r="V489" i="1"/>
  <c r="W489" i="1" s="1"/>
  <c r="T529" i="1"/>
  <c r="U529" i="1" s="1"/>
  <c r="V529" i="1"/>
  <c r="W529" i="1" s="1"/>
  <c r="H529" i="1"/>
  <c r="I529" i="1" s="1"/>
  <c r="J529" i="1"/>
  <c r="K529" i="1" s="1"/>
  <c r="P529" i="1"/>
  <c r="Q529" i="1" s="1"/>
  <c r="L529" i="1"/>
  <c r="M529" i="1" s="1"/>
  <c r="N529" i="1"/>
  <c r="O529" i="1" s="1"/>
  <c r="R529" i="1"/>
  <c r="S529" i="1" s="1"/>
  <c r="T532" i="1"/>
  <c r="U532" i="1" s="1"/>
  <c r="V532" i="1"/>
  <c r="W532" i="1" s="1"/>
  <c r="R532" i="1"/>
  <c r="S532" i="1" s="1"/>
  <c r="H532" i="1"/>
  <c r="I532" i="1" s="1"/>
  <c r="P532" i="1"/>
  <c r="Q532" i="1" s="1"/>
  <c r="J532" i="1"/>
  <c r="K532" i="1" s="1"/>
  <c r="L532" i="1"/>
  <c r="M532" i="1" s="1"/>
  <c r="N532" i="1"/>
  <c r="O532" i="1" s="1"/>
  <c r="N555" i="1"/>
  <c r="O555" i="1" s="1"/>
  <c r="L555" i="1"/>
  <c r="M555" i="1" s="1"/>
  <c r="J555" i="1"/>
  <c r="K555" i="1" s="1"/>
  <c r="H555" i="1"/>
  <c r="I555" i="1" s="1"/>
  <c r="T555" i="1"/>
  <c r="U555" i="1" s="1"/>
  <c r="V555" i="1"/>
  <c r="W555" i="1" s="1"/>
  <c r="R555" i="1"/>
  <c r="S555" i="1" s="1"/>
  <c r="P555" i="1"/>
  <c r="Q555" i="1" s="1"/>
  <c r="L440" i="1"/>
  <c r="M440" i="1" s="1"/>
  <c r="J440" i="1"/>
  <c r="K440" i="1" s="1"/>
  <c r="H440" i="1"/>
  <c r="I440" i="1" s="1"/>
  <c r="N440" i="1"/>
  <c r="O440" i="1" s="1"/>
  <c r="V440" i="1"/>
  <c r="W440" i="1" s="1"/>
  <c r="T440" i="1"/>
  <c r="U440" i="1" s="1"/>
  <c r="R440" i="1"/>
  <c r="S440" i="1" s="1"/>
  <c r="P440" i="1"/>
  <c r="Q440" i="1" s="1"/>
  <c r="V190" i="1"/>
  <c r="W190" i="1" s="1"/>
  <c r="T190" i="1"/>
  <c r="U190" i="1" s="1"/>
  <c r="R190" i="1"/>
  <c r="S190" i="1" s="1"/>
  <c r="P190" i="1"/>
  <c r="Q190" i="1" s="1"/>
  <c r="N190" i="1"/>
  <c r="O190" i="1" s="1"/>
  <c r="L190" i="1"/>
  <c r="M190" i="1" s="1"/>
  <c r="J190" i="1"/>
  <c r="K190" i="1" s="1"/>
  <c r="H190" i="1"/>
  <c r="I190" i="1" s="1"/>
  <c r="T530" i="1"/>
  <c r="U530" i="1" s="1"/>
  <c r="V530" i="1"/>
  <c r="W530" i="1" s="1"/>
  <c r="H530" i="1"/>
  <c r="I530" i="1" s="1"/>
  <c r="J530" i="1"/>
  <c r="K530" i="1" s="1"/>
  <c r="L530" i="1"/>
  <c r="M530" i="1" s="1"/>
  <c r="N530" i="1"/>
  <c r="O530" i="1" s="1"/>
  <c r="P530" i="1"/>
  <c r="Q530" i="1" s="1"/>
  <c r="R530" i="1"/>
  <c r="S530" i="1" s="1"/>
  <c r="V547" i="1"/>
  <c r="W547" i="1" s="1"/>
  <c r="T547" i="1"/>
  <c r="U547" i="1" s="1"/>
  <c r="H547" i="1"/>
  <c r="I547" i="1" s="1"/>
  <c r="J547" i="1"/>
  <c r="K547" i="1" s="1"/>
  <c r="L547" i="1"/>
  <c r="M547" i="1" s="1"/>
  <c r="R547" i="1"/>
  <c r="S547" i="1" s="1"/>
  <c r="N547" i="1"/>
  <c r="O547" i="1" s="1"/>
  <c r="P547" i="1"/>
  <c r="Q547" i="1" s="1"/>
  <c r="V106" i="1"/>
  <c r="W106" i="1" s="1"/>
  <c r="S106" i="1"/>
  <c r="H106" i="1"/>
  <c r="I106" i="1" s="1"/>
  <c r="R494" i="1"/>
  <c r="S494" i="1" s="1"/>
  <c r="J494" i="1"/>
  <c r="K494" i="1" s="1"/>
  <c r="T494" i="1"/>
  <c r="U494" i="1" s="1"/>
  <c r="P494" i="1"/>
  <c r="Q494" i="1" s="1"/>
  <c r="N494" i="1"/>
  <c r="O494" i="1" s="1"/>
  <c r="L494" i="1"/>
  <c r="M494" i="1" s="1"/>
  <c r="V494" i="1"/>
  <c r="W494" i="1" s="1"/>
  <c r="N488" i="1"/>
  <c r="L488" i="1"/>
  <c r="J488" i="1"/>
  <c r="H488" i="1"/>
  <c r="R488" i="1"/>
  <c r="P488" i="1"/>
  <c r="T488" i="1"/>
  <c r="V488" i="1"/>
  <c r="V492" i="1"/>
  <c r="W492" i="1" s="1"/>
  <c r="L492" i="1"/>
  <c r="M492" i="1" s="1"/>
  <c r="T492" i="1"/>
  <c r="U492" i="1" s="1"/>
  <c r="R492" i="1"/>
  <c r="S492" i="1" s="1"/>
  <c r="P492" i="1"/>
  <c r="Q492" i="1" s="1"/>
  <c r="N492" i="1"/>
  <c r="O492" i="1" s="1"/>
  <c r="J492" i="1"/>
  <c r="K492" i="1" s="1"/>
  <c r="H492" i="1"/>
  <c r="I492" i="1" s="1"/>
  <c r="N504" i="1"/>
  <c r="O504" i="1" s="1"/>
  <c r="L504" i="1"/>
  <c r="M504" i="1" s="1"/>
  <c r="J504" i="1"/>
  <c r="K504" i="1" s="1"/>
  <c r="V504" i="1"/>
  <c r="W504" i="1" s="1"/>
  <c r="H504" i="1"/>
  <c r="I504" i="1" s="1"/>
  <c r="T504" i="1"/>
  <c r="U504" i="1" s="1"/>
  <c r="R504" i="1"/>
  <c r="S504" i="1" s="1"/>
  <c r="P504" i="1"/>
  <c r="Q504" i="1" s="1"/>
  <c r="V511" i="1"/>
  <c r="W511" i="1" s="1"/>
  <c r="T511" i="1"/>
  <c r="U511" i="1" s="1"/>
  <c r="R511" i="1"/>
  <c r="S511" i="1" s="1"/>
  <c r="P511" i="1"/>
  <c r="Q511" i="1" s="1"/>
  <c r="N511" i="1"/>
  <c r="O511" i="1" s="1"/>
  <c r="L511" i="1"/>
  <c r="M511" i="1" s="1"/>
  <c r="J511" i="1"/>
  <c r="K511" i="1" s="1"/>
  <c r="H511" i="1"/>
  <c r="I511" i="1" s="1"/>
  <c r="T624" i="1"/>
  <c r="R624" i="1"/>
  <c r="P624" i="1"/>
  <c r="N624" i="1"/>
  <c r="G306" i="1" l="1"/>
  <c r="F187" i="1" l="1"/>
  <c r="V187" i="1" l="1"/>
  <c r="W187" i="1" s="1"/>
  <c r="T187" i="1"/>
  <c r="U187" i="1" s="1"/>
  <c r="R187" i="1"/>
  <c r="S187" i="1" s="1"/>
  <c r="P187" i="1"/>
  <c r="Q187" i="1" s="1"/>
  <c r="N187" i="1"/>
  <c r="O187" i="1" s="1"/>
  <c r="L187" i="1"/>
  <c r="M187" i="1" s="1"/>
  <c r="G305" i="1"/>
  <c r="N344" i="1" l="1"/>
  <c r="O344" i="1" s="1"/>
  <c r="L344" i="1"/>
  <c r="M344" i="1" s="1"/>
  <c r="J344" i="1"/>
  <c r="K344" i="1" s="1"/>
  <c r="H344" i="1"/>
  <c r="I344" i="1" s="1"/>
  <c r="F342" i="1"/>
  <c r="P342" i="1" l="1"/>
  <c r="Q342" i="1" s="1"/>
  <c r="T342" i="1"/>
  <c r="U342" i="1" s="1"/>
  <c r="R342" i="1"/>
  <c r="S342" i="1" s="1"/>
  <c r="N342" i="1"/>
  <c r="O342" i="1" s="1"/>
  <c r="L342" i="1"/>
  <c r="M342" i="1" s="1"/>
  <c r="V342" i="1"/>
  <c r="W342" i="1" s="1"/>
  <c r="G633" i="1"/>
  <c r="G505" i="1" l="1"/>
  <c r="G504" i="1" l="1"/>
  <c r="G494" i="1" l="1"/>
  <c r="H494" i="1"/>
  <c r="I494" i="1" s="1"/>
  <c r="G489" i="1"/>
  <c r="I488" i="1"/>
  <c r="M488" i="1" l="1"/>
  <c r="K488" i="1"/>
  <c r="Q488" i="1"/>
  <c r="S488" i="1"/>
  <c r="U488" i="1"/>
  <c r="W488" i="1"/>
  <c r="O488" i="1"/>
  <c r="G488" i="1"/>
  <c r="G249" i="1" l="1"/>
  <c r="G247" i="1"/>
  <c r="G234" i="1" l="1"/>
  <c r="G231" i="1"/>
  <c r="G554" i="1" l="1"/>
  <c r="G555" i="1"/>
  <c r="G470" i="1" l="1"/>
  <c r="G199" i="1" l="1"/>
  <c r="G198" i="1" l="1"/>
  <c r="G214" i="1"/>
  <c r="G533" i="1" l="1"/>
  <c r="G532" i="1"/>
  <c r="G531" i="1"/>
  <c r="T419" i="1"/>
  <c r="U419" i="1" s="1"/>
  <c r="R419" i="1"/>
  <c r="S419" i="1" s="1"/>
  <c r="P419" i="1"/>
  <c r="Q419" i="1" s="1"/>
  <c r="N419" i="1"/>
  <c r="O419" i="1" s="1"/>
  <c r="L419" i="1"/>
  <c r="M419" i="1" s="1"/>
  <c r="T418" i="1"/>
  <c r="U418" i="1" s="1"/>
  <c r="R418" i="1"/>
  <c r="S418" i="1" s="1"/>
  <c r="P418" i="1"/>
  <c r="Q418" i="1" s="1"/>
  <c r="N418" i="1"/>
  <c r="O418" i="1" s="1"/>
  <c r="L418" i="1"/>
  <c r="M418" i="1" s="1"/>
  <c r="T417" i="1"/>
  <c r="U417" i="1" s="1"/>
  <c r="R417" i="1"/>
  <c r="S417" i="1" s="1"/>
  <c r="P417" i="1"/>
  <c r="Q417" i="1" s="1"/>
  <c r="N417" i="1"/>
  <c r="O417" i="1" s="1"/>
  <c r="L417" i="1"/>
  <c r="M417" i="1" s="1"/>
  <c r="T416" i="1"/>
  <c r="R416" i="1"/>
  <c r="P416" i="1"/>
  <c r="N416" i="1"/>
  <c r="L416" i="1"/>
  <c r="G553" i="1" l="1"/>
  <c r="G352" i="1" l="1"/>
  <c r="F408" i="1"/>
  <c r="R408" i="1" l="1"/>
  <c r="S408" i="1" s="1"/>
  <c r="V408" i="1"/>
  <c r="W408" i="1" s="1"/>
  <c r="P408" i="1"/>
  <c r="Q408" i="1" s="1"/>
  <c r="N408" i="1"/>
  <c r="O408" i="1" s="1"/>
  <c r="L408" i="1"/>
  <c r="M408" i="1" s="1"/>
  <c r="J408" i="1"/>
  <c r="K408" i="1" s="1"/>
  <c r="T408" i="1"/>
  <c r="U408" i="1" s="1"/>
  <c r="H408" i="1"/>
  <c r="I408" i="1" s="1"/>
  <c r="G233" i="1"/>
  <c r="G365" i="1" l="1"/>
  <c r="G174" i="1" l="1"/>
  <c r="G175" i="1"/>
  <c r="U172" i="1"/>
  <c r="G167" i="1" l="1"/>
  <c r="G171" i="1"/>
  <c r="G173" i="1"/>
  <c r="I172" i="1"/>
  <c r="S172" i="1"/>
  <c r="Q172" i="1"/>
  <c r="M172" i="1"/>
  <c r="G172" i="1"/>
  <c r="K172" i="1"/>
  <c r="O172" i="1"/>
  <c r="G170" i="1"/>
  <c r="G168" i="1"/>
  <c r="G166" i="1"/>
  <c r="I166" i="1"/>
  <c r="G411" i="1" l="1"/>
  <c r="G299" i="1" l="1"/>
  <c r="G538" i="1" l="1"/>
  <c r="W557" i="1" l="1"/>
  <c r="U557" i="1"/>
  <c r="S557" i="1"/>
  <c r="Q557" i="1"/>
  <c r="O557" i="1"/>
  <c r="M557" i="1"/>
  <c r="K557" i="1"/>
  <c r="I557" i="1"/>
  <c r="W514" i="1" l="1"/>
  <c r="U514" i="1"/>
  <c r="S514" i="1"/>
  <c r="Q514" i="1"/>
  <c r="O514" i="1"/>
  <c r="M514" i="1"/>
  <c r="K514" i="1"/>
  <c r="I514" i="1"/>
  <c r="AA88" i="1" l="1"/>
  <c r="AA87" i="1"/>
  <c r="AA84" i="1"/>
  <c r="AA83" i="1"/>
  <c r="L27" i="1" l="1"/>
  <c r="M27" i="1" s="1"/>
  <c r="W38" i="1"/>
  <c r="U38" i="1"/>
  <c r="S38" i="1"/>
  <c r="Q38" i="1"/>
  <c r="O38" i="1"/>
  <c r="W59" i="1"/>
  <c r="U59" i="1"/>
  <c r="S59" i="1"/>
  <c r="Q59" i="1"/>
  <c r="O59" i="1"/>
  <c r="M59" i="1"/>
  <c r="J59" i="1"/>
  <c r="K59" i="1" s="1"/>
  <c r="W58" i="1"/>
  <c r="U58" i="1"/>
  <c r="S58" i="1"/>
  <c r="Q58" i="1"/>
  <c r="O58" i="1"/>
  <c r="M58" i="1"/>
  <c r="J58" i="1"/>
  <c r="K58" i="1" s="1"/>
  <c r="W57" i="1"/>
  <c r="U57" i="1"/>
  <c r="S57" i="1"/>
  <c r="Q57" i="1"/>
  <c r="O57" i="1"/>
  <c r="M57" i="1"/>
  <c r="J57" i="1"/>
  <c r="K57" i="1" s="1"/>
  <c r="J56" i="1"/>
  <c r="G63" i="1"/>
  <c r="T14" i="1"/>
  <c r="U14" i="1" s="1"/>
  <c r="R14" i="1"/>
  <c r="S14" i="1" s="1"/>
  <c r="P14" i="1"/>
  <c r="Q14" i="1" s="1"/>
  <c r="N14" i="1"/>
  <c r="O14" i="1" s="1"/>
  <c r="L14" i="1"/>
  <c r="M14" i="1" s="1"/>
  <c r="J14" i="1"/>
  <c r="K14" i="1" s="1"/>
  <c r="P30" i="1"/>
  <c r="Q30" i="1" s="1"/>
  <c r="T22" i="1"/>
  <c r="U22" i="1" s="1"/>
  <c r="R22" i="1"/>
  <c r="S22" i="1" s="1"/>
  <c r="P22" i="1"/>
  <c r="Q22" i="1" s="1"/>
  <c r="N22" i="1"/>
  <c r="O22" i="1" s="1"/>
  <c r="L22" i="1"/>
  <c r="M22" i="1" s="1"/>
  <c r="J22" i="1"/>
  <c r="K22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T28" i="1"/>
  <c r="R28" i="1"/>
  <c r="P28" i="1"/>
  <c r="N28" i="1"/>
  <c r="L28" i="1"/>
  <c r="L29" i="1"/>
  <c r="T27" i="1" l="1"/>
  <c r="U27" i="1" s="1"/>
  <c r="N27" i="1"/>
  <c r="O27" i="1" s="1"/>
  <c r="P27" i="1"/>
  <c r="Q27" i="1" s="1"/>
  <c r="R27" i="1"/>
  <c r="S27" i="1" s="1"/>
  <c r="T30" i="1"/>
  <c r="U30" i="1" s="1"/>
  <c r="R30" i="1"/>
  <c r="S30" i="1" s="1"/>
  <c r="J30" i="1"/>
  <c r="K30" i="1" s="1"/>
  <c r="L30" i="1"/>
  <c r="M30" i="1" s="1"/>
  <c r="N30" i="1"/>
  <c r="O30" i="1" s="1"/>
  <c r="P29" i="1"/>
  <c r="T29" i="1"/>
  <c r="R29" i="1"/>
  <c r="N29" i="1"/>
  <c r="G280" i="1" l="1"/>
  <c r="G257" i="1" l="1"/>
  <c r="G408" i="1" l="1"/>
  <c r="G255" i="1"/>
  <c r="G245" i="1"/>
  <c r="G248" i="1" l="1"/>
  <c r="G493" i="1" l="1"/>
  <c r="G492" i="1" l="1"/>
  <c r="G185" i="1"/>
  <c r="G184" i="1"/>
  <c r="G181" i="1"/>
  <c r="G179" i="1"/>
  <c r="G178" i="1"/>
  <c r="G177" i="1"/>
  <c r="G176" i="1"/>
  <c r="W179" i="1"/>
  <c r="W178" i="1"/>
  <c r="W177" i="1"/>
  <c r="W176" i="1"/>
  <c r="U176" i="1"/>
  <c r="S176" i="1"/>
  <c r="Q176" i="1"/>
  <c r="O176" i="1"/>
  <c r="I225" i="1"/>
  <c r="K614" i="1"/>
  <c r="K421" i="1"/>
  <c r="G183" i="1" l="1"/>
  <c r="G182" i="1"/>
  <c r="W181" i="1"/>
  <c r="G186" i="1"/>
  <c r="G541" i="1"/>
  <c r="I651" i="1" l="1"/>
  <c r="I650" i="1"/>
  <c r="I648" i="1"/>
  <c r="I649" i="1"/>
  <c r="W648" i="1"/>
  <c r="U648" i="1"/>
  <c r="S648" i="1"/>
  <c r="Q648" i="1"/>
  <c r="M648" i="1"/>
  <c r="K648" i="1"/>
  <c r="W513" i="1" l="1"/>
  <c r="U513" i="1" l="1"/>
  <c r="I513" i="1"/>
  <c r="M513" i="1"/>
  <c r="Q513" i="1"/>
  <c r="K513" i="1"/>
  <c r="O513" i="1"/>
  <c r="S513" i="1"/>
  <c r="G491" i="1" l="1"/>
  <c r="G490" i="1"/>
  <c r="Q349" i="1" l="1"/>
  <c r="O349" i="1"/>
  <c r="M349" i="1"/>
  <c r="U349" i="1"/>
  <c r="S349" i="1"/>
  <c r="K343" i="1"/>
  <c r="W343" i="1"/>
  <c r="Q343" i="1"/>
  <c r="I343" i="1"/>
  <c r="S343" i="1"/>
  <c r="M343" i="1"/>
  <c r="U343" i="1"/>
  <c r="O343" i="1"/>
  <c r="K311" i="1" l="1"/>
  <c r="H253" i="1" l="1"/>
  <c r="I253" i="1" s="1"/>
  <c r="Q125" i="1"/>
  <c r="O125" i="1"/>
  <c r="M125" i="1"/>
  <c r="K125" i="1"/>
  <c r="I143" i="1"/>
  <c r="S127" i="1"/>
  <c r="W127" i="1"/>
  <c r="U127" i="1"/>
  <c r="W224" i="1"/>
  <c r="U224" i="1"/>
  <c r="U309" i="1"/>
  <c r="Q309" i="1"/>
  <c r="K309" i="1"/>
  <c r="O309" i="1"/>
  <c r="S309" i="1"/>
  <c r="M309" i="1"/>
  <c r="W309" i="1"/>
  <c r="V469" i="1" l="1"/>
  <c r="T469" i="1"/>
  <c r="R469" i="1"/>
  <c r="P469" i="1"/>
  <c r="N469" i="1"/>
  <c r="L469" i="1"/>
  <c r="J469" i="1"/>
  <c r="H469" i="1"/>
  <c r="I469" i="1" s="1"/>
  <c r="W471" i="1"/>
  <c r="U471" i="1"/>
  <c r="S471" i="1"/>
  <c r="Q471" i="1"/>
  <c r="O471" i="1"/>
  <c r="M471" i="1"/>
  <c r="K471" i="1"/>
  <c r="I471" i="1"/>
  <c r="I565" i="1"/>
  <c r="G232" i="1" l="1"/>
  <c r="G539" i="1" l="1"/>
  <c r="G547" i="1" l="1"/>
  <c r="G544" i="1"/>
  <c r="G546" i="1"/>
  <c r="G525" i="1" l="1"/>
  <c r="S519" i="1" l="1"/>
  <c r="Q519" i="1"/>
  <c r="W519" i="1"/>
  <c r="O519" i="1"/>
  <c r="U519" i="1"/>
  <c r="M519" i="1"/>
  <c r="K519" i="1"/>
  <c r="G521" i="1"/>
  <c r="G530" i="1"/>
  <c r="G522" i="1" l="1"/>
  <c r="G529" i="1"/>
  <c r="G527" i="1"/>
  <c r="I519" i="1"/>
  <c r="G545" i="1"/>
  <c r="G543" i="1"/>
  <c r="G542" i="1"/>
  <c r="G537" i="1"/>
  <c r="G536" i="1"/>
  <c r="G535" i="1"/>
  <c r="G534" i="1"/>
  <c r="G524" i="1"/>
  <c r="G519" i="1"/>
  <c r="G282" i="1" l="1"/>
  <c r="G383" i="1" l="1"/>
  <c r="G281" i="1" l="1"/>
  <c r="G307" i="1"/>
  <c r="G295" i="1"/>
  <c r="G293" i="1"/>
  <c r="G294" i="1"/>
  <c r="H17" i="1"/>
  <c r="I17" i="1" s="1"/>
  <c r="H18" i="1"/>
  <c r="I18" i="1" s="1"/>
  <c r="G18" i="1"/>
  <c r="G17" i="1"/>
  <c r="N18" i="1"/>
  <c r="G48" i="1"/>
  <c r="G47" i="1"/>
  <c r="W46" i="1"/>
  <c r="U46" i="1"/>
  <c r="S46" i="1"/>
  <c r="Q46" i="1"/>
  <c r="O46" i="1"/>
  <c r="G46" i="1"/>
  <c r="G124" i="1"/>
  <c r="G161" i="1" l="1"/>
  <c r="G221" i="1" l="1"/>
  <c r="G387" i="1" l="1"/>
  <c r="G631" i="1" l="1"/>
  <c r="U626" i="1" l="1"/>
  <c r="K626" i="1"/>
  <c r="S626" i="1"/>
  <c r="Q626" i="1"/>
  <c r="O626" i="1"/>
  <c r="M626" i="1"/>
  <c r="G626" i="1"/>
  <c r="U628" i="1"/>
  <c r="S628" i="1"/>
  <c r="Q628" i="1"/>
  <c r="O628" i="1"/>
  <c r="M628" i="1"/>
  <c r="K628" i="1"/>
  <c r="G628" i="1"/>
  <c r="G419" i="1" l="1"/>
  <c r="G418" i="1"/>
  <c r="M421" i="1" l="1"/>
  <c r="Q60" i="1" l="1"/>
  <c r="M60" i="1"/>
  <c r="K60" i="1"/>
  <c r="W60" i="1"/>
  <c r="U60" i="1"/>
  <c r="S60" i="1"/>
  <c r="O60" i="1"/>
  <c r="G60" i="1"/>
  <c r="G338" i="1" l="1"/>
  <c r="G223" i="1" l="1"/>
  <c r="G354" i="1" l="1"/>
  <c r="G292" i="1"/>
  <c r="G225" i="1" l="1"/>
  <c r="G226" i="1"/>
  <c r="G228" i="1" l="1"/>
  <c r="I644" i="1" l="1"/>
  <c r="K644" i="1"/>
  <c r="W644" i="1"/>
  <c r="U644" i="1"/>
  <c r="S644" i="1"/>
  <c r="Q644" i="1"/>
  <c r="O644" i="1"/>
  <c r="M644" i="1"/>
  <c r="W643" i="1"/>
  <c r="U643" i="1"/>
  <c r="S643" i="1"/>
  <c r="Q643" i="1"/>
  <c r="O643" i="1"/>
  <c r="M643" i="1"/>
  <c r="S649" i="1"/>
  <c r="U649" i="1"/>
  <c r="W649" i="1"/>
  <c r="S650" i="1"/>
  <c r="U650" i="1"/>
  <c r="W650" i="1"/>
  <c r="S651" i="1"/>
  <c r="U651" i="1"/>
  <c r="W651" i="1"/>
  <c r="Q651" i="1"/>
  <c r="O651" i="1"/>
  <c r="M651" i="1"/>
  <c r="K651" i="1"/>
  <c r="I100" i="1" l="1"/>
  <c r="M122" i="1" l="1"/>
  <c r="M120" i="1"/>
  <c r="M119" i="1"/>
  <c r="M117" i="1"/>
  <c r="M116" i="1"/>
  <c r="O111" i="1"/>
  <c r="O110" i="1"/>
  <c r="Q75" i="1" l="1"/>
  <c r="Q74" i="1"/>
  <c r="Q72" i="1"/>
  <c r="Q70" i="1"/>
  <c r="Q71" i="1"/>
  <c r="U627" i="1" l="1"/>
  <c r="S627" i="1"/>
  <c r="Q627" i="1"/>
  <c r="O627" i="1"/>
  <c r="M627" i="1"/>
  <c r="W622" i="1"/>
  <c r="U622" i="1"/>
  <c r="S622" i="1"/>
  <c r="Q622" i="1"/>
  <c r="O622" i="1"/>
  <c r="M622" i="1"/>
  <c r="W469" i="1"/>
  <c r="U469" i="1"/>
  <c r="S469" i="1"/>
  <c r="Q469" i="1"/>
  <c r="O469" i="1"/>
  <c r="M469" i="1"/>
  <c r="K469" i="1"/>
  <c r="Q425" i="1"/>
  <c r="Q416" i="1"/>
  <c r="Q414" i="1"/>
  <c r="I402" i="1"/>
  <c r="Q402" i="1"/>
  <c r="G615" i="1" l="1"/>
  <c r="G614" i="1"/>
  <c r="O215" i="1" l="1"/>
  <c r="K215" i="1"/>
  <c r="Q180" i="1"/>
  <c r="W141" i="1" l="1"/>
  <c r="U141" i="1"/>
  <c r="S141" i="1"/>
  <c r="Q141" i="1"/>
  <c r="O141" i="1"/>
  <c r="M141" i="1"/>
  <c r="K141" i="1"/>
  <c r="Q122" i="1"/>
  <c r="Q120" i="1"/>
  <c r="Q119" i="1"/>
  <c r="Q117" i="1"/>
  <c r="Q116" i="1"/>
  <c r="Q112" i="1"/>
  <c r="Q111" i="1"/>
  <c r="Q110" i="1"/>
  <c r="Q109" i="1"/>
  <c r="Q108" i="1"/>
  <c r="K107" i="1"/>
  <c r="K56" i="1"/>
  <c r="Q56" i="1"/>
  <c r="Q123" i="1" l="1"/>
  <c r="Q49" i="1" l="1"/>
  <c r="Q43" i="1"/>
  <c r="Q41" i="1"/>
  <c r="Q40" i="1"/>
  <c r="Q37" i="1"/>
  <c r="Q32" i="1"/>
  <c r="Q29" i="1" l="1"/>
  <c r="Q28" i="1"/>
  <c r="G510" i="1" l="1"/>
  <c r="G222" i="1"/>
  <c r="G241" i="1" l="1"/>
  <c r="G208" i="1"/>
  <c r="G440" i="1" l="1"/>
  <c r="G381" i="1" l="1"/>
  <c r="G413" i="1"/>
  <c r="G289" i="1"/>
  <c r="G359" i="1"/>
  <c r="G358" i="1"/>
  <c r="Q140" i="1"/>
  <c r="Q139" i="1"/>
  <c r="W41" i="1"/>
  <c r="W402" i="1"/>
  <c r="W113" i="1" l="1"/>
  <c r="O113" i="1"/>
  <c r="G127" i="1" l="1"/>
  <c r="G252" i="1" l="1"/>
  <c r="G189" i="1"/>
  <c r="G284" i="1" l="1"/>
  <c r="G380" i="1"/>
  <c r="G287" i="1" l="1"/>
  <c r="O72" i="1" l="1"/>
  <c r="G203" i="1"/>
  <c r="G290" i="1" l="1"/>
  <c r="W70" i="1" l="1"/>
  <c r="U70" i="1"/>
  <c r="S70" i="1"/>
  <c r="O70" i="1"/>
  <c r="G285" i="1"/>
  <c r="U29" i="1" l="1"/>
  <c r="S29" i="1"/>
  <c r="O29" i="1"/>
  <c r="M29" i="1"/>
  <c r="G372" i="1" l="1"/>
  <c r="G164" i="1" l="1"/>
  <c r="G342" i="1" l="1"/>
  <c r="G632" i="1"/>
  <c r="G634" i="1"/>
  <c r="G423" i="1" l="1"/>
  <c r="G495" i="1" l="1"/>
  <c r="G42" i="1" l="1"/>
  <c r="U41" i="1"/>
  <c r="S41" i="1"/>
  <c r="O41" i="1"/>
  <c r="G41" i="1"/>
  <c r="G286" i="1" l="1"/>
  <c r="I564" i="1" l="1"/>
  <c r="G243" i="1" l="1"/>
  <c r="G246" i="1" l="1"/>
  <c r="G244" i="1"/>
  <c r="G165" i="1" l="1"/>
  <c r="G573" i="1" l="1"/>
  <c r="G572" i="1"/>
  <c r="G571" i="1"/>
  <c r="V99" i="1" l="1"/>
  <c r="T99" i="1"/>
  <c r="R99" i="1"/>
  <c r="N99" i="1"/>
  <c r="K99" i="1"/>
  <c r="G392" i="1" l="1"/>
  <c r="G297" i="1" l="1"/>
  <c r="G503" i="1" l="1"/>
  <c r="G204" i="1" l="1"/>
  <c r="G458" i="1" l="1"/>
  <c r="G395" i="1"/>
  <c r="I675" i="1" l="1"/>
  <c r="M123" i="1"/>
  <c r="W122" i="1"/>
  <c r="W120" i="1"/>
  <c r="W119" i="1"/>
  <c r="W117" i="1"/>
  <c r="W116" i="1"/>
  <c r="U122" i="1"/>
  <c r="U120" i="1"/>
  <c r="U119" i="1"/>
  <c r="U117" i="1"/>
  <c r="U116" i="1"/>
  <c r="S122" i="1"/>
  <c r="S120" i="1"/>
  <c r="S119" i="1"/>
  <c r="S117" i="1"/>
  <c r="S116" i="1"/>
  <c r="O117" i="1"/>
  <c r="O119" i="1"/>
  <c r="O120" i="1"/>
  <c r="O122" i="1"/>
  <c r="O116" i="1"/>
  <c r="W108" i="1"/>
  <c r="W109" i="1"/>
  <c r="W110" i="1"/>
  <c r="W111" i="1"/>
  <c r="U108" i="1"/>
  <c r="U109" i="1"/>
  <c r="U110" i="1"/>
  <c r="U111" i="1"/>
  <c r="S108" i="1"/>
  <c r="S109" i="1"/>
  <c r="S110" i="1"/>
  <c r="S111" i="1"/>
  <c r="G422" i="1" l="1"/>
  <c r="W123" i="1" l="1"/>
  <c r="G512" i="1" l="1"/>
  <c r="G511" i="1"/>
  <c r="G498" i="1"/>
  <c r="G500" i="1"/>
  <c r="G508" i="1"/>
  <c r="G507" i="1"/>
  <c r="G451" i="1" l="1"/>
  <c r="G386" i="1" l="1"/>
  <c r="G288" i="1" l="1"/>
  <c r="G304" i="1"/>
  <c r="G291" i="1"/>
  <c r="G303" i="1" l="1"/>
  <c r="G302" i="1"/>
  <c r="G220" i="1" l="1"/>
  <c r="G11" i="1"/>
  <c r="G210" i="1" l="1"/>
  <c r="G622" i="1" l="1"/>
  <c r="U402" i="1" l="1"/>
  <c r="S402" i="1"/>
  <c r="O402" i="1"/>
  <c r="M402" i="1"/>
  <c r="K402" i="1"/>
  <c r="G211" i="1"/>
  <c r="O37" i="1"/>
  <c r="G188" i="1" l="1"/>
  <c r="G272" i="1" l="1"/>
  <c r="G274" i="1"/>
  <c r="G273" i="1"/>
  <c r="G384" i="1" l="1"/>
  <c r="G385" i="1"/>
  <c r="S43" i="1" l="1"/>
  <c r="G113" i="1" l="1"/>
  <c r="G438" i="1" l="1"/>
  <c r="G630" i="1" l="1"/>
  <c r="G627" i="1"/>
  <c r="G271" i="1"/>
  <c r="G212" i="1"/>
  <c r="G209" i="1"/>
  <c r="G207" i="1"/>
  <c r="G201" i="1"/>
  <c r="G202" i="1"/>
  <c r="G200" i="1"/>
  <c r="G107" i="1"/>
  <c r="G65" i="1"/>
  <c r="G64" i="1"/>
  <c r="G25" i="1"/>
  <c r="G23" i="1"/>
  <c r="G24" i="1"/>
  <c r="G377" i="1" l="1"/>
  <c r="U414" i="1" l="1"/>
  <c r="S414" i="1"/>
  <c r="M414" i="1"/>
  <c r="O414" i="1"/>
  <c r="G414" i="1"/>
  <c r="J456" i="1" l="1"/>
  <c r="J454" i="1"/>
  <c r="J453" i="1"/>
  <c r="J452" i="1"/>
  <c r="J455" i="1"/>
  <c r="J451" i="1"/>
  <c r="W112" i="1" l="1"/>
  <c r="U112" i="1"/>
  <c r="S112" i="1"/>
  <c r="O112" i="1"/>
  <c r="G22" i="1"/>
  <c r="K21" i="1"/>
  <c r="G416" i="1"/>
  <c r="M416" i="1"/>
  <c r="O416" i="1"/>
  <c r="S416" i="1"/>
  <c r="U416" i="1"/>
  <c r="W349" i="1"/>
  <c r="G155" i="1"/>
  <c r="G261" i="1" l="1"/>
  <c r="G264" i="1" l="1"/>
  <c r="G27" i="1" l="1"/>
  <c r="G502" i="1" l="1"/>
  <c r="G57" i="1" l="1"/>
  <c r="G59" i="1"/>
  <c r="O32" i="1"/>
  <c r="G61" i="1"/>
  <c r="U32" i="1" l="1"/>
  <c r="G197" i="1"/>
  <c r="W562" i="1" l="1"/>
  <c r="U562" i="1"/>
  <c r="S562" i="1"/>
  <c r="Q562" i="1"/>
  <c r="O562" i="1"/>
  <c r="M562" i="1"/>
  <c r="K562" i="1"/>
  <c r="G30" i="1"/>
  <c r="G308" i="1"/>
  <c r="O123" i="1"/>
  <c r="S123" i="1"/>
  <c r="U123" i="1"/>
  <c r="G301" i="1" l="1"/>
  <c r="G569" i="1" l="1"/>
  <c r="G14" i="1" l="1"/>
  <c r="G471" i="1" l="1"/>
  <c r="G143" i="1" l="1"/>
  <c r="G115" i="1"/>
  <c r="G114" i="1"/>
  <c r="G13" i="1"/>
  <c r="G21" i="1"/>
  <c r="J27" i="1"/>
  <c r="M28" i="1"/>
  <c r="O28" i="1"/>
  <c r="S28" i="1"/>
  <c r="U28" i="1"/>
  <c r="G29" i="1"/>
  <c r="G32" i="1"/>
  <c r="S32" i="1"/>
  <c r="W32" i="1"/>
  <c r="G33" i="1"/>
  <c r="G34" i="1"/>
  <c r="G35" i="1"/>
  <c r="G36" i="1"/>
  <c r="G37" i="1"/>
  <c r="S37" i="1"/>
  <c r="U37" i="1"/>
  <c r="W37" i="1"/>
  <c r="G38" i="1"/>
  <c r="G39" i="1"/>
  <c r="G40" i="1"/>
  <c r="O40" i="1"/>
  <c r="S40" i="1"/>
  <c r="U40" i="1"/>
  <c r="W40" i="1"/>
  <c r="G43" i="1"/>
  <c r="O43" i="1"/>
  <c r="U43" i="1"/>
  <c r="W43" i="1"/>
  <c r="G44" i="1"/>
  <c r="G45" i="1"/>
  <c r="G49" i="1"/>
  <c r="O49" i="1"/>
  <c r="S49" i="1"/>
  <c r="U49" i="1"/>
  <c r="W49" i="1"/>
  <c r="G50" i="1"/>
  <c r="G51" i="1"/>
  <c r="G56" i="1"/>
  <c r="M56" i="1"/>
  <c r="O56" i="1"/>
  <c r="S56" i="1"/>
  <c r="U56" i="1"/>
  <c r="W56" i="1"/>
  <c r="G58" i="1"/>
  <c r="G62" i="1"/>
  <c r="G66" i="1"/>
  <c r="G69" i="1"/>
  <c r="O71" i="1"/>
  <c r="S71" i="1"/>
  <c r="U71" i="1"/>
  <c r="W71" i="1"/>
  <c r="S72" i="1"/>
  <c r="U72" i="1"/>
  <c r="W72" i="1"/>
  <c r="M74" i="1"/>
  <c r="O74" i="1"/>
  <c r="S74" i="1"/>
  <c r="U74" i="1"/>
  <c r="M75" i="1"/>
  <c r="O75" i="1"/>
  <c r="S75" i="1"/>
  <c r="U75" i="1"/>
  <c r="G96" i="1"/>
  <c r="K96" i="1"/>
  <c r="M96" i="1"/>
  <c r="N96" i="1"/>
  <c r="G97" i="1"/>
  <c r="G98" i="1"/>
  <c r="G99" i="1"/>
  <c r="G100" i="1"/>
  <c r="G102" i="1"/>
  <c r="G103" i="1"/>
  <c r="G104" i="1"/>
  <c r="G106" i="1"/>
  <c r="G112" i="1"/>
  <c r="G123" i="1"/>
  <c r="G125" i="1"/>
  <c r="G135" i="1"/>
  <c r="Q135" i="1"/>
  <c r="G136" i="1"/>
  <c r="Q136" i="1"/>
  <c r="G139" i="1"/>
  <c r="G140" i="1"/>
  <c r="G149" i="1"/>
  <c r="G162" i="1"/>
  <c r="G163" i="1"/>
  <c r="G180" i="1"/>
  <c r="M180" i="1"/>
  <c r="O180" i="1"/>
  <c r="S180" i="1"/>
  <c r="U180" i="1"/>
  <c r="W180" i="1"/>
  <c r="G187" i="1"/>
  <c r="G190" i="1"/>
  <c r="G206" i="1"/>
  <c r="G215" i="1"/>
  <c r="G216" i="1"/>
  <c r="M216" i="1"/>
  <c r="P216" i="1"/>
  <c r="G217" i="1"/>
  <c r="G218" i="1"/>
  <c r="G219" i="1"/>
  <c r="G224" i="1"/>
  <c r="G242" i="1"/>
  <c r="G251" i="1"/>
  <c r="G253" i="1"/>
  <c r="G254" i="1"/>
  <c r="G256" i="1"/>
  <c r="G258" i="1"/>
  <c r="G259" i="1"/>
  <c r="G260" i="1"/>
  <c r="G262" i="1"/>
  <c r="G263" i="1"/>
  <c r="G275" i="1"/>
  <c r="G276" i="1"/>
  <c r="G310" i="1"/>
  <c r="G311" i="1"/>
  <c r="G312" i="1"/>
  <c r="G313" i="1"/>
  <c r="G314" i="1"/>
  <c r="G315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9" i="1"/>
  <c r="G340" i="1"/>
  <c r="G341" i="1"/>
  <c r="G343" i="1"/>
  <c r="G344" i="1"/>
  <c r="G348" i="1"/>
  <c r="G349" i="1"/>
  <c r="G350" i="1"/>
  <c r="G351" i="1"/>
  <c r="G355" i="1"/>
  <c r="G356" i="1"/>
  <c r="G357" i="1"/>
  <c r="G360" i="1"/>
  <c r="G367" i="1"/>
  <c r="G368" i="1"/>
  <c r="G369" i="1"/>
  <c r="G371" i="1"/>
  <c r="G373" i="1"/>
  <c r="G374" i="1"/>
  <c r="G375" i="1"/>
  <c r="G376" i="1"/>
  <c r="G388" i="1"/>
  <c r="G390" i="1"/>
  <c r="G394" i="1"/>
  <c r="G401" i="1"/>
  <c r="G402" i="1"/>
  <c r="G417" i="1"/>
  <c r="G420" i="1"/>
  <c r="G424" i="1"/>
  <c r="G425" i="1"/>
  <c r="O425" i="1"/>
  <c r="S425" i="1"/>
  <c r="U425" i="1"/>
  <c r="W425" i="1"/>
  <c r="G426" i="1"/>
  <c r="G427" i="1"/>
  <c r="G428" i="1"/>
  <c r="G429" i="1"/>
  <c r="G436" i="1"/>
  <c r="G437" i="1"/>
  <c r="G439" i="1"/>
  <c r="G452" i="1"/>
  <c r="G453" i="1"/>
  <c r="G454" i="1"/>
  <c r="G455" i="1"/>
  <c r="G456" i="1"/>
  <c r="G459" i="1"/>
  <c r="G460" i="1"/>
  <c r="G461" i="1"/>
  <c r="G463" i="1"/>
  <c r="G464" i="1"/>
  <c r="G466" i="1"/>
  <c r="G467" i="1"/>
  <c r="G469" i="1"/>
  <c r="G506" i="1"/>
  <c r="G624" i="1"/>
  <c r="M624" i="1"/>
  <c r="O624" i="1"/>
  <c r="Q624" i="1"/>
  <c r="S624" i="1"/>
  <c r="U624" i="1"/>
  <c r="M641" i="1"/>
  <c r="O641" i="1"/>
  <c r="Q641" i="1"/>
  <c r="S641" i="1"/>
  <c r="U641" i="1"/>
  <c r="W641" i="1"/>
  <c r="K642" i="1"/>
  <c r="M642" i="1"/>
  <c r="O642" i="1"/>
  <c r="Q642" i="1"/>
  <c r="S642" i="1"/>
  <c r="U642" i="1"/>
  <c r="W642" i="1"/>
  <c r="K649" i="1"/>
  <c r="M649" i="1"/>
  <c r="O649" i="1"/>
  <c r="Q649" i="1"/>
  <c r="K650" i="1"/>
  <c r="M650" i="1"/>
  <c r="O650" i="1"/>
  <c r="Q650" i="1"/>
  <c r="M653" i="1"/>
  <c r="Q653" i="1"/>
  <c r="I674" i="1"/>
</calcChain>
</file>

<file path=xl/comments1.xml><?xml version="1.0" encoding="utf-8"?>
<comments xmlns="http://schemas.openxmlformats.org/spreadsheetml/2006/main">
  <authors>
    <author>Usuario</author>
  </authors>
  <commentList>
    <comment ref="B15" authorId="0" shapeId="0">
      <text>
        <r>
          <rPr>
            <b/>
            <sz val="9"/>
            <color indexed="81"/>
            <rFont val="Tahoma"/>
            <charset val="1"/>
          </rPr>
          <t>CONSULTAR ADICIONAL POR IMPRESIÓN DE LOGO EN LA CAJA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<sst xmlns="http://schemas.openxmlformats.org/spreadsheetml/2006/main" count="1109" uniqueCount="922">
  <si>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</si>
  <si>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</si>
  <si>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</si>
  <si>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</si>
  <si>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</si>
  <si>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</si>
  <si>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</si>
  <si>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</si>
  <si>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</si>
  <si>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</si>
  <si>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</si>
  <si>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</si>
  <si>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</si>
  <si>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</si>
  <si>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TERMINADOS IMPRESOS A 1 COLOR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</si>
  <si>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</si>
  <si>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</si>
  <si>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</si>
  <si>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</si>
  <si>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</si>
  <si>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</si>
  <si>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</si>
  <si>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</si>
  <si>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</si>
  <si>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</si>
  <si>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</si>
  <si>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IR A PAGINA 8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</si>
  <si>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</si>
  <si>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</si>
  <si>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</si>
  <si>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</si>
  <si>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</si>
  <si>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</si>
  <si>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</si>
  <si>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</si>
  <si>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</si>
  <si>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</si>
  <si>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</si>
  <si>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</si>
  <si>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</si>
  <si>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</si>
  <si>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</si>
  <si>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</si>
  <si>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</si>
  <si>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</si>
  <si>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</si>
  <si>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</si>
  <si>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</si>
  <si>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</si>
  <si>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</si>
  <si>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</si>
  <si>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</si>
  <si>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</si>
  <si>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</si>
  <si>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</si>
  <si>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</si>
  <si>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</si>
  <si>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</si>
  <si>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</si>
  <si>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</si>
  <si>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</si>
  <si>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</si>
  <si>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</si>
  <si>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</si>
  <si>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</si>
  <si>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</si>
  <si>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</si>
  <si>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</si>
  <si>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</si>
  <si>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</si>
  <si>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</si>
  <si>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</si>
  <si>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</si>
  <si>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</si>
  <si>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</si>
  <si>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</si>
  <si>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</si>
  <si>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</si>
  <si>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</si>
  <si>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</si>
  <si>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</si>
  <si>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</si>
  <si>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</si>
  <si>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</si>
  <si>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>00085-1</t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</si>
  <si>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</si>
  <si>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</si>
  <si>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</si>
  <si>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</si>
  <si>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</si>
  <si>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</si>
  <si>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</si>
  <si>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</si>
  <si>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</si>
  <si>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</si>
  <si>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</si>
  <si>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</si>
  <si>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</si>
  <si>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</si>
  <si>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</si>
  <si>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</si>
  <si>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</si>
  <si>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</si>
  <si>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</si>
  <si>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</si>
  <si>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</si>
  <si>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</si>
  <si>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</si>
  <si>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</si>
  <si>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</si>
  <si>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</si>
  <si>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</si>
  <si>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</si>
  <si>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</si>
  <si>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</si>
  <si>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</si>
  <si>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</si>
  <si>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</si>
  <si>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</si>
  <si>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</si>
  <si>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</si>
  <si>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</si>
  <si>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</si>
  <si>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</si>
  <si>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</si>
  <si>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</si>
  <si>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</si>
  <si>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</si>
  <si>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</si>
  <si>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</si>
  <si>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</si>
  <si>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</si>
  <si>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</si>
  <si>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</si>
  <si>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</si>
  <si>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</si>
  <si>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</si>
  <si>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</si>
  <si>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</si>
  <si>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</si>
  <si>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</si>
  <si>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</si>
  <si>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</si>
  <si>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</si>
  <si>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</si>
  <si>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</si>
  <si>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</si>
  <si>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</si>
  <si>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</si>
  <si>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</si>
  <si>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</si>
  <si>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</si>
  <si>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</si>
  <si>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</si>
  <si>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</si>
  <si>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</si>
  <si>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</si>
  <si>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</si>
  <si>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</si>
  <si>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</si>
  <si>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</si>
  <si>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r>
      <t>00279 - Reloj de pared redondo (Diámetro 26 cm)</t>
    </r>
    <r>
      <rPr>
        <sz val="8"/>
        <color indexed="10"/>
        <rFont val="Arial"/>
        <family val="2"/>
      </rPr>
      <t xml:space="preserve">  </t>
    </r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</si>
  <si>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</si>
  <si>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</si>
  <si>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</si>
  <si>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</si>
  <si>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</si>
  <si>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</si>
  <si>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</si>
  <si>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</si>
  <si>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</si>
  <si>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</si>
  <si>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</si>
  <si>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</si>
  <si>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</si>
  <si>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</si>
  <si>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</si>
  <si>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</si>
  <si>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</si>
  <si>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</si>
  <si>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</si>
  <si>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</si>
  <si>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</si>
  <si>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</si>
  <si>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</si>
  <si>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 xml:space="preserve">00321 - Carpita inyectada calendario 2 colores logo 1 color  </t>
  </si>
  <si>
    <t>00324 - Carpita inyectada posalapiz calendario impreso 2 col.</t>
  </si>
  <si>
    <t>00325 - Carpita inyectada posalapiz calend. 2 col. logo 1 col.</t>
  </si>
  <si>
    <r>
      <t>00345 - Pad Mouse Goma Eva blanco 21x24 cm</t>
    </r>
    <r>
      <rPr>
        <sz val="8"/>
        <color indexed="10"/>
        <rFont val="Arial"/>
        <family val="2"/>
      </rPr>
      <t/>
    </r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</si>
  <si>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</si>
  <si>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</si>
  <si>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</si>
  <si>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</si>
  <si>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</si>
  <si>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</si>
  <si>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</si>
  <si>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</si>
  <si>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00403-3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</si>
  <si>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</si>
  <si>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</si>
  <si>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</si>
  <si>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</si>
  <si>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</si>
  <si>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</si>
  <si>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</si>
  <si>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</si>
  <si>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</si>
  <si>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</si>
  <si>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</si>
  <si>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</si>
  <si>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</si>
  <si>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</si>
  <si>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</si>
  <si>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</si>
  <si>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</si>
  <si>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</si>
  <si>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</si>
  <si>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</si>
  <si>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</si>
  <si>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</si>
  <si>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</si>
  <si>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</si>
  <si>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</si>
  <si>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</si>
  <si>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</si>
  <si>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</si>
  <si>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</si>
  <si>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</si>
  <si>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</si>
  <si>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</si>
  <si>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</si>
  <si>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</si>
  <si>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</si>
  <si>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</si>
  <si>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</si>
  <si>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</si>
  <si>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</si>
  <si>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</si>
  <si>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</si>
  <si>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</si>
  <si>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</si>
  <si>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</si>
  <si>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</si>
  <si>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</si>
  <si>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</si>
  <si>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</si>
  <si>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</si>
  <si>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</si>
  <si>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</si>
  <si>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</si>
  <si>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</si>
  <si>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</si>
  <si>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</si>
  <si>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</si>
  <si>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</si>
  <si>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</si>
  <si>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</si>
  <si>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</si>
  <si>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</si>
  <si>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</si>
  <si>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</si>
  <si>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</si>
  <si>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</si>
  <si>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</si>
  <si>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02272 - Bolígrafo plástico Touch con apoya celular</t>
  </si>
  <si>
    <t>02275 - Bolígrafo con puntera y pulsador metalizado</t>
  </si>
  <si>
    <t>02280 - Boligrafo cuerpo blanco puntera silver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</si>
  <si>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</si>
  <si>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</si>
  <si>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</si>
  <si>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</si>
  <si>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</si>
  <si>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</si>
  <si>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</si>
  <si>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</si>
  <si>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</si>
  <si>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</si>
  <si>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</si>
  <si>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</si>
  <si>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</si>
  <si>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</si>
  <si>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</si>
  <si>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</si>
  <si>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</si>
  <si>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</si>
  <si>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</si>
  <si>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</si>
  <si>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EN REMERAS, BUZOS, CHOMBAS Y CHALECOS EL PRECIO DE LISTA INCLUYE IMPRESION A 1 COLOR DE UN SOLO LADO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</si>
  <si>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</si>
  <si>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</si>
  <si>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</si>
  <si>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</si>
  <si>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</si>
  <si>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</si>
  <si>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</si>
  <si>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</si>
  <si>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</si>
  <si>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</si>
  <si>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</si>
  <si>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</si>
  <si>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</si>
  <si>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</si>
  <si>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</si>
  <si>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</si>
  <si>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</si>
  <si>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</si>
  <si>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</si>
  <si>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</si>
  <si>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</si>
  <si>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IMPRESOS CON LOGO O FOTO FULL COLOR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</si>
  <si>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</si>
  <si>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</si>
  <si>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</si>
  <si>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</si>
  <si>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</si>
  <si>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</si>
  <si>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</si>
  <si>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</si>
  <si>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</si>
  <si>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</si>
  <si>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</si>
  <si>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</si>
  <si>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</si>
  <si>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</si>
  <si>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</si>
  <si>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</si>
  <si>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</si>
  <si>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</si>
  <si>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r>
      <t>CON LOGO IMPRESO O GRABADO</t>
    </r>
    <r>
      <rPr>
        <b/>
        <sz val="8"/>
        <color indexed="8"/>
        <rFont val="Arial"/>
        <family val="2"/>
      </rPr>
      <t xml:space="preserve"> (según producto)</t>
    </r>
  </si>
  <si>
    <t>11/01 - Cuchillo acero inox. 420 con vaina de cuero</t>
  </si>
  <si>
    <t>11/01</t>
  </si>
  <si>
    <t>12/01 - Cuchillo, Tenedor y Chaira con vaina de cuero</t>
  </si>
  <si>
    <t>12/01</t>
  </si>
  <si>
    <t>14/01 - Cuchillo Acero Español - Mango Guayabira Est. Cuero</t>
  </si>
  <si>
    <t>14/01</t>
  </si>
  <si>
    <t xml:space="preserve">20/01 - Cuchillo y Tenedor Mini con funda cuero </t>
  </si>
  <si>
    <t>20/01</t>
  </si>
  <si>
    <t>25/02 - Cuchillo Inoxidable con vaina de cuero</t>
  </si>
  <si>
    <t>25/02</t>
  </si>
  <si>
    <t xml:space="preserve">27/02 - Set parrilero tenedor, cuchillo y chaira 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</si>
  <si>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</si>
  <si>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</si>
  <si>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</si>
  <si>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</si>
  <si>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</si>
  <si>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</si>
  <si>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</si>
  <si>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</si>
  <si>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</si>
  <si>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129/01</t>
  </si>
  <si>
    <t>130/01 - Billetera cuero y nobuk con portadocumento</t>
  </si>
  <si>
    <t>130/01</t>
  </si>
  <si>
    <t xml:space="preserve">131/01 - Billetera de cuero con aplique                                    </t>
  </si>
  <si>
    <t>131/01</t>
  </si>
  <si>
    <t>139/01 - Portadocumento auto c/cierre y divisiones símil cuero</t>
  </si>
  <si>
    <t>139/01</t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</si>
  <si>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</si>
  <si>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</si>
  <si>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</si>
  <si>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</si>
  <si>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</si>
  <si>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</si>
  <si>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</si>
  <si>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</si>
  <si>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</si>
  <si>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</si>
  <si>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</si>
  <si>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</si>
  <si>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</si>
  <si>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</si>
  <si>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</si>
  <si>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</si>
  <si>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</si>
  <si>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</si>
  <si>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</si>
  <si>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</si>
  <si>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>02245 - Lápiz negro madera natural sin goma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</si>
  <si>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</si>
  <si>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</si>
  <si>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</si>
  <si>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</si>
  <si>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</si>
  <si>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</si>
  <si>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</si>
  <si>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</si>
  <si>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>00344 - Pad Mouse Goma Eva blanco 21x24 con calendario</t>
  </si>
  <si>
    <r>
      <t>00403-3 - Pen Drive</t>
    </r>
    <r>
      <rPr>
        <b/>
        <sz val="8"/>
        <color indexed="10"/>
        <rFont val="Arial"/>
        <family val="2"/>
      </rPr>
      <t xml:space="preserve"> 16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</si>
  <si>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</si>
  <si>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</si>
  <si>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</si>
  <si>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</si>
  <si>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</si>
  <si>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</si>
  <si>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</si>
  <si>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</si>
  <si>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</si>
  <si>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</si>
  <si>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</si>
  <si>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</si>
  <si>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</si>
  <si>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</si>
  <si>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</si>
  <si>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</si>
  <si>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IR A TABLAS DE MADERA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</si>
  <si>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</si>
  <si>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</si>
  <si>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</si>
  <si>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</si>
  <si>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</si>
  <si>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01929 - Canasta matera símil cuero </t>
  </si>
  <si>
    <t>01921 - Matera uruguaya abierta símil cuero</t>
  </si>
  <si>
    <t>01923 - Matera símil cuero con guarda pampa</t>
  </si>
  <si>
    <t>01924 - Matera gamuzada con símil cuero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</si>
  <si>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</si>
  <si>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</si>
  <si>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</si>
  <si>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</si>
  <si>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 xml:space="preserve">02131 - Bolígrafo con base triangular adhesiva 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</si>
  <si>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</si>
  <si>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</si>
  <si>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</si>
  <si>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</si>
  <si>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</si>
  <si>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</si>
  <si>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</si>
  <si>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</si>
  <si>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</si>
  <si>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</si>
  <si>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</si>
  <si>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</si>
  <si>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</si>
  <si>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</si>
  <si>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129/01 - Portadocumentos de auto c/divisiones  15 x 24cm</t>
  </si>
  <si>
    <t>00370 - Webcam cover - Protector de cámara web</t>
  </si>
  <si>
    <t>00969-1 - Tabla pizzera algarrobo 32 cm diám.</t>
  </si>
  <si>
    <t>00972 - Plato de algarrobo cuadrado 22 x 22 cm</t>
  </si>
  <si>
    <t>MÍNIMO 500 UNIDADES. PLAZO DE ENTREGA ENTRE 15 Y 25 DÍAS. INCLUYE IMPRESIÓN HASTA 2 COLORES DE AMBOS LADOS MISMO DISEÑO. CONFIRMAR PRECIO</t>
  </si>
  <si>
    <t>00302-2 - Cinta colgante blanca 20mm mosq. gatillo zamak</t>
  </si>
  <si>
    <t>00301-2 -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</si>
  <si>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</si>
  <si>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</si>
  <si>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</si>
  <si>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</si>
  <si>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</si>
  <si>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</si>
  <si>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P5533 - Gorro Liso 5 gajos con abrojo </t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</si>
  <si>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</si>
  <si>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</si>
  <si>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</si>
  <si>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</si>
  <si>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</si>
  <si>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</si>
  <si>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</si>
  <si>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</si>
  <si>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</si>
  <si>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</si>
  <si>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</si>
  <si>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</si>
  <si>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</si>
  <si>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</si>
  <si>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</si>
  <si>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</si>
  <si>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</si>
  <si>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</si>
  <si>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</si>
  <si>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r>
      <t xml:space="preserve">02234 - Bolígrafo blanco óvalo de color </t>
    </r>
    <r>
      <rPr>
        <sz val="8"/>
        <color rgb="FFFF0000"/>
        <rFont val="Arial"/>
        <family val="2"/>
      </rPr>
      <t xml:space="preserve">(imp. ambos lados) </t>
    </r>
  </si>
  <si>
    <r>
      <t xml:space="preserve">02234-1 - Boligrafo de color óvalo blanco </t>
    </r>
    <r>
      <rPr>
        <sz val="8"/>
        <color indexed="10"/>
        <rFont val="Arial"/>
        <family val="2"/>
      </rPr>
      <t>(imp. ambos lados)</t>
    </r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</si>
  <si>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</si>
  <si>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</si>
  <si>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</si>
  <si>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</si>
  <si>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</si>
  <si>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</si>
  <si>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</si>
  <si>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</si>
  <si>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</si>
  <si>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</si>
  <si>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</si>
  <si>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>00301 - Cinta colgante blanca 20mm con aro sin fin</t>
  </si>
  <si>
    <t xml:space="preserve">00302-1 - Cinta colgante blanca 20mm con mosquetón alambre </t>
  </si>
  <si>
    <t xml:space="preserve">00301-1 -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</si>
  <si>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</si>
  <si>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</si>
  <si>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</si>
  <si>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</si>
  <si>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</si>
  <si>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00028 - Mate de madera forrado en cuero</t>
  </si>
  <si>
    <t xml:space="preserve">01052 - Vaso térmico negro acero y plástico </t>
  </si>
  <si>
    <t>IR A PAGINA 4</t>
  </si>
  <si>
    <t>IR A PAGINA 2</t>
  </si>
  <si>
    <t>00011 - Regla 20 cm INYECTADA Blanca</t>
  </si>
  <si>
    <t>02132 - Bolígrafo base adhesiva con soporte circular</t>
  </si>
  <si>
    <t>00630 - Set de Manicura estuche símil cuero negro</t>
  </si>
  <si>
    <t>00022 - Mate madera forrado aluminio pintura bicapa</t>
  </si>
  <si>
    <t>00017 - Bombilla aluminio pintado con resorte fijo</t>
  </si>
  <si>
    <t>01054 - Botella de aluminio tapa con tira silicona 600ml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</si>
  <si>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</si>
  <si>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</si>
  <si>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</si>
  <si>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</si>
  <si>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</si>
  <si>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</si>
  <si>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</si>
  <si>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</si>
  <si>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</si>
  <si>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</si>
  <si>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</si>
  <si>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 xml:space="preserve">PERSONALIZADOS CON LOGO 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</si>
  <si>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</si>
  <si>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</si>
  <si>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</si>
  <si>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</si>
  <si>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</si>
  <si>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00920 - Cuaderno Eco cuero soft mate 21x14 cm</t>
  </si>
  <si>
    <t>00542 - Tablilla porta block A4 de corcho</t>
  </si>
  <si>
    <t>00311 - Llavero destapador de aluminio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</si>
  <si>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</si>
  <si>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</si>
  <si>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</si>
  <si>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</si>
  <si>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 xml:space="preserve">00563 - Botinero tela cordura (a pedido)  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</si>
  <si>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</si>
  <si>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</si>
  <si>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</si>
  <si>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</si>
  <si>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</si>
  <si>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</si>
  <si>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</si>
  <si>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</si>
  <si>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</si>
  <si>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</si>
  <si>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</si>
  <si>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</si>
  <si>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</si>
  <si>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</si>
  <si>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</si>
  <si>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</si>
  <si>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</si>
  <si>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</si>
  <si>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</si>
  <si>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</si>
  <si>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</si>
  <si>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</si>
  <si>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</si>
  <si>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</si>
  <si>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</si>
  <si>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</si>
  <si>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</si>
  <si>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</si>
  <si>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</si>
  <si>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</si>
  <si>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</si>
  <si>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</si>
  <si>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</si>
  <si>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</si>
  <si>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</si>
  <si>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P5551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</si>
  <si>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</si>
  <si>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</si>
  <si>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</si>
  <si>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</si>
  <si>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</si>
  <si>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</si>
  <si>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t>01042 - Botella de acero inoxidable tapa a rosca 750ml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</si>
  <si>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</si>
  <si>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</si>
  <si>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</si>
  <si>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</si>
  <si>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</si>
  <si>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01037 - Botella de vidrio tapa de acero con tira 500ml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</si>
  <si>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</si>
  <si>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</si>
  <si>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</si>
  <si>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</si>
  <si>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</si>
  <si>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</si>
  <si>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</si>
  <si>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>00338 - Multifunción de metal 15 elementos (sin funda)</t>
  </si>
  <si>
    <t xml:space="preserve">00621 - Revolvedor de pintura blanco </t>
  </si>
  <si>
    <t xml:space="preserve">02254-1 - Bolígrafo cuerpo de color retráctil </t>
  </si>
  <si>
    <t>01041 - Botella de acero inoxidable 800ml tapa con tira</t>
  </si>
  <si>
    <t>03001 - Dispenser de bolsas sanitarias para mascotas</t>
  </si>
  <si>
    <t>LL-102 - Llavero de metal con forma de hueso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</si>
  <si>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</si>
  <si>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</si>
  <si>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</si>
  <si>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</si>
  <si>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</si>
  <si>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</si>
  <si>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</si>
  <si>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</si>
  <si>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</si>
  <si>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</si>
  <si>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</si>
  <si>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>00116 - Vaso de trago largo (14cm o 16 cm)</t>
  </si>
  <si>
    <t xml:space="preserve">00249 - Anotador plástico 10,5 x 8 cm con mini bolígrafo </t>
  </si>
  <si>
    <t>IP-T47 - Vaso 650ml aluminio terminación mate</t>
  </si>
  <si>
    <t xml:space="preserve">IP-T46 -  Chop 650ml aluminio terminación mate  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</si>
  <si>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</si>
  <si>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</si>
  <si>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</si>
  <si>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</si>
  <si>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</si>
  <si>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</si>
  <si>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</si>
  <si>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</si>
  <si>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EN ART. CON IMPRESION EN 2 LADOS LOS RECARGOS EN SERIGRAFIA SE COBRAN DOBLES. (Ej. Art. 00060/00061/00062/00063 etc.)</t>
  </si>
  <si>
    <t>x2000</t>
  </si>
  <si>
    <t>x5000</t>
  </si>
  <si>
    <t>00921 - Cuaderno Eco cuero y corcho 21x14 cm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</si>
  <si>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</si>
  <si>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</si>
  <si>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</si>
  <si>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</si>
  <si>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</si>
  <si>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</si>
  <si>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</si>
  <si>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</si>
  <si>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</si>
  <si>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</si>
  <si>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</si>
  <si>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</si>
  <si>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</si>
  <si>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</si>
  <si>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</si>
  <si>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</si>
  <si>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>11610 - Repuesto de almanaque 2024</t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</si>
  <si>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</si>
  <si>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</si>
  <si>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</si>
  <si>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</si>
  <si>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11604 - Almanaque Paisajes 14 Hojas - Logo 1 color</t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</si>
  <si>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</si>
  <si>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</si>
  <si>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</si>
  <si>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</si>
  <si>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</si>
  <si>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t>05003 - Llavero Cinta Métrica 1 metro con dome dos lados</t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</si>
  <si>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</si>
  <si>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</si>
  <si>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</si>
  <si>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</si>
  <si>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</si>
  <si>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</si>
  <si>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</si>
  <si>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</si>
  <si>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</si>
  <si>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</si>
  <si>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</si>
  <si>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</si>
  <si>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</si>
  <si>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</si>
  <si>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</si>
  <si>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</si>
  <si>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</si>
  <si>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</si>
  <si>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</si>
  <si>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</si>
  <si>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</si>
  <si>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</si>
  <si>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</si>
  <si>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02257 - Lapiz Infinity metálico aleación grafito - Con goma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</si>
  <si>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2023. Muestras a disposición del cliente para verificar diseño.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</si>
  <si>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</si>
  <si>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</si>
  <si>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</si>
  <si>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</si>
  <si>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</si>
  <si>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</si>
  <si>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</si>
  <si>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</si>
  <si>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</si>
  <si>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</si>
  <si>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</si>
  <si>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</si>
  <si>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00397 - Parlante bluetooth bambú 3w 350mah</t>
  </si>
  <si>
    <t>00398 - Parlante bluetooth metálico 3w 300mah</t>
  </si>
  <si>
    <t>P5551 - Gorro Trucker estructurado Premium Camuflado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</si>
  <si>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</si>
  <si>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</si>
  <si>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</si>
  <si>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</si>
  <si>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</si>
  <si>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</si>
  <si>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</si>
  <si>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</si>
  <si>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</si>
  <si>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</si>
  <si>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</si>
  <si>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</si>
  <si>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</si>
  <si>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</si>
  <si>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</si>
  <si>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</si>
  <si>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</si>
  <si>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</si>
  <si>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</si>
  <si>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</si>
  <si>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</si>
  <si>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</si>
  <si>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</si>
  <si>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00966 - Cuaderno con notas adhesivas y bolígrafo touch</t>
  </si>
  <si>
    <t>01029 - Botella reutilizable PET blanca tapa PP 600ml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</si>
  <si>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</si>
  <si>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</si>
  <si>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</si>
  <si>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</si>
  <si>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</si>
  <si>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01036 - Botella deportiva plástico 750ml con sorbete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</si>
  <si>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</si>
  <si>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</si>
  <si>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</si>
  <si>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</si>
  <si>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</si>
  <si>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</si>
  <si>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</si>
  <si>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PRODUCTOS SUBLIMADOS LOGO FULL COLOR</t>
  </si>
  <si>
    <t>00661 - Cooler LN poliester 5 litros 20x15x15cm</t>
  </si>
  <si>
    <t>00664 - Cooler FZN poliester 15 litros 34x31x14cm</t>
  </si>
  <si>
    <t>01057 - Jarro térmico acero y plástico 350ml</t>
  </si>
  <si>
    <t xml:space="preserve">02504 - Cajita con 6 mini lápices de colores 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</si>
  <si>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</si>
  <si>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</si>
  <si>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</si>
  <si>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</si>
  <si>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</si>
  <si>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</si>
  <si>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</si>
  <si>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</si>
  <si>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</si>
  <si>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</si>
  <si>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</si>
  <si>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</si>
  <si>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</si>
  <si>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00837 - Cuaderno espiralado 18x13cm con bolígrafo</t>
  </si>
  <si>
    <t>00834 - Cuaderno A5 tapa dura PU 21x14cm hojas lisas</t>
  </si>
  <si>
    <t>00741 - Neceser simple MGN 17,5 x 10 x 9,5 cm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</si>
  <si>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</si>
  <si>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</si>
  <si>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</si>
  <si>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</si>
  <si>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</si>
  <si>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</si>
  <si>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</si>
  <si>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</si>
  <si>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</si>
  <si>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</si>
  <si>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</si>
  <si>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</si>
  <si>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</si>
  <si>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</si>
  <si>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</si>
  <si>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</si>
  <si>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</si>
  <si>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</si>
  <si>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</si>
  <si>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</si>
  <si>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</si>
  <si>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</si>
  <si>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</si>
  <si>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</si>
  <si>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</si>
  <si>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</si>
  <si>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</si>
  <si>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</si>
  <si>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</si>
  <si>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</si>
  <si>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</si>
  <si>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</si>
  <si>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</si>
  <si>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</si>
  <si>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</si>
  <si>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LL-111</t>
  </si>
  <si>
    <t>LL-111 - Llavero de metal y bambu rectangular con estuche</t>
  </si>
  <si>
    <t>LL-112 - Llavero de metal y bambu redondo con estuche</t>
  </si>
  <si>
    <t>LL-113</t>
  </si>
  <si>
    <t>LL-123</t>
  </si>
  <si>
    <t>LL-124</t>
  </si>
  <si>
    <t>LL-113 - Llavero de metal y eco negro cuero con estuche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</si>
  <si>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</si>
  <si>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</si>
  <si>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</si>
  <si>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</si>
  <si>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</si>
  <si>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</si>
  <si>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LL-108 - Llavero de metal y bambu giratorio con estuche</t>
  </si>
  <si>
    <t>LL-108</t>
  </si>
  <si>
    <t>LL-109</t>
  </si>
  <si>
    <t>LL-109 - Llavero de metal y bambu rectangular con estuche</t>
  </si>
  <si>
    <t>LL-107 - Llavero de bambu rectangular</t>
  </si>
  <si>
    <t>LL-107</t>
  </si>
  <si>
    <t>00270 - Reloj de viaje tapa rebatible</t>
  </si>
  <si>
    <t xml:space="preserve">00334 - Porta tarjetas de seguridad RFID 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</si>
  <si>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</si>
  <si>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</si>
  <si>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</si>
  <si>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</si>
  <si>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</si>
  <si>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</si>
  <si>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</si>
  <si>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</si>
  <si>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</si>
  <si>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</si>
  <si>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</si>
  <si>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</si>
  <si>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</si>
  <si>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</si>
  <si>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00667 - Organizador de electrónica</t>
  </si>
  <si>
    <t>02505 - Tubo con 8 lápices de colores</t>
  </si>
  <si>
    <t>00896 - Paraguas gigante reforzado combinado o blanco</t>
  </si>
  <si>
    <t>02351 - Bolígrafo metálico Stylus medio giro touch</t>
  </si>
  <si>
    <t>00045 - Encendedor blanco impreso de un lado</t>
  </si>
  <si>
    <t>05003-1 - Llavero Cinta Métrica 1 metro con impresión digital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</si>
  <si>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</si>
  <si>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</si>
  <si>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</si>
  <si>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</si>
  <si>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</si>
  <si>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</si>
  <si>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</si>
  <si>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</si>
  <si>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</si>
  <si>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</si>
  <si>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</si>
  <si>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</si>
  <si>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</si>
  <si>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</si>
  <si>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01027 - Botella de plástico 550ml tapa a rosca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</si>
  <si>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</si>
  <si>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</si>
  <si>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</si>
  <si>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</si>
  <si>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</si>
  <si>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</si>
  <si>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</si>
  <si>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</si>
  <si>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</si>
  <si>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</si>
  <si>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</si>
  <si>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</si>
  <si>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00014 - Regla 30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</si>
  <si>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</si>
  <si>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</si>
  <si>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</si>
  <si>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</si>
  <si>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</si>
  <si>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</si>
  <si>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02233 - Boligrafo PAPER MATE® INKJOY 300RT</t>
  </si>
  <si>
    <t>00744 - Neceser Turista microfibra 20 x 16 x 8,5 cm</t>
  </si>
  <si>
    <t>00085 - Portapatente cerrado blanco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</si>
  <si>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</si>
  <si>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</si>
  <si>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</si>
  <si>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</si>
  <si>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</si>
  <si>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02332 - Set Bolígrafo touch y Portaminas Bambú clip de metal</t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</si>
  <si>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</si>
  <si>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</si>
  <si>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</si>
  <si>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</si>
  <si>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</si>
  <si>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</si>
  <si>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</si>
  <si>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</si>
  <si>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</si>
  <si>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</si>
  <si>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</si>
  <si>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45/01</t>
  </si>
  <si>
    <t>45/01 - Juego cuchillo y tenedor parrillero en estuche</t>
  </si>
  <si>
    <t>27/02</t>
  </si>
  <si>
    <t>46/01 - Tabla premium bambú 40x30cm con cuchilla y afilador</t>
  </si>
  <si>
    <t>46/01</t>
  </si>
  <si>
    <t>00940 - Libreta ecológica 13,8 x 18cm con bolígrafo hoja lisa</t>
  </si>
  <si>
    <t>00991</t>
  </si>
  <si>
    <t>00994 - Set parrillero 4 piezas en estuche</t>
  </si>
  <si>
    <t>00991 - Set parrillero grande premium 3 piezas en estuche</t>
  </si>
  <si>
    <t>00994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</si>
  <si>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</si>
  <si>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</si>
  <si>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</si>
  <si>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</si>
  <si>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</si>
  <si>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</si>
  <si>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</si>
  <si>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</si>
  <si>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</si>
  <si>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</si>
  <si>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</si>
  <si>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</si>
  <si>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</si>
  <si>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</si>
  <si>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00605 - Mochila NOMAWALK® Picnic 18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</si>
  <si>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</si>
  <si>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</si>
  <si>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</si>
  <si>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</si>
  <si>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</si>
  <si>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</si>
  <si>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</si>
  <si>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</si>
  <si>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</si>
  <si>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</si>
  <si>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</si>
  <si>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</si>
  <si>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</si>
  <si>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</si>
  <si>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</si>
  <si>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01032 - Jarro térmico acero 500ml negro</t>
  </si>
  <si>
    <t>00266 - Reloj de bambú 30cm diám agujas de metal</t>
  </si>
  <si>
    <t>00266</t>
  </si>
  <si>
    <t>00873B</t>
  </si>
  <si>
    <t>00608 - Mochila NOMAWALK® Free Flow 12 litros</t>
  </si>
  <si>
    <t>00572-1 - Bolsa mochila botinero poliéster 210D 14 litros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</si>
  <si>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</si>
  <si>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</si>
  <si>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</si>
  <si>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</si>
  <si>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</si>
  <si>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LISTA DE PRECIOS Nº 6 / 2024 (En Pesos)  -  NO INCLUYE I.V.A.  -  JUNIO 2024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</si>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</sst>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.00;[Red]&quot;$&quot;\ \-#,##0.00"/>
    <numFmt numFmtId="165" formatCode="0.000"/>
    <numFmt numFmtId="166" formatCode="0.0"/>
    <numFmt numFmtId="167" formatCode="00000"/>
    <numFmt numFmtId="168" formatCode="_-[$€]* #.##0.00_-;\-[$€]* #.##0.00_-;_-[$€]* &quot;-&quot;??_-;_-@_-"/>
    <numFmt numFmtId="169" formatCode="&quot;$&quot;\ #,##0"/>
  </numFmts>
  <fonts count="129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11"/>
      <color indexed="8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u/>
      <sz val="9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sz val="11"/>
      <color indexed="8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9"/>
      <color indexed="81"/>
      <name val="Tahoma"/>
      <charset val="1"/>
    </font>
    <font>
      <u/>
      <sz val="10"/>
      <color theme="5"/>
      <name val="Arial"/>
      <family val="2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10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7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7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7" fontId="12" fillId="2" borderId="5" xfId="2" applyNumberFormat="1" applyFill="1" applyBorder="1" applyAlignment="1" applyProtection="1">
      <alignment horizontal="center"/>
    </xf>
    <xf numFmtId="167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1" fontId="5" fillId="3" borderId="0" xfId="0" applyNumberFormat="1" applyFont="1" applyFill="1"/>
    <xf numFmtId="2" fontId="4" fillId="0" borderId="3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167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8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60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61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70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2" fillId="2" borderId="0" xfId="0" applyFont="1" applyFill="1"/>
    <xf numFmtId="0" fontId="73" fillId="2" borderId="0" xfId="0" applyFont="1" applyFill="1"/>
    <xf numFmtId="2" fontId="72" fillId="2" borderId="0" xfId="0" applyNumberFormat="1" applyFont="1" applyFill="1"/>
    <xf numFmtId="0" fontId="0" fillId="5" borderId="0" xfId="0" applyFill="1" applyBorder="1"/>
    <xf numFmtId="0" fontId="31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3" fillId="7" borderId="14" xfId="0" applyFont="1" applyFill="1" applyBorder="1" applyAlignment="1">
      <alignment horizontal="center" vertical="center"/>
    </xf>
    <xf numFmtId="2" fontId="4" fillId="7" borderId="14" xfId="0" applyNumberFormat="1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4" fillId="2" borderId="0" xfId="0" applyFont="1" applyFill="1"/>
    <xf numFmtId="2" fontId="69" fillId="5" borderId="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3" xfId="0" applyNumberFormat="1" applyFont="1" applyFill="1" applyBorder="1" applyAlignment="1">
      <alignment horizontal="center" vertical="center"/>
    </xf>
    <xf numFmtId="2" fontId="69" fillId="5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10" xfId="0" applyNumberFormat="1" applyFont="1" applyFill="1" applyBorder="1" applyAlignment="1">
      <alignment horizontal="center" vertical="center"/>
    </xf>
    <xf numFmtId="2" fontId="64" fillId="8" borderId="7" xfId="0" applyNumberFormat="1" applyFont="1" applyFill="1" applyBorder="1" applyAlignment="1">
      <alignment horizontal="center" vertical="center"/>
    </xf>
    <xf numFmtId="2" fontId="64" fillId="5" borderId="10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5" fillId="5" borderId="0" xfId="2" applyFont="1" applyFill="1" applyAlignment="1" applyProtection="1"/>
    <xf numFmtId="0" fontId="72" fillId="5" borderId="0" xfId="0" applyFont="1" applyFill="1" applyAlignment="1"/>
    <xf numFmtId="0" fontId="70" fillId="2" borderId="0" xfId="0" applyFont="1" applyFill="1" applyBorder="1"/>
    <xf numFmtId="2" fontId="76" fillId="8" borderId="3" xfId="0" applyNumberFormat="1" applyFont="1" applyFill="1" applyBorder="1" applyAlignment="1">
      <alignment horizontal="center" vertical="center"/>
    </xf>
    <xf numFmtId="0" fontId="65" fillId="5" borderId="3" xfId="0" applyFont="1" applyFill="1" applyBorder="1"/>
    <xf numFmtId="2" fontId="64" fillId="8" borderId="5" xfId="0" applyNumberFormat="1" applyFont="1" applyFill="1" applyBorder="1" applyAlignment="1">
      <alignment horizontal="center" vertical="center"/>
    </xf>
    <xf numFmtId="2" fontId="64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6" fillId="5" borderId="0" xfId="0" applyFont="1" applyFill="1" applyAlignment="1">
      <alignment horizontal="center" vertical="center"/>
    </xf>
    <xf numFmtId="0" fontId="65" fillId="8" borderId="3" xfId="0" applyFont="1" applyFill="1" applyBorder="1"/>
    <xf numFmtId="2" fontId="63" fillId="5" borderId="3" xfId="0" applyNumberFormat="1" applyFont="1" applyFill="1" applyBorder="1" applyAlignment="1">
      <alignment horizontal="center" vertical="center"/>
    </xf>
    <xf numFmtId="167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4" fillId="5" borderId="0" xfId="0" applyNumberFormat="1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center" wrapText="1"/>
    </xf>
    <xf numFmtId="2" fontId="64" fillId="0" borderId="3" xfId="0" applyNumberFormat="1" applyFont="1" applyBorder="1" applyAlignment="1">
      <alignment horizontal="center" vertical="center"/>
    </xf>
    <xf numFmtId="2" fontId="64" fillId="5" borderId="7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64" fillId="9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4" fillId="5" borderId="3" xfId="3" applyNumberFormat="1" applyFont="1" applyFill="1" applyBorder="1" applyAlignment="1">
      <alignment horizontal="center" vertical="center"/>
    </xf>
    <xf numFmtId="2" fontId="64" fillId="8" borderId="3" xfId="3" applyNumberFormat="1" applyFont="1" applyFill="1" applyBorder="1" applyAlignment="1">
      <alignment horizontal="center" vertical="center"/>
    </xf>
    <xf numFmtId="2" fontId="64" fillId="5" borderId="13" xfId="0" applyNumberFormat="1" applyFont="1" applyFill="1" applyBorder="1" applyAlignment="1">
      <alignment horizontal="center" vertical="center"/>
    </xf>
    <xf numFmtId="2" fontId="64" fillId="5" borderId="0" xfId="0" applyNumberFormat="1" applyFont="1" applyFill="1" applyBorder="1" applyAlignment="1">
      <alignment horizontal="center" vertical="center"/>
    </xf>
    <xf numFmtId="2" fontId="64" fillId="5" borderId="17" xfId="0" applyNumberFormat="1" applyFont="1" applyFill="1" applyBorder="1" applyAlignment="1">
      <alignment horizontal="center" vertical="center"/>
    </xf>
    <xf numFmtId="2" fontId="64" fillId="8" borderId="17" xfId="0" applyNumberFormat="1" applyFont="1" applyFill="1" applyBorder="1" applyAlignment="1">
      <alignment horizontal="center" vertical="center"/>
    </xf>
    <xf numFmtId="2" fontId="67" fillId="8" borderId="3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70" fillId="5" borderId="0" xfId="0" applyFont="1" applyFill="1" applyAlignment="1">
      <alignment horizontal="right"/>
    </xf>
    <xf numFmtId="0" fontId="70" fillId="2" borderId="0" xfId="0" applyFont="1" applyFill="1" applyAlignment="1">
      <alignment horizontal="right"/>
    </xf>
    <xf numFmtId="2" fontId="4" fillId="5" borderId="13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6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71" fillId="10" borderId="0" xfId="0" applyFont="1" applyFill="1"/>
    <xf numFmtId="0" fontId="0" fillId="10" borderId="14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29" xfId="0" applyFill="1" applyBorder="1"/>
    <xf numFmtId="2" fontId="0" fillId="10" borderId="0" xfId="0" applyNumberFormat="1" applyFill="1" applyBorder="1"/>
    <xf numFmtId="0" fontId="26" fillId="10" borderId="0" xfId="0" applyFont="1" applyFill="1" applyBorder="1"/>
    <xf numFmtId="4" fontId="0" fillId="10" borderId="0" xfId="0" applyNumberFormat="1" applyFill="1" applyBorder="1"/>
    <xf numFmtId="4" fontId="0" fillId="10" borderId="29" xfId="0" applyNumberFormat="1" applyFill="1" applyBorder="1"/>
    <xf numFmtId="0" fontId="26" fillId="10" borderId="14" xfId="0" applyFont="1" applyFill="1" applyBorder="1"/>
    <xf numFmtId="4" fontId="0" fillId="10" borderId="14" xfId="0" applyNumberFormat="1" applyFill="1" applyBorder="1"/>
    <xf numFmtId="4" fontId="0" fillId="10" borderId="11" xfId="0" applyNumberFormat="1" applyFill="1" applyBorder="1"/>
    <xf numFmtId="0" fontId="26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79" fillId="10" borderId="0" xfId="0" applyFont="1" applyFill="1"/>
    <xf numFmtId="0" fontId="79" fillId="10" borderId="0" xfId="0" applyFont="1" applyFill="1" applyBorder="1"/>
    <xf numFmtId="0" fontId="70" fillId="10" borderId="0" xfId="0" applyFont="1" applyFill="1"/>
    <xf numFmtId="0" fontId="70" fillId="10" borderId="0" xfId="0" applyFont="1" applyFill="1" applyBorder="1"/>
    <xf numFmtId="0" fontId="70" fillId="10" borderId="29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2" fillId="10" borderId="0" xfId="0" applyFont="1" applyFill="1"/>
    <xf numFmtId="0" fontId="80" fillId="10" borderId="1" xfId="0" applyFont="1" applyFill="1" applyBorder="1" applyAlignment="1">
      <alignment horizontal="center" vertical="center"/>
    </xf>
    <xf numFmtId="0" fontId="70" fillId="10" borderId="0" xfId="0" applyFont="1" applyFill="1" applyBorder="1" applyAlignment="1">
      <alignment horizontal="center" vertical="center"/>
    </xf>
    <xf numFmtId="0" fontId="70" fillId="10" borderId="29" xfId="0" applyFont="1" applyFill="1" applyBorder="1" applyAlignment="1">
      <alignment horizontal="center" vertical="center"/>
    </xf>
    <xf numFmtId="2" fontId="70" fillId="10" borderId="0" xfId="0" applyNumberFormat="1" applyFont="1" applyFill="1"/>
    <xf numFmtId="0" fontId="80" fillId="10" borderId="0" xfId="0" applyFont="1" applyFill="1"/>
    <xf numFmtId="167" fontId="12" fillId="2" borderId="26" xfId="2" applyNumberFormat="1" applyFill="1" applyBorder="1" applyAlignment="1" applyProtection="1">
      <alignment horizontal="center"/>
    </xf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6" fillId="10" borderId="1" xfId="0" applyFont="1" applyFill="1" applyBorder="1"/>
    <xf numFmtId="2" fontId="59" fillId="11" borderId="30" xfId="0" applyNumberFormat="1" applyFont="1" applyFill="1" applyBorder="1" applyAlignment="1">
      <alignment horizontal="center" vertical="center" wrapText="1"/>
    </xf>
    <xf numFmtId="0" fontId="0" fillId="10" borderId="0" xfId="0" applyFill="1" applyAlignment="1"/>
    <xf numFmtId="0" fontId="0" fillId="10" borderId="29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3" fillId="10" borderId="0" xfId="0" applyFont="1" applyFill="1"/>
    <xf numFmtId="0" fontId="43" fillId="10" borderId="0" xfId="0" applyFont="1" applyFill="1" applyBorder="1"/>
    <xf numFmtId="0" fontId="11" fillId="10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3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right"/>
    </xf>
    <xf numFmtId="2" fontId="71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167" fontId="85" fillId="2" borderId="3" xfId="2" applyNumberFormat="1" applyFont="1" applyFill="1" applyBorder="1" applyAlignment="1" applyProtection="1">
      <alignment horizontal="center"/>
    </xf>
    <xf numFmtId="0" fontId="10" fillId="5" borderId="13" xfId="0" applyFont="1" applyFill="1" applyBorder="1" applyAlignment="1">
      <alignment horizontal="left" vertical="center"/>
    </xf>
    <xf numFmtId="0" fontId="43" fillId="7" borderId="24" xfId="0" applyFont="1" applyFill="1" applyBorder="1" applyAlignment="1">
      <alignment horizontal="center" vertical="center"/>
    </xf>
    <xf numFmtId="2" fontId="64" fillId="7" borderId="4" xfId="0" applyNumberFormat="1" applyFont="1" applyFill="1" applyBorder="1" applyAlignment="1">
      <alignment horizontal="center" vertical="center"/>
    </xf>
    <xf numFmtId="0" fontId="43" fillId="7" borderId="13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2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6" fillId="5" borderId="0" xfId="0" applyFont="1" applyFill="1" applyBorder="1"/>
    <xf numFmtId="4" fontId="0" fillId="5" borderId="0" xfId="0" applyNumberFormat="1" applyFill="1" applyBorder="1"/>
    <xf numFmtId="167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8" fillId="5" borderId="0" xfId="0" applyFont="1" applyFill="1" applyBorder="1" applyAlignment="1">
      <alignment horizontal="center" vertical="center" wrapText="1"/>
    </xf>
    <xf numFmtId="0" fontId="82" fillId="5" borderId="0" xfId="0" applyFont="1" applyFill="1" applyBorder="1" applyAlignment="1">
      <alignment horizontal="center" vertical="center"/>
    </xf>
    <xf numFmtId="0" fontId="87" fillId="5" borderId="0" xfId="0" applyFont="1" applyFill="1" applyBorder="1" applyAlignment="1">
      <alignment horizontal="center" vertical="center" wrapText="1"/>
    </xf>
    <xf numFmtId="2" fontId="67" fillId="5" borderId="7" xfId="0" applyNumberFormat="1" applyFont="1" applyFill="1" applyBorder="1" applyAlignment="1">
      <alignment horizontal="center" vertical="center"/>
    </xf>
    <xf numFmtId="0" fontId="87" fillId="5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0" fontId="62" fillId="2" borderId="0" xfId="2" applyFont="1" applyFill="1" applyAlignment="1" applyProtection="1"/>
    <xf numFmtId="2" fontId="64" fillId="5" borderId="4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43" fillId="5" borderId="2" xfId="0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101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87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0" fillId="10" borderId="0" xfId="0" applyFont="1" applyFill="1" applyBorder="1" applyAlignment="1"/>
    <xf numFmtId="0" fontId="71" fillId="10" borderId="0" xfId="0" applyFont="1" applyFill="1" applyBorder="1" applyAlignment="1"/>
    <xf numFmtId="0" fontId="70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2" fontId="64" fillId="8" borderId="60" xfId="0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1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2" fontId="64" fillId="9" borderId="5" xfId="3" applyNumberFormat="1" applyFont="1" applyFill="1" applyBorder="1" applyAlignment="1">
      <alignment horizontal="center" vertical="center"/>
    </xf>
    <xf numFmtId="0" fontId="70" fillId="5" borderId="0" xfId="0" applyFont="1" applyFill="1"/>
    <xf numFmtId="0" fontId="2" fillId="10" borderId="0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36" fillId="8" borderId="22" xfId="0" applyFont="1" applyFill="1" applyBorder="1" applyAlignment="1"/>
    <xf numFmtId="0" fontId="36" fillId="8" borderId="38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2" fillId="10" borderId="0" xfId="0" applyFont="1" applyFill="1" applyAlignment="1"/>
    <xf numFmtId="0" fontId="84" fillId="14" borderId="27" xfId="0" applyFont="1" applyFill="1" applyBorder="1"/>
    <xf numFmtId="0" fontId="82" fillId="14" borderId="31" xfId="0" applyFont="1" applyFill="1" applyBorder="1" applyAlignment="1">
      <alignment horizontal="center" vertical="center"/>
    </xf>
    <xf numFmtId="0" fontId="82" fillId="14" borderId="32" xfId="0" applyFont="1" applyFill="1" applyBorder="1" applyAlignment="1">
      <alignment horizontal="center" vertical="center"/>
    </xf>
    <xf numFmtId="0" fontId="71" fillId="14" borderId="31" xfId="0" applyFont="1" applyFill="1" applyBorder="1" applyAlignment="1">
      <alignment horizontal="center" vertical="center"/>
    </xf>
    <xf numFmtId="2" fontId="49" fillId="14" borderId="31" xfId="0" applyNumberFormat="1" applyFont="1" applyFill="1" applyBorder="1" applyAlignment="1">
      <alignment horizontal="center" vertical="center"/>
    </xf>
    <xf numFmtId="2" fontId="46" fillId="14" borderId="31" xfId="0" applyNumberFormat="1" applyFont="1" applyFill="1" applyBorder="1" applyAlignment="1">
      <alignment horizontal="center" vertical="center"/>
    </xf>
    <xf numFmtId="2" fontId="82" fillId="14" borderId="31" xfId="0" applyNumberFormat="1" applyFont="1" applyFill="1" applyBorder="1" applyAlignment="1">
      <alignment horizontal="center" vertical="center"/>
    </xf>
    <xf numFmtId="2" fontId="82" fillId="14" borderId="7" xfId="0" applyNumberFormat="1" applyFont="1" applyFill="1" applyBorder="1" applyAlignment="1">
      <alignment horizontal="center" vertical="center"/>
    </xf>
    <xf numFmtId="2" fontId="82" fillId="14" borderId="32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4" fillId="5" borderId="10" xfId="0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4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4" fillId="5" borderId="3" xfId="0" applyNumberFormat="1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left" vertical="center"/>
    </xf>
    <xf numFmtId="0" fontId="43" fillId="7" borderId="22" xfId="0" applyFont="1" applyFill="1" applyBorder="1" applyAlignment="1">
      <alignment horizontal="center" vertical="center"/>
    </xf>
    <xf numFmtId="0" fontId="43" fillId="7" borderId="38" xfId="0" applyFont="1" applyFill="1" applyBorder="1" applyAlignment="1">
      <alignment horizontal="center" vertical="center"/>
    </xf>
    <xf numFmtId="0" fontId="10" fillId="7" borderId="38" xfId="0" applyFont="1" applyFill="1" applyBorder="1" applyAlignment="1">
      <alignment horizontal="left" vertical="center"/>
    </xf>
    <xf numFmtId="2" fontId="4" fillId="7" borderId="38" xfId="0" applyNumberFormat="1" applyFont="1" applyFill="1" applyBorder="1" applyAlignment="1">
      <alignment horizontal="center" vertical="center"/>
    </xf>
    <xf numFmtId="2" fontId="64" fillId="7" borderId="26" xfId="0" applyNumberFormat="1" applyFont="1" applyFill="1" applyBorder="1" applyAlignment="1">
      <alignment horizontal="center" vertical="center"/>
    </xf>
    <xf numFmtId="0" fontId="43" fillId="8" borderId="38" xfId="0" applyFont="1" applyFill="1" applyBorder="1" applyAlignment="1">
      <alignment horizontal="center" vertical="center"/>
    </xf>
    <xf numFmtId="2" fontId="4" fillId="8" borderId="7" xfId="0" applyNumberFormat="1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left" vertical="center"/>
    </xf>
    <xf numFmtId="2" fontId="64" fillId="7" borderId="11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3" fillId="8" borderId="3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left" vertical="center"/>
    </xf>
    <xf numFmtId="0" fontId="43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39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4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9" borderId="3" xfId="0" applyFont="1" applyFill="1" applyBorder="1"/>
    <xf numFmtId="0" fontId="1" fillId="9" borderId="3" xfId="0" applyFont="1" applyFill="1" applyBorder="1" applyAlignment="1">
      <alignment horizontal="center" vertical="center"/>
    </xf>
    <xf numFmtId="0" fontId="1" fillId="8" borderId="0" xfId="0" applyFont="1" applyFill="1"/>
    <xf numFmtId="1" fontId="64" fillId="5" borderId="3" xfId="0" applyNumberFormat="1" applyFont="1" applyFill="1" applyBorder="1" applyAlignment="1">
      <alignment horizontal="center" vertical="center"/>
    </xf>
    <xf numFmtId="1" fontId="64" fillId="8" borderId="3" xfId="0" applyNumberFormat="1" applyFont="1" applyFill="1" applyBorder="1" applyAlignment="1">
      <alignment horizontal="center" vertical="center"/>
    </xf>
    <xf numFmtId="1" fontId="64" fillId="5" borderId="7" xfId="0" applyNumberFormat="1" applyFont="1" applyFill="1" applyBorder="1" applyAlignment="1">
      <alignment horizontal="center" vertical="center"/>
    </xf>
    <xf numFmtId="1" fontId="64" fillId="8" borderId="7" xfId="0" applyNumberFormat="1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3" xfId="0" applyFont="1" applyFill="1" applyBorder="1"/>
    <xf numFmtId="0" fontId="1" fillId="8" borderId="3" xfId="0" applyFont="1" applyFill="1" applyBorder="1" applyAlignment="1">
      <alignment vertical="center"/>
    </xf>
    <xf numFmtId="2" fontId="64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69" fillId="8" borderId="3" xfId="0" applyNumberFormat="1" applyFont="1" applyFill="1" applyBorder="1" applyAlignment="1">
      <alignment horizontal="center" vertical="center"/>
    </xf>
    <xf numFmtId="2" fontId="83" fillId="17" borderId="19" xfId="0" applyNumberFormat="1" applyFont="1" applyFill="1" applyBorder="1" applyAlignment="1">
      <alignment horizontal="center" vertical="center"/>
    </xf>
    <xf numFmtId="2" fontId="82" fillId="17" borderId="19" xfId="0" applyNumberFormat="1" applyFont="1" applyFill="1" applyBorder="1" applyAlignment="1">
      <alignment horizontal="center" vertical="center"/>
    </xf>
    <xf numFmtId="2" fontId="82" fillId="17" borderId="20" xfId="0" applyNumberFormat="1" applyFont="1" applyFill="1" applyBorder="1" applyAlignment="1">
      <alignment horizontal="center" vertical="center"/>
    </xf>
    <xf numFmtId="0" fontId="67" fillId="8" borderId="3" xfId="0" applyFont="1" applyFill="1" applyBorder="1"/>
    <xf numFmtId="0" fontId="67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4" fillId="8" borderId="26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4" fillId="8" borderId="10" xfId="0" applyNumberFormat="1" applyFont="1" applyFill="1" applyBorder="1" applyAlignment="1">
      <alignment horizontal="center" vertical="center"/>
    </xf>
    <xf numFmtId="1" fontId="64" fillId="5" borderId="5" xfId="0" applyNumberFormat="1" applyFont="1" applyFill="1" applyBorder="1" applyAlignment="1">
      <alignment horizontal="center" vertical="center"/>
    </xf>
    <xf numFmtId="1" fontId="64" fillId="5" borderId="1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4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4" fillId="8" borderId="16" xfId="0" applyNumberFormat="1" applyFont="1" applyFill="1" applyBorder="1" applyAlignment="1">
      <alignment horizontal="center" vertical="center"/>
    </xf>
    <xf numFmtId="1" fontId="64" fillId="5" borderId="16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4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2" fontId="64" fillId="5" borderId="14" xfId="0" applyNumberFormat="1" applyFont="1" applyFill="1" applyBorder="1" applyAlignment="1">
      <alignment horizontal="center" vertical="center"/>
    </xf>
    <xf numFmtId="2" fontId="64" fillId="8" borderId="2" xfId="0" applyNumberFormat="1" applyFont="1" applyFill="1" applyBorder="1" applyAlignment="1">
      <alignment horizontal="center" vertical="center"/>
    </xf>
    <xf numFmtId="0" fontId="1" fillId="5" borderId="0" xfId="0" applyFont="1" applyFill="1"/>
    <xf numFmtId="1" fontId="64" fillId="8" borderId="5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4" fillId="8" borderId="4" xfId="0" applyNumberFormat="1" applyFont="1" applyFill="1" applyBorder="1" applyAlignment="1">
      <alignment horizontal="center" vertical="center"/>
    </xf>
    <xf numFmtId="1" fontId="64" fillId="5" borderId="4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6" fillId="8" borderId="3" xfId="0" applyNumberFormat="1" applyFont="1" applyFill="1" applyBorder="1" applyAlignment="1">
      <alignment horizontal="center" vertical="center"/>
    </xf>
    <xf numFmtId="1" fontId="76" fillId="5" borderId="3" xfId="0" applyNumberFormat="1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0" fillId="5" borderId="0" xfId="0" applyFill="1" applyBorder="1" applyAlignment="1"/>
    <xf numFmtId="1" fontId="64" fillId="5" borderId="0" xfId="0" applyNumberFormat="1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1" fontId="64" fillId="9" borderId="3" xfId="0" applyNumberFormat="1" applyFont="1" applyFill="1" applyBorder="1" applyAlignment="1">
      <alignment horizontal="center" vertical="center"/>
    </xf>
    <xf numFmtId="1" fontId="64" fillId="9" borderId="5" xfId="0" applyNumberFormat="1" applyFont="1" applyFill="1" applyBorder="1" applyAlignment="1">
      <alignment horizontal="center" vertical="center"/>
    </xf>
    <xf numFmtId="1" fontId="64" fillId="5" borderId="24" xfId="0" applyNumberFormat="1" applyFont="1" applyFill="1" applyBorder="1" applyAlignment="1">
      <alignment horizontal="center" vertical="center"/>
    </xf>
    <xf numFmtId="1" fontId="64" fillId="8" borderId="13" xfId="0" applyNumberFormat="1" applyFont="1" applyFill="1" applyBorder="1" applyAlignment="1">
      <alignment horizontal="center" vertical="center"/>
    </xf>
    <xf numFmtId="1" fontId="64" fillId="8" borderId="24" xfId="0" applyNumberFormat="1" applyFont="1" applyFill="1" applyBorder="1" applyAlignment="1">
      <alignment horizontal="center" vertical="center"/>
    </xf>
    <xf numFmtId="1" fontId="77" fillId="8" borderId="3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77" fillId="5" borderId="3" xfId="0" applyNumberFormat="1" applyFont="1" applyFill="1" applyBorder="1" applyAlignment="1">
      <alignment horizontal="center" vertical="center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9" borderId="3" xfId="0" applyNumberFormat="1" applyFont="1" applyFill="1" applyBorder="1" applyAlignment="1">
      <alignment horizontal="center" vertical="center"/>
    </xf>
    <xf numFmtId="1" fontId="64" fillId="8" borderId="12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4" fillId="5" borderId="23" xfId="0" applyNumberFormat="1" applyFont="1" applyFill="1" applyBorder="1" applyAlignment="1">
      <alignment horizontal="center" vertical="center"/>
    </xf>
    <xf numFmtId="1" fontId="64" fillId="5" borderId="17" xfId="0" applyNumberFormat="1" applyFont="1" applyFill="1" applyBorder="1" applyAlignment="1">
      <alignment horizontal="center" vertical="center"/>
    </xf>
    <xf numFmtId="1" fontId="64" fillId="8" borderId="59" xfId="0" applyNumberFormat="1" applyFont="1" applyFill="1" applyBorder="1" applyAlignment="1">
      <alignment horizontal="center" vertical="center"/>
    </xf>
    <xf numFmtId="1" fontId="64" fillId="8" borderId="23" xfId="0" applyNumberFormat="1" applyFont="1" applyFill="1" applyBorder="1" applyAlignment="1">
      <alignment horizontal="center" vertical="center"/>
    </xf>
    <xf numFmtId="1" fontId="64" fillId="8" borderId="60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64" fillId="5" borderId="66" xfId="0" applyNumberFormat="1" applyFont="1" applyFill="1" applyBorder="1" applyAlignment="1">
      <alignment horizontal="center" vertical="center"/>
    </xf>
    <xf numFmtId="1" fontId="43" fillId="5" borderId="3" xfId="0" applyNumberFormat="1" applyFont="1" applyFill="1" applyBorder="1" applyAlignment="1">
      <alignment horizontal="center" vertical="center" wrapText="1"/>
    </xf>
    <xf numFmtId="1" fontId="43" fillId="8" borderId="7" xfId="0" applyNumberFormat="1" applyFont="1" applyFill="1" applyBorder="1" applyAlignment="1">
      <alignment horizontal="center" vertical="center" wrapText="1"/>
    </xf>
    <xf numFmtId="1" fontId="4" fillId="8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64" fillId="0" borderId="3" xfId="0" applyNumberFormat="1" applyFont="1" applyBorder="1" applyAlignment="1">
      <alignment horizontal="center" vertical="center"/>
    </xf>
    <xf numFmtId="1" fontId="64" fillId="9" borderId="16" xfId="0" applyNumberFormat="1" applyFont="1" applyFill="1" applyBorder="1" applyAlignment="1">
      <alignment horizontal="center" vertical="center"/>
    </xf>
    <xf numFmtId="1" fontId="64" fillId="9" borderId="23" xfId="0" applyNumberFormat="1" applyFont="1" applyFill="1" applyBorder="1" applyAlignment="1">
      <alignment horizontal="center" vertical="center"/>
    </xf>
    <xf numFmtId="1" fontId="64" fillId="8" borderId="67" xfId="0" applyNumberFormat="1" applyFont="1" applyFill="1" applyBorder="1" applyAlignment="1">
      <alignment horizontal="center" vertical="center"/>
    </xf>
    <xf numFmtId="1" fontId="67" fillId="5" borderId="3" xfId="0" applyNumberFormat="1" applyFont="1" applyFill="1" applyBorder="1" applyAlignment="1">
      <alignment horizontal="center" vertical="center" wrapText="1"/>
    </xf>
    <xf numFmtId="1" fontId="67" fillId="8" borderId="3" xfId="0" applyNumberFormat="1" applyFont="1" applyFill="1" applyBorder="1" applyAlignment="1">
      <alignment horizontal="center" vertical="center" wrapText="1"/>
    </xf>
    <xf numFmtId="1" fontId="64" fillId="8" borderId="28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4" fillId="8" borderId="11" xfId="0" applyNumberFormat="1" applyFont="1" applyFill="1" applyBorder="1" applyAlignment="1">
      <alignment horizontal="center" vertical="center"/>
    </xf>
    <xf numFmtId="169" fontId="77" fillId="5" borderId="10" xfId="0" applyNumberFormat="1" applyFont="1" applyFill="1" applyBorder="1" applyAlignment="1">
      <alignment horizontal="center" vertical="center"/>
    </xf>
    <xf numFmtId="169" fontId="4" fillId="6" borderId="3" xfId="0" applyNumberFormat="1" applyFont="1" applyFill="1" applyBorder="1" applyAlignment="1">
      <alignment horizontal="center" vertical="center"/>
    </xf>
    <xf numFmtId="169" fontId="64" fillId="8" borderId="3" xfId="0" applyNumberFormat="1" applyFont="1" applyFill="1" applyBorder="1" applyAlignment="1">
      <alignment horizontal="center" vertical="center"/>
    </xf>
    <xf numFmtId="169" fontId="64" fillId="8" borderId="7" xfId="0" applyNumberFormat="1" applyFont="1" applyFill="1" applyBorder="1" applyAlignment="1">
      <alignment horizontal="center" vertical="center"/>
    </xf>
    <xf numFmtId="169" fontId="64" fillId="8" borderId="21" xfId="0" applyNumberFormat="1" applyFont="1" applyFill="1" applyBorder="1" applyAlignment="1">
      <alignment horizontal="center" vertical="center"/>
    </xf>
    <xf numFmtId="169" fontId="64" fillId="5" borderId="3" xfId="0" applyNumberFormat="1" applyFont="1" applyFill="1" applyBorder="1" applyAlignment="1">
      <alignment horizontal="center" vertical="center"/>
    </xf>
    <xf numFmtId="169" fontId="64" fillId="8" borderId="10" xfId="0" applyNumberFormat="1" applyFont="1" applyFill="1" applyBorder="1" applyAlignment="1">
      <alignment horizontal="center" vertical="center"/>
    </xf>
    <xf numFmtId="0" fontId="3" fillId="13" borderId="38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4" xfId="0" applyNumberFormat="1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2" fontId="4" fillId="5" borderId="22" xfId="0" applyNumberFormat="1" applyFont="1" applyFill="1" applyBorder="1" applyAlignment="1">
      <alignment horizontal="center" vertical="center"/>
    </xf>
    <xf numFmtId="2" fontId="4" fillId="8" borderId="24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1" fontId="76" fillId="5" borderId="17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9" borderId="10" xfId="0" applyNumberFormat="1" applyFont="1" applyFill="1" applyBorder="1" applyAlignment="1">
      <alignment horizontal="center" vertical="center"/>
    </xf>
    <xf numFmtId="1" fontId="64" fillId="8" borderId="62" xfId="0" applyNumberFormat="1" applyFont="1" applyFill="1" applyBorder="1" applyAlignment="1">
      <alignment horizontal="center" vertical="center"/>
    </xf>
    <xf numFmtId="1" fontId="113" fillId="5" borderId="3" xfId="0" applyNumberFormat="1" applyFont="1" applyFill="1" applyBorder="1" applyAlignment="1">
      <alignment horizontal="center" vertical="center"/>
    </xf>
    <xf numFmtId="1" fontId="113" fillId="8" borderId="3" xfId="0" applyNumberFormat="1" applyFont="1" applyFill="1" applyBorder="1" applyAlignment="1">
      <alignment horizontal="center" vertical="center"/>
    </xf>
    <xf numFmtId="1" fontId="113" fillId="8" borderId="4" xfId="0" applyNumberFormat="1" applyFont="1" applyFill="1" applyBorder="1" applyAlignment="1">
      <alignment horizontal="center" vertical="center"/>
    </xf>
    <xf numFmtId="1" fontId="113" fillId="5" borderId="4" xfId="0" applyNumberFormat="1" applyFont="1" applyFill="1" applyBorder="1" applyAlignment="1">
      <alignment horizontal="center" vertical="center"/>
    </xf>
    <xf numFmtId="1" fontId="113" fillId="9" borderId="3" xfId="0" applyNumberFormat="1" applyFont="1" applyFill="1" applyBorder="1" applyAlignment="1">
      <alignment horizontal="center" vertical="center"/>
    </xf>
    <xf numFmtId="1" fontId="113" fillId="8" borderId="5" xfId="0" applyNumberFormat="1" applyFont="1" applyFill="1" applyBorder="1" applyAlignment="1">
      <alignment horizontal="center" vertical="center"/>
    </xf>
    <xf numFmtId="1" fontId="113" fillId="5" borderId="5" xfId="0" applyNumberFormat="1" applyFont="1" applyFill="1" applyBorder="1" applyAlignment="1">
      <alignment horizontal="center" vertical="center"/>
    </xf>
    <xf numFmtId="1" fontId="113" fillId="8" borderId="7" xfId="0" applyNumberFormat="1" applyFont="1" applyFill="1" applyBorder="1" applyAlignment="1">
      <alignment horizontal="center" vertical="center"/>
    </xf>
    <xf numFmtId="1" fontId="113" fillId="5" borderId="7" xfId="0" applyNumberFormat="1" applyFont="1" applyFill="1" applyBorder="1" applyAlignment="1">
      <alignment horizontal="center" vertical="center"/>
    </xf>
    <xf numFmtId="1" fontId="113" fillId="8" borderId="17" xfId="0" applyNumberFormat="1" applyFont="1" applyFill="1" applyBorder="1" applyAlignment="1">
      <alignment horizontal="center" vertical="center"/>
    </xf>
    <xf numFmtId="0" fontId="80" fillId="11" borderId="33" xfId="0" applyFont="1" applyFill="1" applyBorder="1" applyAlignment="1">
      <alignment horizontal="center" vertical="center" wrapText="1"/>
    </xf>
    <xf numFmtId="0" fontId="70" fillId="8" borderId="3" xfId="0" applyFont="1" applyFill="1" applyBorder="1"/>
    <xf numFmtId="0" fontId="78" fillId="8" borderId="13" xfId="0" applyFont="1" applyFill="1" applyBorder="1" applyAlignment="1">
      <alignment horizontal="center" vertical="center"/>
    </xf>
    <xf numFmtId="1" fontId="11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8" borderId="63" xfId="0" applyNumberFormat="1" applyFont="1" applyFill="1" applyBorder="1" applyAlignment="1">
      <alignment horizontal="center" vertical="center"/>
    </xf>
    <xf numFmtId="1" fontId="64" fillId="5" borderId="63" xfId="0" applyNumberFormat="1" applyFont="1" applyFill="1" applyBorder="1" applyAlignment="1">
      <alignment horizontal="center" vertical="center"/>
    </xf>
    <xf numFmtId="2" fontId="64" fillId="8" borderId="11" xfId="0" applyNumberFormat="1" applyFont="1" applyFill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0" fontId="67" fillId="8" borderId="3" xfId="0" applyFont="1" applyFill="1" applyBorder="1" applyAlignment="1">
      <alignment vertical="center"/>
    </xf>
    <xf numFmtId="2" fontId="64" fillId="0" borderId="5" xfId="0" applyNumberFormat="1" applyFont="1" applyBorder="1" applyAlignment="1">
      <alignment horizontal="center" vertical="center"/>
    </xf>
    <xf numFmtId="0" fontId="5" fillId="8" borderId="13" xfId="0" applyFont="1" applyFill="1" applyBorder="1"/>
    <xf numFmtId="1" fontId="64" fillId="19" borderId="3" xfId="0" applyNumberFormat="1" applyFont="1" applyFill="1" applyBorder="1" applyAlignment="1">
      <alignment horizontal="center" vertical="center"/>
    </xf>
    <xf numFmtId="2" fontId="76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76" fillId="8" borderId="5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69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9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4" fillId="20" borderId="7" xfId="0" applyNumberFormat="1" applyFont="1" applyFill="1" applyBorder="1" applyAlignment="1">
      <alignment horizontal="center" vertical="center"/>
    </xf>
    <xf numFmtId="169" fontId="64" fillId="5" borderId="7" xfId="0" applyNumberFormat="1" applyFont="1" applyFill="1" applyBorder="1" applyAlignment="1">
      <alignment horizontal="center" vertical="center"/>
    </xf>
    <xf numFmtId="169" fontId="64" fillId="5" borderId="25" xfId="0" applyNumberFormat="1" applyFont="1" applyFill="1" applyBorder="1" applyAlignment="1">
      <alignment horizontal="center" vertical="center"/>
    </xf>
    <xf numFmtId="2" fontId="64" fillId="20" borderId="3" xfId="0" applyNumberFormat="1" applyFont="1" applyFill="1" applyBorder="1" applyAlignment="1">
      <alignment horizontal="center" vertical="center"/>
    </xf>
    <xf numFmtId="169" fontId="64" fillId="5" borderId="21" xfId="0" applyNumberFormat="1" applyFont="1" applyFill="1" applyBorder="1" applyAlignment="1">
      <alignment horizontal="center" vertical="center"/>
    </xf>
    <xf numFmtId="2" fontId="69" fillId="5" borderId="31" xfId="0" applyNumberFormat="1" applyFont="1" applyFill="1" applyBorder="1" applyAlignment="1">
      <alignment horizontal="center" vertical="center"/>
    </xf>
    <xf numFmtId="169" fontId="64" fillId="5" borderId="10" xfId="0" applyNumberFormat="1" applyFont="1" applyFill="1" applyBorder="1" applyAlignment="1">
      <alignment horizontal="center" vertical="center"/>
    </xf>
    <xf numFmtId="169" fontId="64" fillId="5" borderId="58" xfId="0" applyNumberFormat="1" applyFont="1" applyFill="1" applyBorder="1" applyAlignment="1">
      <alignment horizontal="center" vertical="center"/>
    </xf>
    <xf numFmtId="2" fontId="4" fillId="5" borderId="31" xfId="0" applyNumberFormat="1" applyFont="1" applyFill="1" applyBorder="1" applyAlignment="1">
      <alignment horizontal="center" vertical="center"/>
    </xf>
    <xf numFmtId="169" fontId="64" fillId="5" borderId="68" xfId="0" applyNumberFormat="1" applyFont="1" applyFill="1" applyBorder="1" applyAlignment="1">
      <alignment horizontal="center" vertical="center"/>
    </xf>
    <xf numFmtId="2" fontId="64" fillId="5" borderId="31" xfId="0" applyNumberFormat="1" applyFont="1" applyFill="1" applyBorder="1" applyAlignment="1">
      <alignment horizontal="center" vertical="center"/>
    </xf>
    <xf numFmtId="169" fontId="64" fillId="5" borderId="31" xfId="0" applyNumberFormat="1" applyFont="1" applyFill="1" applyBorder="1" applyAlignment="1">
      <alignment horizontal="center" vertical="center"/>
    </xf>
    <xf numFmtId="169" fontId="64" fillId="5" borderId="32" xfId="0" applyNumberFormat="1" applyFont="1" applyFill="1" applyBorder="1" applyAlignment="1">
      <alignment horizontal="center" vertical="center"/>
    </xf>
    <xf numFmtId="1" fontId="114" fillId="5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wrapText="1"/>
    </xf>
    <xf numFmtId="1" fontId="76" fillId="8" borderId="4" xfId="0" applyNumberFormat="1" applyFont="1" applyFill="1" applyBorder="1" applyAlignment="1">
      <alignment horizontal="center" vertical="center"/>
    </xf>
    <xf numFmtId="1" fontId="76" fillId="5" borderId="5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29" xfId="0" applyNumberFormat="1" applyFont="1" applyFill="1" applyBorder="1" applyAlignment="1">
      <alignment horizontal="center" vertical="center"/>
    </xf>
    <xf numFmtId="1" fontId="64" fillId="8" borderId="17" xfId="0" applyNumberFormat="1" applyFont="1" applyFill="1" applyBorder="1" applyAlignment="1">
      <alignment horizontal="center" vertical="center"/>
    </xf>
    <xf numFmtId="167" fontId="85" fillId="2" borderId="3" xfId="2" applyNumberFormat="1" applyFont="1" applyFill="1" applyBorder="1" applyAlignment="1" applyProtection="1">
      <alignment horizontal="center" vertical="center"/>
    </xf>
    <xf numFmtId="167" fontId="85" fillId="2" borderId="5" xfId="2" applyNumberFormat="1" applyFont="1" applyFill="1" applyBorder="1" applyAlignment="1" applyProtection="1">
      <alignment horizontal="center"/>
    </xf>
    <xf numFmtId="167" fontId="116" fillId="2" borderId="5" xfId="2" applyNumberFormat="1" applyFont="1" applyFill="1" applyBorder="1" applyAlignment="1" applyProtection="1">
      <alignment horizontal="center"/>
    </xf>
    <xf numFmtId="167" fontId="117" fillId="2" borderId="5" xfId="2" applyNumberFormat="1" applyFont="1" applyFill="1" applyBorder="1" applyAlignment="1" applyProtection="1">
      <alignment horizontal="center"/>
    </xf>
    <xf numFmtId="0" fontId="85" fillId="2" borderId="3" xfId="2" applyFont="1" applyFill="1" applyBorder="1" applyAlignment="1" applyProtection="1">
      <alignment horizontal="center"/>
    </xf>
    <xf numFmtId="167" fontId="85" fillId="2" borderId="26" xfId="2" applyNumberFormat="1" applyFont="1" applyFill="1" applyBorder="1" applyAlignment="1" applyProtection="1">
      <alignment horizontal="center"/>
    </xf>
    <xf numFmtId="0" fontId="85" fillId="0" borderId="3" xfId="2" applyNumberFormat="1" applyFont="1" applyBorder="1" applyAlignment="1" applyProtection="1">
      <alignment horizontal="center"/>
    </xf>
    <xf numFmtId="0" fontId="70" fillId="2" borderId="3" xfId="0" applyFont="1" applyFill="1" applyBorder="1" applyAlignment="1">
      <alignment horizontal="center"/>
    </xf>
    <xf numFmtId="0" fontId="70" fillId="0" borderId="3" xfId="0" applyNumberFormat="1" applyFont="1" applyBorder="1" applyAlignment="1">
      <alignment horizontal="center"/>
    </xf>
    <xf numFmtId="0" fontId="85" fillId="0" borderId="3" xfId="2" applyFont="1" applyBorder="1" applyAlignment="1" applyProtection="1">
      <alignment horizontal="center"/>
    </xf>
    <xf numFmtId="0" fontId="85" fillId="2" borderId="7" xfId="2" applyFont="1" applyFill="1" applyBorder="1" applyAlignment="1" applyProtection="1">
      <alignment horizontal="center"/>
    </xf>
    <xf numFmtId="167" fontId="85" fillId="2" borderId="4" xfId="2" applyNumberFormat="1" applyFont="1" applyFill="1" applyBorder="1" applyAlignment="1" applyProtection="1">
      <alignment horizontal="center" vertical="center"/>
    </xf>
    <xf numFmtId="167" fontId="85" fillId="2" borderId="4" xfId="2" applyNumberFormat="1" applyFont="1" applyFill="1" applyBorder="1" applyAlignment="1" applyProtection="1">
      <alignment horizontal="center"/>
    </xf>
    <xf numFmtId="2" fontId="64" fillId="8" borderId="3" xfId="0" applyNumberFormat="1" applyFont="1" applyFill="1" applyBorder="1" applyAlignment="1">
      <alignment horizontal="center" vertical="center"/>
    </xf>
    <xf numFmtId="0" fontId="5" fillId="21" borderId="27" xfId="0" applyFont="1" applyFill="1" applyBorder="1" applyAlignment="1">
      <alignment horizontal="left" vertical="center"/>
    </xf>
    <xf numFmtId="0" fontId="5" fillId="21" borderId="41" xfId="0" applyFont="1" applyFill="1" applyBorder="1" applyAlignment="1">
      <alignment horizontal="left" vertical="center"/>
    </xf>
    <xf numFmtId="2" fontId="41" fillId="8" borderId="3" xfId="0" applyNumberFormat="1" applyFont="1" applyFill="1" applyBorder="1" applyAlignment="1">
      <alignment horizontal="center" vertical="center" wrapText="1"/>
    </xf>
    <xf numFmtId="167" fontId="85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7" fontId="85" fillId="2" borderId="5" xfId="2" applyNumberFormat="1" applyFont="1" applyFill="1" applyBorder="1" applyAlignment="1" applyProtection="1">
      <alignment horizontal="center" vertical="center"/>
    </xf>
    <xf numFmtId="167" fontId="70" fillId="2" borderId="4" xfId="0" applyNumberFormat="1" applyFont="1" applyFill="1" applyBorder="1" applyAlignment="1">
      <alignment horizontal="center"/>
    </xf>
    <xf numFmtId="167" fontId="70" fillId="2" borderId="3" xfId="0" applyNumberFormat="1" applyFont="1" applyFill="1" applyBorder="1" applyAlignment="1">
      <alignment horizontal="center"/>
    </xf>
    <xf numFmtId="167" fontId="85" fillId="5" borderId="3" xfId="2" applyNumberFormat="1" applyFont="1" applyFill="1" applyBorder="1" applyAlignment="1" applyProtection="1">
      <alignment horizontal="center"/>
    </xf>
    <xf numFmtId="167" fontId="70" fillId="5" borderId="3" xfId="0" applyNumberFormat="1" applyFont="1" applyFill="1" applyBorder="1" applyAlignment="1">
      <alignment horizontal="center"/>
    </xf>
    <xf numFmtId="49" fontId="85" fillId="2" borderId="3" xfId="2" applyNumberFormat="1" applyFont="1" applyFill="1" applyBorder="1" applyAlignment="1" applyProtection="1">
      <alignment horizontal="center"/>
    </xf>
    <xf numFmtId="49" fontId="85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2" fontId="41" fillId="5" borderId="3" xfId="0" applyNumberFormat="1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9" fontId="77" fillId="5" borderId="3" xfId="0" applyNumberFormat="1" applyFont="1" applyFill="1" applyBorder="1" applyAlignment="1">
      <alignment horizontal="center" vertical="center" wrapText="1"/>
    </xf>
    <xf numFmtId="0" fontId="82" fillId="5" borderId="0" xfId="2" applyFont="1" applyFill="1" applyBorder="1" applyAlignment="1" applyProtection="1">
      <alignment horizontal="center" vertical="center" wrapText="1"/>
    </xf>
    <xf numFmtId="2" fontId="64" fillId="5" borderId="24" xfId="3" applyNumberFormat="1" applyFont="1" applyFill="1" applyBorder="1" applyAlignment="1">
      <alignment horizontal="center" vertical="center"/>
    </xf>
    <xf numFmtId="2" fontId="64" fillId="8" borderId="67" xfId="0" applyNumberFormat="1" applyFont="1" applyFill="1" applyBorder="1" applyAlignment="1">
      <alignment horizontal="center" vertical="center"/>
    </xf>
    <xf numFmtId="1" fontId="113" fillId="5" borderId="0" xfId="0" applyNumberFormat="1" applyFont="1" applyFill="1" applyBorder="1" applyAlignment="1">
      <alignment horizontal="center" vertical="center"/>
    </xf>
    <xf numFmtId="49" fontId="85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9" fontId="77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2" fontId="41" fillId="8" borderId="7" xfId="0" applyNumberFormat="1" applyFont="1" applyFill="1" applyBorder="1" applyAlignment="1">
      <alignment horizontal="center" vertical="center"/>
    </xf>
    <xf numFmtId="1" fontId="76" fillId="8" borderId="7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71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1" fontId="113" fillId="9" borderId="5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 wrapText="1"/>
    </xf>
    <xf numFmtId="2" fontId="64" fillId="9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64" fillId="8" borderId="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64" fillId="9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5" borderId="12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167" fontId="85" fillId="2" borderId="11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/>
    <xf numFmtId="2" fontId="64" fillId="5" borderId="3" xfId="0" applyNumberFormat="1" applyFont="1" applyFill="1" applyBorder="1" applyAlignment="1">
      <alignment horizontal="center"/>
    </xf>
    <xf numFmtId="1" fontId="64" fillId="5" borderId="3" xfId="0" applyNumberFormat="1" applyFont="1" applyFill="1" applyBorder="1" applyAlignment="1">
      <alignment horizontal="center"/>
    </xf>
    <xf numFmtId="0" fontId="0" fillId="0" borderId="5" xfId="0" applyBorder="1"/>
    <xf numFmtId="2" fontId="77" fillId="8" borderId="3" xfId="0" applyNumberFormat="1" applyFont="1" applyFill="1" applyBorder="1" applyAlignment="1">
      <alignment horizontal="center" vertical="center"/>
    </xf>
    <xf numFmtId="2" fontId="77" fillId="5" borderId="3" xfId="0" applyNumberFormat="1" applyFont="1" applyFill="1" applyBorder="1" applyAlignment="1">
      <alignment horizontal="center" vertical="center"/>
    </xf>
    <xf numFmtId="0" fontId="82" fillId="5" borderId="3" xfId="0" applyFont="1" applyFill="1" applyBorder="1" applyAlignment="1">
      <alignment horizontal="center" vertical="center"/>
    </xf>
    <xf numFmtId="0" fontId="82" fillId="8" borderId="3" xfId="0" applyFont="1" applyFill="1" applyBorder="1" applyAlignment="1">
      <alignment horizontal="center" vertical="center"/>
    </xf>
    <xf numFmtId="2" fontId="64" fillId="5" borderId="24" xfId="0" applyNumberFormat="1" applyFont="1" applyFill="1" applyBorder="1" applyAlignment="1">
      <alignment horizontal="center" vertical="center"/>
    </xf>
    <xf numFmtId="2" fontId="64" fillId="8" borderId="24" xfId="0" applyNumberFormat="1" applyFont="1" applyFill="1" applyBorder="1" applyAlignment="1">
      <alignment horizontal="center" vertical="center"/>
    </xf>
    <xf numFmtId="2" fontId="64" fillId="8" borderId="13" xfId="0" applyNumberFormat="1" applyFont="1" applyFill="1" applyBorder="1" applyAlignment="1">
      <alignment horizontal="center" vertical="center"/>
    </xf>
    <xf numFmtId="2" fontId="64" fillId="5" borderId="22" xfId="0" applyNumberFormat="1" applyFont="1" applyFill="1" applyBorder="1" applyAlignment="1">
      <alignment horizontal="center" vertical="center"/>
    </xf>
    <xf numFmtId="1" fontId="113" fillId="5" borderId="13" xfId="0" applyNumberFormat="1" applyFont="1" applyFill="1" applyBorder="1" applyAlignment="1">
      <alignment horizontal="center" vertical="center"/>
    </xf>
    <xf numFmtId="1" fontId="113" fillId="8" borderId="1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" fillId="5" borderId="3" xfId="0" applyFont="1" applyFill="1" applyBorder="1" applyAlignment="1"/>
    <xf numFmtId="0" fontId="2" fillId="5" borderId="3" xfId="0" applyFont="1" applyFill="1" applyBorder="1"/>
    <xf numFmtId="0" fontId="71" fillId="5" borderId="3" xfId="0" applyFont="1" applyFill="1" applyBorder="1" applyAlignment="1"/>
    <xf numFmtId="0" fontId="82" fillId="5" borderId="3" xfId="2" applyFont="1" applyFill="1" applyBorder="1" applyAlignment="1" applyProtection="1">
      <alignment horizontal="center" vertical="center" wrapText="1"/>
    </xf>
    <xf numFmtId="0" fontId="26" fillId="8" borderId="3" xfId="0" applyFont="1" applyFill="1" applyBorder="1"/>
    <xf numFmtId="0" fontId="2" fillId="8" borderId="3" xfId="0" applyFont="1" applyFill="1" applyBorder="1" applyAlignment="1"/>
    <xf numFmtId="0" fontId="82" fillId="8" borderId="3" xfId="2" applyFont="1" applyFill="1" applyBorder="1" applyAlignment="1" applyProtection="1">
      <alignment horizontal="center" vertical="center" wrapText="1"/>
    </xf>
    <xf numFmtId="0" fontId="71" fillId="8" borderId="3" xfId="0" applyFont="1" applyFill="1" applyBorder="1" applyAlignment="1"/>
    <xf numFmtId="0" fontId="42" fillId="8" borderId="3" xfId="0" applyFont="1" applyFill="1" applyBorder="1"/>
    <xf numFmtId="0" fontId="2" fillId="8" borderId="3" xfId="0" applyFont="1" applyFill="1" applyBorder="1"/>
    <xf numFmtId="0" fontId="0" fillId="2" borderId="5" xfId="0" applyFill="1" applyBorder="1"/>
    <xf numFmtId="0" fontId="2" fillId="5" borderId="5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1" fontId="76" fillId="5" borderId="7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167" fontId="126" fillId="2" borderId="3" xfId="2" applyNumberFormat="1" applyFont="1" applyFill="1" applyBorder="1" applyAlignment="1" applyProtection="1">
      <alignment horizontal="center"/>
    </xf>
    <xf numFmtId="0" fontId="1" fillId="2" borderId="0" xfId="0" applyFont="1" applyFill="1" applyBorder="1"/>
    <xf numFmtId="1" fontId="76" fillId="8" borderId="13" xfId="0" applyNumberFormat="1" applyFont="1" applyFill="1" applyBorder="1" applyAlignment="1">
      <alignment horizontal="center" vertical="center"/>
    </xf>
    <xf numFmtId="1" fontId="76" fillId="5" borderId="13" xfId="0" applyNumberFormat="1" applyFont="1" applyFill="1" applyBorder="1" applyAlignment="1">
      <alignment horizontal="center" vertical="center"/>
    </xf>
    <xf numFmtId="1" fontId="76" fillId="5" borderId="4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82" fillId="5" borderId="0" xfId="2" applyFont="1" applyFill="1" applyBorder="1" applyAlignment="1" applyProtection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1" fontId="127" fillId="5" borderId="10" xfId="0" applyNumberFormat="1" applyFont="1" applyFill="1" applyBorder="1" applyAlignment="1">
      <alignment horizontal="center" vertical="center"/>
    </xf>
    <xf numFmtId="1" fontId="128" fillId="8" borderId="10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5" fillId="7" borderId="13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5" fillId="5" borderId="0" xfId="2" applyFont="1" applyFill="1" applyAlignment="1" applyProtection="1"/>
    <xf numFmtId="0" fontId="5" fillId="8" borderId="3" xfId="0" applyFont="1" applyFill="1" applyBorder="1" applyAlignment="1"/>
    <xf numFmtId="0" fontId="0" fillId="8" borderId="3" xfId="0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0" fontId="5" fillId="5" borderId="5" xfId="0" applyFont="1" applyFill="1" applyBorder="1" applyAlignment="1"/>
    <xf numFmtId="0" fontId="0" fillId="5" borderId="5" xfId="0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79" fillId="10" borderId="1" xfId="0" applyFont="1" applyFill="1" applyBorder="1" applyAlignment="1">
      <alignment vertical="center"/>
    </xf>
    <xf numFmtId="0" fontId="81" fillId="10" borderId="0" xfId="0" applyFont="1" applyFill="1" applyBorder="1" applyAlignment="1">
      <alignment vertical="center"/>
    </xf>
    <xf numFmtId="0" fontId="81" fillId="10" borderId="29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2" fontId="5" fillId="8" borderId="3" xfId="0" applyNumberFormat="1" applyFont="1" applyFill="1" applyBorder="1" applyAlignment="1"/>
    <xf numFmtId="0" fontId="18" fillId="8" borderId="3" xfId="0" applyFont="1" applyFill="1" applyBorder="1" applyAlignment="1"/>
    <xf numFmtId="2" fontId="5" fillId="5" borderId="13" xfId="0" applyNumberFormat="1" applyFont="1" applyFill="1" applyBorder="1" applyAlignment="1"/>
    <xf numFmtId="0" fontId="1" fillId="5" borderId="2" xfId="0" applyFont="1" applyFill="1" applyBorder="1" applyAlignment="1"/>
    <xf numFmtId="0" fontId="1" fillId="5" borderId="4" xfId="0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2" fontId="5" fillId="5" borderId="3" xfId="0" applyNumberFormat="1" applyFont="1" applyFill="1" applyBorder="1" applyAlignment="1"/>
    <xf numFmtId="0" fontId="0" fillId="5" borderId="3" xfId="0" applyFill="1" applyBorder="1" applyAlignment="1"/>
    <xf numFmtId="0" fontId="71" fillId="10" borderId="1" xfId="0" applyFont="1" applyFill="1" applyBorder="1" applyAlignment="1"/>
    <xf numFmtId="0" fontId="71" fillId="10" borderId="0" xfId="0" applyFont="1" applyFill="1" applyAlignment="1"/>
    <xf numFmtId="0" fontId="71" fillId="10" borderId="29" xfId="0" applyFont="1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2" fontId="5" fillId="9" borderId="5" xfId="0" applyNumberFormat="1" applyFont="1" applyFill="1" applyBorder="1" applyAlignment="1"/>
    <xf numFmtId="2" fontId="1" fillId="9" borderId="5" xfId="0" applyNumberFormat="1" applyFont="1" applyFill="1" applyBorder="1" applyAlignment="1"/>
    <xf numFmtId="0" fontId="71" fillId="10" borderId="1" xfId="0" applyFont="1" applyFill="1" applyBorder="1" applyAlignment="1">
      <alignment vertical="center"/>
    </xf>
    <xf numFmtId="2" fontId="5" fillId="5" borderId="5" xfId="0" applyNumberFormat="1" applyFont="1" applyFill="1" applyBorder="1" applyAlignment="1"/>
    <xf numFmtId="0" fontId="18" fillId="5" borderId="5" xfId="0" applyFont="1" applyFill="1" applyBorder="1" applyAlignment="1"/>
    <xf numFmtId="2" fontId="5" fillId="8" borderId="24" xfId="0" applyNumberFormat="1" applyFont="1" applyFill="1" applyBorder="1" applyAlignment="1"/>
    <xf numFmtId="0" fontId="0" fillId="8" borderId="14" xfId="0" applyFill="1" applyBorder="1" applyAlignment="1"/>
    <xf numFmtId="0" fontId="0" fillId="8" borderId="11" xfId="0" applyFill="1" applyBorder="1" applyAlignment="1"/>
    <xf numFmtId="0" fontId="71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2" fillId="5" borderId="34" xfId="0" applyFont="1" applyFill="1" applyBorder="1" applyAlignment="1">
      <alignment horizontal="left" vertical="center" wrapText="1"/>
    </xf>
    <xf numFmtId="0" fontId="2" fillId="5" borderId="3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/>
    <xf numFmtId="0" fontId="26" fillId="10" borderId="0" xfId="0" applyFont="1" applyFill="1" applyBorder="1" applyAlignment="1"/>
    <xf numFmtId="0" fontId="15" fillId="0" borderId="0" xfId="0" applyFont="1" applyAlignment="1"/>
    <xf numFmtId="0" fontId="15" fillId="0" borderId="29" xfId="0" applyFont="1" applyBorder="1" applyAlignment="1"/>
    <xf numFmtId="0" fontId="5" fillId="8" borderId="13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2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5" borderId="3" xfId="0" applyFont="1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29" xfId="0" applyFont="1" applyFill="1" applyBorder="1" applyAlignment="1"/>
    <xf numFmtId="0" fontId="53" fillId="2" borderId="0" xfId="2" applyFont="1" applyFill="1" applyAlignment="1" applyProtection="1"/>
    <xf numFmtId="0" fontId="53" fillId="0" borderId="0" xfId="2" applyFont="1" applyAlignment="1" applyProtection="1"/>
    <xf numFmtId="0" fontId="66" fillId="21" borderId="36" xfId="0" applyFont="1" applyFill="1" applyBorder="1" applyAlignment="1">
      <alignment horizontal="center" vertical="center" wrapText="1"/>
    </xf>
    <xf numFmtId="0" fontId="66" fillId="21" borderId="37" xfId="0" applyFont="1" applyFill="1" applyBorder="1" applyAlignment="1">
      <alignment horizontal="center" vertical="center" wrapText="1"/>
    </xf>
    <xf numFmtId="0" fontId="4" fillId="21" borderId="30" xfId="2" applyFont="1" applyFill="1" applyBorder="1" applyAlignment="1" applyProtection="1">
      <alignment horizontal="center" vertical="center" wrapText="1"/>
    </xf>
    <xf numFmtId="0" fontId="4" fillId="21" borderId="39" xfId="2" applyFont="1" applyFill="1" applyBorder="1" applyAlignment="1" applyProtection="1">
      <alignment horizontal="center" vertical="center" wrapText="1"/>
    </xf>
    <xf numFmtId="0" fontId="4" fillId="21" borderId="33" xfId="2" applyFont="1" applyFill="1" applyBorder="1" applyAlignment="1" applyProtection="1">
      <alignment horizontal="center" vertical="center" wrapText="1"/>
    </xf>
    <xf numFmtId="0" fontId="4" fillId="21" borderId="27" xfId="2" applyFont="1" applyFill="1" applyBorder="1" applyAlignment="1" applyProtection="1">
      <alignment horizontal="center" vertical="center" wrapText="1"/>
    </xf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18" fillId="5" borderId="3" xfId="0" applyFont="1" applyFill="1" applyBorder="1" applyAlignment="1"/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6" fillId="12" borderId="19" xfId="0" applyNumberFormat="1" applyFont="1" applyFill="1" applyBorder="1" applyAlignment="1">
      <alignment horizontal="center" vertical="center" wrapText="1"/>
    </xf>
    <xf numFmtId="0" fontId="39" fillId="12" borderId="19" xfId="0" applyFont="1" applyFill="1" applyBorder="1" applyAlignment="1">
      <alignment horizontal="center" vertical="center" wrapText="1"/>
    </xf>
    <xf numFmtId="0" fontId="39" fillId="12" borderId="20" xfId="0" applyFont="1" applyFill="1" applyBorder="1" applyAlignment="1">
      <alignment horizontal="center" vertical="center" wrapText="1"/>
    </xf>
    <xf numFmtId="2" fontId="5" fillId="8" borderId="13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13" xfId="0" applyFill="1" applyBorder="1" applyAlignment="1"/>
    <xf numFmtId="0" fontId="0" fillId="5" borderId="13" xfId="0" applyFill="1" applyBorder="1" applyAlignment="1"/>
    <xf numFmtId="2" fontId="5" fillId="5" borderId="13" xfId="0" applyNumberFormat="1" applyFont="1" applyFill="1" applyBorder="1" applyAlignment="1">
      <alignment horizontal="left"/>
    </xf>
    <xf numFmtId="2" fontId="5" fillId="8" borderId="13" xfId="0" applyNumberFormat="1" applyFont="1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2" fontId="2" fillId="7" borderId="22" xfId="0" applyNumberFormat="1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29" xfId="0" applyBorder="1" applyAlignment="1"/>
    <xf numFmtId="0" fontId="100" fillId="10" borderId="0" xfId="0" applyFont="1" applyFill="1" applyBorder="1" applyAlignment="1"/>
    <xf numFmtId="0" fontId="70" fillId="10" borderId="0" xfId="0" applyFont="1" applyFill="1" applyBorder="1" applyAlignment="1"/>
    <xf numFmtId="0" fontId="79" fillId="5" borderId="1" xfId="0" applyFont="1" applyFill="1" applyBorder="1" applyAlignment="1"/>
    <xf numFmtId="0" fontId="0" fillId="5" borderId="0" xfId="0" applyFill="1" applyBorder="1" applyAlignment="1"/>
    <xf numFmtId="0" fontId="115" fillId="13" borderId="22" xfId="0" applyFont="1" applyFill="1" applyBorder="1" applyAlignment="1">
      <alignment horizontal="center" vertical="center" wrapText="1"/>
    </xf>
    <xf numFmtId="0" fontId="115" fillId="13" borderId="38" xfId="0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15" fillId="13" borderId="24" xfId="0" applyFont="1" applyFill="1" applyBorder="1" applyAlignment="1">
      <alignment horizontal="center" vertical="center" wrapText="1"/>
    </xf>
    <xf numFmtId="0" fontId="115" fillId="13" borderId="14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2" fontId="5" fillId="8" borderId="5" xfId="0" applyNumberFormat="1" applyFont="1" applyFill="1" applyBorder="1" applyAlignment="1"/>
    <xf numFmtId="0" fontId="0" fillId="8" borderId="5" xfId="0" applyFill="1" applyBorder="1" applyAlignment="1"/>
    <xf numFmtId="2" fontId="17" fillId="5" borderId="3" xfId="0" applyNumberFormat="1" applyFont="1" applyFill="1" applyBorder="1" applyAlignment="1"/>
    <xf numFmtId="0" fontId="39" fillId="5" borderId="3" xfId="0" applyFont="1" applyFill="1" applyBorder="1" applyAlignment="1"/>
    <xf numFmtId="2" fontId="64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29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24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14" fillId="0" borderId="29" xfId="0" applyFont="1" applyBorder="1" applyAlignment="1"/>
    <xf numFmtId="2" fontId="5" fillId="8" borderId="13" xfId="0" applyNumberFormat="1" applyFont="1" applyFill="1" applyBorder="1" applyAlignment="1">
      <alignment vertical="center" wrapText="1"/>
    </xf>
    <xf numFmtId="0" fontId="18" fillId="8" borderId="2" xfId="0" applyFont="1" applyFill="1" applyBorder="1" applyAlignment="1">
      <alignment vertical="center" wrapText="1"/>
    </xf>
    <xf numFmtId="0" fontId="18" fillId="8" borderId="4" xfId="0" applyFont="1" applyFill="1" applyBorder="1" applyAlignment="1">
      <alignment vertical="center" wrapText="1"/>
    </xf>
    <xf numFmtId="0" fontId="36" fillId="10" borderId="0" xfId="0" applyFont="1" applyFill="1" applyBorder="1" applyAlignment="1"/>
    <xf numFmtId="0" fontId="66" fillId="12" borderId="19" xfId="0" applyFont="1" applyFill="1" applyBorder="1" applyAlignment="1">
      <alignment horizontal="center" vertical="center" wrapText="1"/>
    </xf>
    <xf numFmtId="0" fontId="65" fillId="12" borderId="31" xfId="0" applyFont="1" applyFill="1" applyBorder="1" applyAlignment="1">
      <alignment horizontal="center" vertical="center" wrapText="1"/>
    </xf>
    <xf numFmtId="2" fontId="2" fillId="13" borderId="1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64" fillId="5" borderId="22" xfId="0" applyNumberFormat="1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79" fillId="10" borderId="1" xfId="0" applyFont="1" applyFill="1" applyBorder="1" applyAlignment="1"/>
    <xf numFmtId="0" fontId="0" fillId="0" borderId="0" xfId="0" applyBorder="1" applyAlignment="1"/>
    <xf numFmtId="0" fontId="79" fillId="10" borderId="0" xfId="0" applyFont="1" applyFill="1" applyBorder="1" applyAlignment="1"/>
    <xf numFmtId="0" fontId="79" fillId="10" borderId="29" xfId="0" applyFont="1" applyFill="1" applyBorder="1" applyAlignment="1"/>
    <xf numFmtId="2" fontId="71" fillId="13" borderId="22" xfId="0" applyNumberFormat="1" applyFont="1" applyFill="1" applyBorder="1" applyAlignment="1">
      <alignment horizontal="center" vertical="center" wrapText="1"/>
    </xf>
    <xf numFmtId="0" fontId="78" fillId="13" borderId="38" xfId="0" applyFont="1" applyFill="1" applyBorder="1" applyAlignment="1">
      <alignment horizontal="center" vertical="center" wrapText="1"/>
    </xf>
    <xf numFmtId="0" fontId="78" fillId="13" borderId="26" xfId="0" applyFont="1" applyFill="1" applyBorder="1" applyAlignment="1">
      <alignment horizontal="center" vertical="center" wrapText="1"/>
    </xf>
    <xf numFmtId="0" fontId="78" fillId="13" borderId="1" xfId="0" applyFont="1" applyFill="1" applyBorder="1" applyAlignment="1">
      <alignment horizontal="center" vertical="center" wrapText="1"/>
    </xf>
    <xf numFmtId="0" fontId="78" fillId="13" borderId="0" xfId="0" applyFont="1" applyFill="1" applyBorder="1" applyAlignment="1">
      <alignment horizontal="center" vertical="center" wrapText="1"/>
    </xf>
    <xf numFmtId="0" fontId="78" fillId="13" borderId="14" xfId="0" applyFont="1" applyFill="1" applyBorder="1" applyAlignment="1">
      <alignment horizontal="center" vertical="center" wrapText="1"/>
    </xf>
    <xf numFmtId="0" fontId="78" fillId="13" borderId="11" xfId="0" applyFont="1" applyFill="1" applyBorder="1" applyAlignment="1">
      <alignment horizontal="center" vertical="center" wrapText="1"/>
    </xf>
    <xf numFmtId="2" fontId="4" fillId="9" borderId="24" xfId="0" applyNumberFormat="1" applyFont="1" applyFill="1" applyBorder="1" applyAlignment="1">
      <alignment horizontal="center" vertical="center"/>
    </xf>
    <xf numFmtId="2" fontId="4" fillId="9" borderId="14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68" fillId="2" borderId="36" xfId="2" applyFont="1" applyFill="1" applyBorder="1" applyAlignment="1" applyProtection="1">
      <alignment horizontal="center" vertical="center"/>
    </xf>
    <xf numFmtId="0" fontId="68" fillId="0" borderId="37" xfId="2" applyFont="1" applyBorder="1" applyAlignment="1" applyProtection="1">
      <alignment horizontal="center" vertical="center"/>
    </xf>
    <xf numFmtId="0" fontId="48" fillId="21" borderId="30" xfId="0" applyFont="1" applyFill="1" applyBorder="1" applyAlignment="1">
      <alignment horizontal="left" vertical="center" wrapText="1"/>
    </xf>
    <xf numFmtId="0" fontId="18" fillId="21" borderId="39" xfId="0" applyFont="1" applyFill="1" applyBorder="1" applyAlignment="1">
      <alignment horizontal="left" vertical="center" wrapText="1"/>
    </xf>
    <xf numFmtId="0" fontId="18" fillId="21" borderId="40" xfId="0" applyFont="1" applyFill="1" applyBorder="1" applyAlignment="1">
      <alignment horizontal="left" vertical="center" wrapText="1"/>
    </xf>
    <xf numFmtId="0" fontId="8" fillId="21" borderId="39" xfId="0" applyFont="1" applyFill="1" applyBorder="1" applyAlignment="1">
      <alignment horizontal="center" vertical="center" wrapText="1"/>
    </xf>
    <xf numFmtId="0" fontId="47" fillId="21" borderId="39" xfId="0" applyFont="1" applyFill="1" applyBorder="1" applyAlignment="1">
      <alignment horizontal="center" vertical="center" wrapText="1"/>
    </xf>
    <xf numFmtId="0" fontId="47" fillId="21" borderId="40" xfId="0" applyFont="1" applyFill="1" applyBorder="1" applyAlignment="1">
      <alignment horizontal="center" vertical="center" wrapText="1"/>
    </xf>
    <xf numFmtId="0" fontId="55" fillId="2" borderId="0" xfId="2" applyFont="1" applyFill="1" applyAlignment="1" applyProtection="1"/>
    <xf numFmtId="0" fontId="93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1" borderId="33" xfId="2" applyFill="1" applyBorder="1" applyAlignment="1" applyProtection="1">
      <alignment horizontal="left" vertical="center"/>
    </xf>
    <xf numFmtId="0" fontId="12" fillId="21" borderId="27" xfId="2" applyFill="1" applyBorder="1" applyAlignment="1" applyProtection="1">
      <alignment horizontal="left" vertical="center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39" xfId="0" applyFont="1" applyFill="1" applyBorder="1" applyAlignment="1">
      <alignment horizontal="center" vertical="center" wrapText="1"/>
    </xf>
    <xf numFmtId="0" fontId="37" fillId="10" borderId="40" xfId="0" applyFont="1" applyFill="1" applyBorder="1" applyAlignment="1">
      <alignment horizontal="center" vertical="center" wrapText="1"/>
    </xf>
    <xf numFmtId="0" fontId="37" fillId="10" borderId="6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15" xfId="0" applyFont="1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0" fillId="10" borderId="27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66" fillId="21" borderId="51" xfId="0" applyFont="1" applyFill="1" applyBorder="1" applyAlignment="1">
      <alignment horizontal="center" vertical="center" wrapText="1"/>
    </xf>
    <xf numFmtId="0" fontId="66" fillId="21" borderId="57" xfId="0" applyFont="1" applyFill="1" applyBorder="1" applyAlignment="1">
      <alignment horizontal="center" vertical="center" wrapText="1"/>
    </xf>
    <xf numFmtId="0" fontId="96" fillId="22" borderId="18" xfId="0" applyFont="1" applyFill="1" applyBorder="1" applyAlignment="1">
      <alignment horizontal="center" vertical="center"/>
    </xf>
    <xf numFmtId="0" fontId="97" fillId="22" borderId="8" xfId="0" applyFont="1" applyFill="1" applyBorder="1" applyAlignment="1">
      <alignment horizontal="center" vertical="center"/>
    </xf>
    <xf numFmtId="0" fontId="97" fillId="22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20" fillId="9" borderId="18" xfId="0" applyFont="1" applyFill="1" applyBorder="1" applyAlignment="1">
      <alignment horizontal="center" vertical="center" wrapText="1"/>
    </xf>
    <xf numFmtId="0" fontId="120" fillId="9" borderId="8" xfId="0" applyFont="1" applyFill="1" applyBorder="1" applyAlignment="1">
      <alignment horizontal="center" vertical="center" wrapText="1"/>
    </xf>
    <xf numFmtId="0" fontId="121" fillId="9" borderId="9" xfId="0" applyFont="1" applyFill="1" applyBorder="1" applyAlignment="1">
      <alignment horizontal="center" vertical="center" wrapText="1"/>
    </xf>
    <xf numFmtId="0" fontId="122" fillId="21" borderId="30" xfId="0" applyFont="1" applyFill="1" applyBorder="1" applyAlignment="1">
      <alignment horizontal="center" vertical="center" wrapText="1"/>
    </xf>
    <xf numFmtId="0" fontId="1" fillId="21" borderId="39" xfId="0" applyFont="1" applyFill="1" applyBorder="1" applyAlignment="1">
      <alignment horizontal="center" vertical="center" wrapText="1"/>
    </xf>
    <xf numFmtId="0" fontId="1" fillId="21" borderId="40" xfId="0" applyFont="1" applyFill="1" applyBorder="1" applyAlignment="1">
      <alignment horizontal="center" vertical="center" wrapText="1"/>
    </xf>
    <xf numFmtId="0" fontId="1" fillId="21" borderId="33" xfId="0" applyFont="1" applyFill="1" applyBorder="1" applyAlignment="1">
      <alignment horizontal="center" vertical="center" wrapText="1"/>
    </xf>
    <xf numFmtId="0" fontId="1" fillId="21" borderId="27" xfId="0" applyFont="1" applyFill="1" applyBorder="1" applyAlignment="1">
      <alignment horizontal="center" vertical="center" wrapText="1"/>
    </xf>
    <xf numFmtId="0" fontId="1" fillId="21" borderId="41" xfId="0" applyFont="1" applyFill="1" applyBorder="1" applyAlignment="1">
      <alignment horizontal="center" vertical="center" wrapText="1"/>
    </xf>
    <xf numFmtId="0" fontId="4" fillId="21" borderId="42" xfId="2" applyFont="1" applyFill="1" applyBorder="1" applyAlignment="1" applyProtection="1">
      <alignment horizontal="center" vertical="center" wrapText="1"/>
    </xf>
    <xf numFmtId="0" fontId="4" fillId="21" borderId="56" xfId="2" applyFont="1" applyFill="1" applyBorder="1" applyAlignment="1" applyProtection="1">
      <alignment horizontal="center" vertical="center" wrapText="1"/>
    </xf>
    <xf numFmtId="2" fontId="4" fillId="7" borderId="2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9" fillId="5" borderId="6" xfId="0" applyFont="1" applyFill="1" applyBorder="1" applyAlignment="1">
      <alignment horizontal="center" vertical="center"/>
    </xf>
    <xf numFmtId="0" fontId="97" fillId="5" borderId="0" xfId="0" applyFont="1" applyFill="1" applyBorder="1" applyAlignment="1">
      <alignment horizontal="center" vertical="center"/>
    </xf>
    <xf numFmtId="0" fontId="97" fillId="5" borderId="0" xfId="0" applyFont="1" applyFill="1" applyBorder="1" applyAlignment="1"/>
    <xf numFmtId="0" fontId="97" fillId="5" borderId="15" xfId="0" applyFont="1" applyFill="1" applyBorder="1" applyAlignment="1"/>
    <xf numFmtId="0" fontId="118" fillId="21" borderId="18" xfId="0" applyFont="1" applyFill="1" applyBorder="1" applyAlignment="1">
      <alignment horizontal="center" vertical="center" wrapText="1"/>
    </xf>
    <xf numFmtId="0" fontId="119" fillId="21" borderId="8" xfId="0" applyFont="1" applyFill="1" applyBorder="1" applyAlignment="1">
      <alignment horizontal="center" vertical="center" wrapText="1"/>
    </xf>
    <xf numFmtId="0" fontId="119" fillId="21" borderId="9" xfId="0" applyFont="1" applyFill="1" applyBorder="1" applyAlignment="1">
      <alignment horizontal="center" vertical="center" wrapText="1"/>
    </xf>
    <xf numFmtId="0" fontId="14" fillId="21" borderId="27" xfId="0" applyFont="1" applyFill="1" applyBorder="1" applyAlignment="1">
      <alignment horizontal="center" vertical="center" wrapText="1"/>
    </xf>
    <xf numFmtId="0" fontId="14" fillId="21" borderId="4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/>
    <xf numFmtId="0" fontId="94" fillId="14" borderId="18" xfId="0" applyFont="1" applyFill="1" applyBorder="1" applyAlignment="1">
      <alignment horizontal="center" vertical="center"/>
    </xf>
    <xf numFmtId="0" fontId="84" fillId="14" borderId="8" xfId="0" applyFont="1" applyFill="1" applyBorder="1" applyAlignment="1">
      <alignment horizontal="center" vertical="center"/>
    </xf>
    <xf numFmtId="0" fontId="84" fillId="14" borderId="8" xfId="0" applyFont="1" applyFill="1" applyBorder="1" applyAlignment="1">
      <alignment horizontal="center"/>
    </xf>
    <xf numFmtId="0" fontId="84" fillId="14" borderId="9" xfId="0" applyFont="1" applyFill="1" applyBorder="1" applyAlignment="1">
      <alignment horizontal="center"/>
    </xf>
    <xf numFmtId="2" fontId="4" fillId="7" borderId="1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5" fillId="0" borderId="0" xfId="2" applyFont="1" applyAlignment="1" applyProtection="1"/>
    <xf numFmtId="0" fontId="5" fillId="9" borderId="3" xfId="0" applyFont="1" applyFill="1" applyBorder="1" applyAlignment="1"/>
    <xf numFmtId="0" fontId="0" fillId="9" borderId="3" xfId="0" applyFill="1" applyBorder="1" applyAlignment="1"/>
    <xf numFmtId="0" fontId="5" fillId="8" borderId="5" xfId="0" applyFont="1" applyFill="1" applyBorder="1" applyAlignment="1"/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2" fontId="5" fillId="7" borderId="3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2" fontId="90" fillId="8" borderId="13" xfId="0" applyNumberFormat="1" applyFon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0" fontId="0" fillId="7" borderId="3" xfId="0" applyFill="1" applyBorder="1" applyAlignment="1">
      <alignment wrapText="1"/>
    </xf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0" fontId="5" fillId="5" borderId="13" xfId="0" applyFont="1" applyFill="1" applyBorder="1" applyAlignment="1"/>
    <xf numFmtId="0" fontId="124" fillId="21" borderId="18" xfId="2" applyFont="1" applyFill="1" applyBorder="1" applyAlignment="1" applyProtection="1">
      <alignment horizontal="center" vertical="center" wrapText="1"/>
    </xf>
    <xf numFmtId="0" fontId="124" fillId="21" borderId="8" xfId="2" applyFont="1" applyFill="1" applyBorder="1" applyAlignment="1" applyProtection="1">
      <alignment horizontal="center" vertical="center" wrapText="1"/>
    </xf>
    <xf numFmtId="0" fontId="124" fillId="21" borderId="9" xfId="2" applyFont="1" applyFill="1" applyBorder="1" applyAlignment="1" applyProtection="1">
      <alignment horizontal="center" vertical="center" wrapText="1"/>
    </xf>
    <xf numFmtId="0" fontId="95" fillId="5" borderId="0" xfId="2" applyFont="1" applyFill="1" applyBorder="1" applyAlignment="1" applyProtection="1">
      <alignment horizontal="center" vertical="center" wrapText="1"/>
    </xf>
    <xf numFmtId="0" fontId="123" fillId="21" borderId="30" xfId="2" applyFont="1" applyFill="1" applyBorder="1" applyAlignment="1" applyProtection="1">
      <alignment horizontal="center" vertical="center" wrapText="1"/>
    </xf>
    <xf numFmtId="0" fontId="123" fillId="21" borderId="39" xfId="2" applyFont="1" applyFill="1" applyBorder="1" applyAlignment="1" applyProtection="1">
      <alignment horizontal="center" vertical="center" wrapText="1"/>
    </xf>
    <xf numFmtId="0" fontId="123" fillId="21" borderId="40" xfId="2" applyFont="1" applyFill="1" applyBorder="1" applyAlignment="1" applyProtection="1">
      <alignment horizontal="center" vertical="center" wrapText="1"/>
    </xf>
    <xf numFmtId="0" fontId="123" fillId="21" borderId="33" xfId="2" applyFont="1" applyFill="1" applyBorder="1" applyAlignment="1" applyProtection="1">
      <alignment horizontal="center" vertical="center" wrapText="1"/>
    </xf>
    <xf numFmtId="0" fontId="123" fillId="21" borderId="27" xfId="2" applyFont="1" applyFill="1" applyBorder="1" applyAlignment="1" applyProtection="1">
      <alignment horizontal="center" vertical="center" wrapText="1"/>
    </xf>
    <xf numFmtId="0" fontId="123" fillId="21" borderId="41" xfId="2" applyFont="1" applyFill="1" applyBorder="1" applyAlignment="1" applyProtection="1">
      <alignment horizontal="center" vertical="center" wrapText="1"/>
    </xf>
    <xf numFmtId="0" fontId="5" fillId="5" borderId="13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0" fontId="18" fillId="8" borderId="5" xfId="0" applyFont="1" applyFill="1" applyBorder="1" applyAlignment="1"/>
    <xf numFmtId="0" fontId="66" fillId="21" borderId="6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/>
    <xf numFmtId="0" fontId="18" fillId="8" borderId="7" xfId="0" applyFont="1" applyFill="1" applyBorder="1" applyAlignment="1"/>
    <xf numFmtId="0" fontId="57" fillId="4" borderId="18" xfId="0" applyFont="1" applyFill="1" applyBorder="1" applyAlignment="1">
      <alignment horizontal="center" wrapText="1"/>
    </xf>
    <xf numFmtId="0" fontId="57" fillId="4" borderId="8" xfId="0" applyFont="1" applyFill="1" applyBorder="1" applyAlignment="1">
      <alignment horizontal="center" wrapText="1"/>
    </xf>
    <xf numFmtId="0" fontId="50" fillId="4" borderId="9" xfId="0" applyFont="1" applyFill="1" applyBorder="1" applyAlignment="1">
      <alignment horizontal="center" wrapText="1"/>
    </xf>
    <xf numFmtId="2" fontId="5" fillId="9" borderId="3" xfId="0" applyNumberFormat="1" applyFont="1" applyFill="1" applyBorder="1" applyAlignment="1"/>
    <xf numFmtId="0" fontId="30" fillId="2" borderId="0" xfId="0" applyFont="1" applyFill="1" applyBorder="1" applyAlignment="1">
      <alignment horizontal="center" vertical="center" textRotation="90" wrapText="1"/>
    </xf>
    <xf numFmtId="2" fontId="4" fillId="5" borderId="43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8" borderId="43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" fillId="9" borderId="5" xfId="0" applyFont="1" applyFill="1" applyBorder="1" applyAlignment="1"/>
    <xf numFmtId="0" fontId="0" fillId="9" borderId="5" xfId="0" applyFill="1" applyBorder="1" applyAlignment="1"/>
    <xf numFmtId="2" fontId="4" fillId="5" borderId="45" xfId="0" applyNumberFormat="1" applyFont="1" applyFill="1" applyBorder="1" applyAlignment="1">
      <alignment vertical="center" wrapText="1"/>
    </xf>
    <xf numFmtId="2" fontId="4" fillId="5" borderId="46" xfId="0" applyNumberFormat="1" applyFont="1" applyFill="1" applyBorder="1" applyAlignment="1">
      <alignment vertical="center" wrapText="1"/>
    </xf>
    <xf numFmtId="0" fontId="0" fillId="5" borderId="47" xfId="0" applyFill="1" applyBorder="1" applyAlignment="1">
      <alignment vertical="center" wrapText="1"/>
    </xf>
    <xf numFmtId="0" fontId="54" fillId="8" borderId="49" xfId="0" applyFont="1" applyFill="1" applyBorder="1" applyAlignment="1">
      <alignment horizontal="center" vertical="center" wrapText="1"/>
    </xf>
    <xf numFmtId="0" fontId="14" fillId="8" borderId="48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2" fontId="82" fillId="17" borderId="44" xfId="0" applyNumberFormat="1" applyFont="1" applyFill="1" applyBorder="1" applyAlignment="1">
      <alignment horizontal="center" vertical="center" wrapText="1"/>
    </xf>
    <xf numFmtId="0" fontId="111" fillId="17" borderId="1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11" fillId="5" borderId="3" xfId="0" applyFont="1" applyFill="1" applyBorder="1" applyAlignment="1"/>
    <xf numFmtId="0" fontId="2" fillId="2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2" fontId="5" fillId="8" borderId="22" xfId="0" applyNumberFormat="1" applyFont="1" applyFill="1" applyBorder="1" applyAlignment="1">
      <alignment wrapText="1"/>
    </xf>
    <xf numFmtId="0" fontId="0" fillId="8" borderId="38" xfId="0" applyFill="1" applyBorder="1" applyAlignment="1">
      <alignment wrapText="1"/>
    </xf>
    <xf numFmtId="0" fontId="0" fillId="8" borderId="26" xfId="0" applyFill="1" applyBorder="1" applyAlignment="1">
      <alignment wrapText="1"/>
    </xf>
    <xf numFmtId="0" fontId="5" fillId="7" borderId="3" xfId="0" applyFont="1" applyFill="1" applyBorder="1" applyAlignment="1"/>
    <xf numFmtId="0" fontId="19" fillId="12" borderId="1" xfId="0" applyFont="1" applyFill="1" applyBorder="1" applyAlignment="1">
      <alignment horizontal="center" vertical="center" wrapText="1"/>
    </xf>
    <xf numFmtId="0" fontId="19" fillId="12" borderId="0" xfId="0" applyFont="1" applyFill="1" applyBorder="1" applyAlignment="1">
      <alignment horizontal="center" vertical="center" wrapText="1"/>
    </xf>
    <xf numFmtId="0" fontId="39" fillId="12" borderId="0" xfId="0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5" xfId="0" applyBorder="1" applyAlignment="1">
      <alignment wrapText="1"/>
    </xf>
    <xf numFmtId="0" fontId="107" fillId="14" borderId="13" xfId="2" applyFont="1" applyFill="1" applyBorder="1" applyAlignment="1" applyProtection="1">
      <alignment horizontal="center" vertical="center" wrapText="1"/>
    </xf>
    <xf numFmtId="0" fontId="107" fillId="14" borderId="2" xfId="2" applyFont="1" applyFill="1" applyBorder="1" applyAlignment="1" applyProtection="1">
      <alignment horizontal="center" vertical="center" wrapText="1"/>
    </xf>
    <xf numFmtId="0" fontId="107" fillId="14" borderId="4" xfId="2" applyFont="1" applyFill="1" applyBorder="1" applyAlignment="1" applyProtection="1">
      <alignment horizontal="center" vertical="center" wrapText="1"/>
    </xf>
    <xf numFmtId="0" fontId="91" fillId="14" borderId="30" xfId="0" applyFont="1" applyFill="1" applyBorder="1" applyAlignment="1">
      <alignment horizontal="center" vertical="center" wrapText="1"/>
    </xf>
    <xf numFmtId="0" fontId="92" fillId="14" borderId="39" xfId="0" applyFont="1" applyFill="1" applyBorder="1" applyAlignment="1">
      <alignment horizontal="center" vertical="center" wrapText="1"/>
    </xf>
    <xf numFmtId="0" fontId="84" fillId="14" borderId="40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5" fillId="21" borderId="18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9" fillId="21" borderId="9" xfId="0" applyFont="1" applyFill="1" applyBorder="1" applyAlignment="1">
      <alignment horizontal="center" vertical="center" wrapText="1"/>
    </xf>
    <xf numFmtId="0" fontId="9" fillId="21" borderId="30" xfId="0" applyFont="1" applyFill="1" applyBorder="1" applyAlignment="1">
      <alignment horizontal="left" vertical="center" wrapText="1"/>
    </xf>
    <xf numFmtId="0" fontId="9" fillId="21" borderId="39" xfId="0" applyFont="1" applyFill="1" applyBorder="1" applyAlignment="1">
      <alignment horizontal="left" vertical="center" wrapText="1"/>
    </xf>
    <xf numFmtId="0" fontId="9" fillId="21" borderId="39" xfId="0" applyFont="1" applyFill="1" applyBorder="1" applyAlignment="1">
      <alignment wrapText="1"/>
    </xf>
    <xf numFmtId="0" fontId="9" fillId="21" borderId="40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15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6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15" xfId="0" applyFill="1" applyBorder="1" applyAlignment="1">
      <alignment wrapText="1"/>
    </xf>
    <xf numFmtId="0" fontId="0" fillId="21" borderId="33" xfId="0" applyFill="1" applyBorder="1" applyAlignment="1">
      <alignment wrapText="1"/>
    </xf>
    <xf numFmtId="0" fontId="0" fillId="21" borderId="27" xfId="0" applyFill="1" applyBorder="1" applyAlignment="1">
      <alignment wrapText="1"/>
    </xf>
    <xf numFmtId="0" fontId="0" fillId="21" borderId="41" xfId="0" applyFill="1" applyBorder="1" applyAlignment="1">
      <alignment wrapText="1"/>
    </xf>
    <xf numFmtId="0" fontId="15" fillId="2" borderId="5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06" fillId="21" borderId="6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15" xfId="0" applyFont="1" applyFill="1" applyBorder="1" applyAlignment="1">
      <alignment wrapText="1"/>
    </xf>
    <xf numFmtId="0" fontId="5" fillId="21" borderId="6" xfId="0" applyFont="1" applyFill="1" applyBorder="1" applyAlignment="1">
      <alignment wrapText="1"/>
    </xf>
    <xf numFmtId="0" fontId="5" fillId="21" borderId="33" xfId="0" applyFont="1" applyFill="1" applyBorder="1" applyAlignment="1">
      <alignment wrapText="1"/>
    </xf>
    <xf numFmtId="0" fontId="5" fillId="21" borderId="27" xfId="0" applyFont="1" applyFill="1" applyBorder="1" applyAlignment="1">
      <alignment wrapText="1"/>
    </xf>
    <xf numFmtId="0" fontId="1" fillId="21" borderId="27" xfId="0" applyFont="1" applyFill="1" applyBorder="1" applyAlignment="1">
      <alignment wrapText="1"/>
    </xf>
    <xf numFmtId="0" fontId="1" fillId="21" borderId="41" xfId="0" applyFont="1" applyFill="1" applyBorder="1" applyAlignment="1">
      <alignment wrapText="1"/>
    </xf>
    <xf numFmtId="0" fontId="26" fillId="2" borderId="30" xfId="0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98" fillId="14" borderId="18" xfId="0" applyFont="1" applyFill="1" applyBorder="1" applyAlignment="1">
      <alignment horizontal="center" vertical="center" wrapText="1"/>
    </xf>
    <xf numFmtId="0" fontId="84" fillId="14" borderId="8" xfId="0" applyFont="1" applyFill="1" applyBorder="1" applyAlignment="1">
      <alignment horizontal="center" vertical="center" wrapText="1"/>
    </xf>
    <xf numFmtId="0" fontId="84" fillId="14" borderId="9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8" borderId="26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29" xfId="0" applyFill="1" applyBorder="1" applyAlignment="1">
      <alignment horizontal="center" vertical="center" wrapText="1"/>
    </xf>
    <xf numFmtId="0" fontId="5" fillId="21" borderId="24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0" fillId="21" borderId="14" xfId="0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0" fontId="5" fillId="5" borderId="24" xfId="0" applyFont="1" applyFill="1" applyBorder="1" applyAlignment="1"/>
    <xf numFmtId="0" fontId="0" fillId="5" borderId="14" xfId="0" applyFill="1" applyBorder="1" applyAlignment="1"/>
    <xf numFmtId="0" fontId="0" fillId="5" borderId="11" xfId="0" applyFill="1" applyBorder="1" applyAlignment="1"/>
    <xf numFmtId="2" fontId="5" fillId="5" borderId="13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1" fillId="14" borderId="3" xfId="0" applyFont="1" applyFill="1" applyBorder="1" applyAlignment="1">
      <alignment horizontal="center" vertical="center" wrapText="1"/>
    </xf>
    <xf numFmtId="0" fontId="92" fillId="14" borderId="3" xfId="0" applyFont="1" applyFill="1" applyBorder="1" applyAlignment="1">
      <alignment horizontal="center" vertical="center" wrapText="1"/>
    </xf>
    <xf numFmtId="2" fontId="28" fillId="6" borderId="13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19" fillId="5" borderId="54" xfId="0" applyFont="1" applyFill="1" applyBorder="1" applyAlignment="1">
      <alignment horizontal="left" vertical="center"/>
    </xf>
    <xf numFmtId="0" fontId="15" fillId="5" borderId="38" xfId="0" applyFont="1" applyFill="1" applyBorder="1" applyAlignment="1">
      <alignment horizontal="left" vertical="center"/>
    </xf>
    <xf numFmtId="0" fontId="15" fillId="5" borderId="26" xfId="0" applyFont="1" applyFill="1" applyBorder="1" applyAlignment="1">
      <alignment horizontal="left" vertical="center"/>
    </xf>
    <xf numFmtId="2" fontId="83" fillId="17" borderId="44" xfId="0" applyNumberFormat="1" applyFont="1" applyFill="1" applyBorder="1" applyAlignment="1">
      <alignment horizontal="center" vertical="center" wrapText="1"/>
    </xf>
    <xf numFmtId="0" fontId="84" fillId="17" borderId="17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2" fontId="17" fillId="8" borderId="3" xfId="0" applyNumberFormat="1" applyFont="1" applyFill="1" applyBorder="1" applyAlignment="1"/>
    <xf numFmtId="0" fontId="39" fillId="8" borderId="3" xfId="0" applyFont="1" applyFill="1" applyBorder="1" applyAlignment="1"/>
    <xf numFmtId="2" fontId="90" fillId="5" borderId="3" xfId="0" applyNumberFormat="1" applyFont="1" applyFill="1" applyBorder="1" applyAlignment="1"/>
    <xf numFmtId="0" fontId="89" fillId="5" borderId="3" xfId="0" applyFont="1" applyFill="1" applyBorder="1" applyAlignment="1"/>
    <xf numFmtId="166" fontId="5" fillId="8" borderId="3" xfId="0" applyNumberFormat="1" applyFont="1" applyFill="1" applyBorder="1" applyAlignment="1"/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2" fillId="5" borderId="19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36" fillId="8" borderId="24" xfId="0" applyFont="1" applyFill="1" applyBorder="1" applyAlignment="1"/>
    <xf numFmtId="0" fontId="36" fillId="8" borderId="14" xfId="0" applyFont="1" applyFill="1" applyBorder="1" applyAlignment="1"/>
    <xf numFmtId="2" fontId="63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/>
    <xf numFmtId="0" fontId="39" fillId="5" borderId="2" xfId="0" applyFont="1" applyFill="1" applyBorder="1" applyAlignment="1"/>
    <xf numFmtId="0" fontId="39" fillId="5" borderId="4" xfId="0" applyFont="1" applyFill="1" applyBorder="1" applyAlignment="1"/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0" fontId="71" fillId="10" borderId="0" xfId="0" applyFont="1" applyFill="1" applyBorder="1" applyAlignment="1"/>
    <xf numFmtId="2" fontId="63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/>
    <xf numFmtId="0" fontId="39" fillId="8" borderId="2" xfId="0" applyFont="1" applyFill="1" applyBorder="1" applyAlignment="1"/>
    <xf numFmtId="0" fontId="39" fillId="8" borderId="4" xfId="0" applyFont="1" applyFill="1" applyBorder="1" applyAlignment="1"/>
    <xf numFmtId="2" fontId="64" fillId="8" borderId="22" xfId="0" applyNumberFormat="1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1" fillId="8" borderId="38" xfId="0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/>
    <xf numFmtId="0" fontId="0" fillId="8" borderId="38" xfId="0" applyFill="1" applyBorder="1" applyAlignment="1"/>
    <xf numFmtId="0" fontId="0" fillId="8" borderId="26" xfId="0" applyFill="1" applyBorder="1" applyAlignment="1"/>
    <xf numFmtId="2" fontId="63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2" fontId="5" fillId="5" borderId="3" xfId="0" applyNumberFormat="1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4" fillId="21" borderId="40" xfId="2" applyFont="1" applyFill="1" applyBorder="1" applyAlignment="1" applyProtection="1">
      <alignment horizontal="center" vertical="center" wrapText="1"/>
    </xf>
    <xf numFmtId="0" fontId="4" fillId="21" borderId="41" xfId="2" applyFont="1" applyFill="1" applyBorder="1" applyAlignment="1" applyProtection="1">
      <alignment horizontal="center" vertical="center" wrapText="1"/>
    </xf>
    <xf numFmtId="2" fontId="41" fillId="8" borderId="3" xfId="0" applyNumberFormat="1" applyFont="1" applyFill="1" applyBorder="1" applyAlignment="1">
      <alignment horizontal="center" vertical="center" wrapText="1"/>
    </xf>
    <xf numFmtId="2" fontId="48" fillId="8" borderId="3" xfId="0" applyNumberFormat="1" applyFont="1" applyFill="1" applyBorder="1" applyAlignment="1">
      <alignment horizontal="center" vertical="center" wrapText="1"/>
    </xf>
    <xf numFmtId="0" fontId="65" fillId="8" borderId="3" xfId="0" applyFont="1" applyFill="1" applyBorder="1" applyAlignment="1">
      <alignment horizontal="center" vertical="center" wrapText="1"/>
    </xf>
    <xf numFmtId="2" fontId="5" fillId="5" borderId="24" xfId="0" applyNumberFormat="1" applyFont="1" applyFill="1" applyBorder="1" applyAlignment="1"/>
    <xf numFmtId="0" fontId="62" fillId="2" borderId="0" xfId="2" applyFont="1" applyFill="1" applyAlignment="1" applyProtection="1"/>
    <xf numFmtId="2" fontId="63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2" fontId="78" fillId="9" borderId="3" xfId="0" applyNumberFormat="1" applyFont="1" applyFill="1" applyBorder="1" applyAlignment="1"/>
    <xf numFmtId="0" fontId="70" fillId="9" borderId="3" xfId="0" applyFont="1" applyFill="1" applyBorder="1" applyAlignment="1"/>
    <xf numFmtId="0" fontId="2" fillId="13" borderId="3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2" fontId="64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78" fillId="5" borderId="0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78" fillId="13" borderId="2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8" borderId="13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0" fontId="71" fillId="13" borderId="22" xfId="0" applyFont="1" applyFill="1" applyBorder="1" applyAlignment="1">
      <alignment horizontal="center" vertical="center" wrapText="1"/>
    </xf>
    <xf numFmtId="0" fontId="71" fillId="13" borderId="38" xfId="0" applyFont="1" applyFill="1" applyBorder="1" applyAlignment="1">
      <alignment horizontal="center" vertical="center" wrapText="1"/>
    </xf>
    <xf numFmtId="0" fontId="0" fillId="13" borderId="38" xfId="0" applyFill="1" applyBorder="1" applyAlignment="1">
      <alignment horizontal="center" vertical="center" wrapText="1"/>
    </xf>
    <xf numFmtId="0" fontId="0" fillId="13" borderId="26" xfId="0" applyFill="1" applyBorder="1" applyAlignment="1">
      <alignment horizontal="center" vertical="center" wrapText="1"/>
    </xf>
    <xf numFmtId="0" fontId="71" fillId="13" borderId="1" xfId="0" applyFont="1" applyFill="1" applyBorder="1" applyAlignment="1">
      <alignment horizontal="center" vertical="center" wrapText="1"/>
    </xf>
    <xf numFmtId="0" fontId="71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9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24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11" xfId="0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29" xfId="0" applyFont="1" applyFill="1" applyBorder="1" applyAlignment="1">
      <alignment vertical="center"/>
    </xf>
    <xf numFmtId="0" fontId="70" fillId="0" borderId="0" xfId="0" applyFont="1" applyAlignment="1"/>
    <xf numFmtId="0" fontId="70" fillId="0" borderId="29" xfId="0" applyFont="1" applyBorder="1" applyAlignment="1"/>
    <xf numFmtId="2" fontId="82" fillId="15" borderId="13" xfId="0" applyNumberFormat="1" applyFont="1" applyFill="1" applyBorder="1" applyAlignment="1">
      <alignment horizontal="center" vertical="center"/>
    </xf>
    <xf numFmtId="0" fontId="84" fillId="15" borderId="2" xfId="0" applyFont="1" applyFill="1" applyBorder="1" applyAlignment="1">
      <alignment horizontal="center" vertical="center"/>
    </xf>
    <xf numFmtId="0" fontId="84" fillId="15" borderId="4" xfId="0" applyFont="1" applyFill="1" applyBorder="1" applyAlignment="1">
      <alignment horizontal="center" vertical="center"/>
    </xf>
    <xf numFmtId="2" fontId="5" fillId="5" borderId="7" xfId="0" applyNumberFormat="1" applyFont="1" applyFill="1" applyBorder="1" applyAlignment="1"/>
    <xf numFmtId="0" fontId="18" fillId="5" borderId="7" xfId="0" applyFont="1" applyFill="1" applyBorder="1" applyAlignment="1"/>
    <xf numFmtId="0" fontId="36" fillId="10" borderId="0" xfId="0" applyFont="1" applyFill="1" applyAlignment="1"/>
    <xf numFmtId="2" fontId="5" fillId="5" borderId="24" xfId="0" applyNumberFormat="1" applyFont="1" applyFill="1" applyBorder="1" applyAlignment="1">
      <alignment wrapText="1"/>
    </xf>
    <xf numFmtId="0" fontId="1" fillId="5" borderId="14" xfId="0" applyFont="1" applyFill="1" applyBorder="1" applyAlignment="1">
      <alignment wrapText="1"/>
    </xf>
    <xf numFmtId="0" fontId="1" fillId="5" borderId="11" xfId="0" applyFont="1" applyFill="1" applyBorder="1" applyAlignment="1">
      <alignment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29" xfId="0" applyFont="1" applyFill="1" applyBorder="1" applyAlignment="1">
      <alignment horizontal="left"/>
    </xf>
    <xf numFmtId="0" fontId="112" fillId="13" borderId="22" xfId="0" applyFont="1" applyFill="1" applyBorder="1" applyAlignment="1">
      <alignment horizontal="center" vertical="center" wrapText="1"/>
    </xf>
    <xf numFmtId="0" fontId="112" fillId="13" borderId="38" xfId="0" applyFont="1" applyFill="1" applyBorder="1" applyAlignment="1">
      <alignment horizontal="center" vertical="center" wrapText="1"/>
    </xf>
    <xf numFmtId="0" fontId="112" fillId="13" borderId="26" xfId="0" applyFont="1" applyFill="1" applyBorder="1" applyAlignment="1">
      <alignment horizontal="center" vertical="center" wrapText="1"/>
    </xf>
    <xf numFmtId="0" fontId="112" fillId="13" borderId="1" xfId="0" applyFont="1" applyFill="1" applyBorder="1" applyAlignment="1">
      <alignment horizontal="center" vertical="center" wrapText="1"/>
    </xf>
    <xf numFmtId="0" fontId="112" fillId="13" borderId="0" xfId="0" applyFont="1" applyFill="1" applyBorder="1" applyAlignment="1">
      <alignment horizontal="center" vertical="center" wrapText="1"/>
    </xf>
    <xf numFmtId="0" fontId="112" fillId="13" borderId="29" xfId="0" applyFont="1" applyFill="1" applyBorder="1" applyAlignment="1">
      <alignment horizontal="center" vertical="center" wrapText="1"/>
    </xf>
    <xf numFmtId="0" fontId="112" fillId="13" borderId="24" xfId="0" applyFont="1" applyFill="1" applyBorder="1" applyAlignment="1">
      <alignment horizontal="center" vertical="center" wrapText="1"/>
    </xf>
    <xf numFmtId="0" fontId="112" fillId="13" borderId="14" xfId="0" applyFont="1" applyFill="1" applyBorder="1" applyAlignment="1">
      <alignment horizontal="center" vertical="center" wrapText="1"/>
    </xf>
    <xf numFmtId="0" fontId="112" fillId="13" borderId="11" xfId="0" applyFont="1" applyFill="1" applyBorder="1" applyAlignment="1">
      <alignment horizontal="center" vertical="center" wrapText="1"/>
    </xf>
    <xf numFmtId="2" fontId="5" fillId="8" borderId="5" xfId="0" applyNumberFormat="1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  <xf numFmtId="2" fontId="5" fillId="8" borderId="7" xfId="0" applyNumberFormat="1" applyFont="1" applyFill="1" applyBorder="1" applyAlignment="1">
      <alignment wrapText="1"/>
    </xf>
    <xf numFmtId="0" fontId="18" fillId="8" borderId="7" xfId="0" applyFont="1" applyFill="1" applyBorder="1" applyAlignment="1">
      <alignment wrapText="1"/>
    </xf>
    <xf numFmtId="0" fontId="18" fillId="9" borderId="3" xfId="0" applyFont="1" applyFill="1" applyBorder="1" applyAlignment="1"/>
    <xf numFmtId="0" fontId="19" fillId="12" borderId="19" xfId="0" applyFont="1" applyFill="1" applyBorder="1" applyAlignment="1">
      <alignment horizontal="center" vertical="center" wrapText="1"/>
    </xf>
    <xf numFmtId="0" fontId="90" fillId="8" borderId="3" xfId="0" applyFont="1" applyFill="1" applyBorder="1" applyAlignment="1">
      <alignment horizontal="left" wrapText="1"/>
    </xf>
    <xf numFmtId="0" fontId="104" fillId="14" borderId="18" xfId="0" applyFont="1" applyFill="1" applyBorder="1" applyAlignment="1">
      <alignment horizontal="center" vertical="center" wrapText="1"/>
    </xf>
    <xf numFmtId="0" fontId="104" fillId="14" borderId="8" xfId="0" applyFont="1" applyFill="1" applyBorder="1" applyAlignment="1">
      <alignment horizontal="center" vertical="center" wrapText="1"/>
    </xf>
    <xf numFmtId="0" fontId="105" fillId="14" borderId="9" xfId="0" applyFont="1" applyFill="1" applyBorder="1" applyAlignment="1">
      <alignment horizontal="center" vertical="center" wrapText="1"/>
    </xf>
    <xf numFmtId="2" fontId="4" fillId="21" borderId="30" xfId="0" applyNumberFormat="1" applyFont="1" applyFill="1" applyBorder="1" applyAlignment="1">
      <alignment horizontal="center" vertical="center" wrapText="1"/>
    </xf>
    <xf numFmtId="0" fontId="5" fillId="21" borderId="39" xfId="0" applyFont="1" applyFill="1" applyBorder="1" applyAlignment="1">
      <alignment horizontal="center" vertical="center" wrapText="1"/>
    </xf>
    <xf numFmtId="0" fontId="5" fillId="21" borderId="42" xfId="0" applyFont="1" applyFill="1" applyBorder="1" applyAlignment="1">
      <alignment horizontal="center" vertical="center" wrapText="1"/>
    </xf>
    <xf numFmtId="0" fontId="5" fillId="21" borderId="55" xfId="0" applyFont="1" applyFill="1" applyBorder="1" applyAlignment="1">
      <alignment horizontal="center" vertical="center" wrapText="1"/>
    </xf>
    <xf numFmtId="0" fontId="5" fillId="21" borderId="11" xfId="0" applyFont="1" applyFill="1" applyBorder="1" applyAlignment="1">
      <alignment horizontal="center" vertical="center" wrapText="1"/>
    </xf>
    <xf numFmtId="0" fontId="83" fillId="14" borderId="30" xfId="0" applyFont="1" applyFill="1" applyBorder="1" applyAlignment="1">
      <alignment horizontal="center" vertical="center" wrapText="1"/>
    </xf>
    <xf numFmtId="0" fontId="83" fillId="14" borderId="39" xfId="0" applyFont="1" applyFill="1" applyBorder="1" applyAlignment="1">
      <alignment horizontal="center" vertical="center" wrapText="1"/>
    </xf>
    <xf numFmtId="0" fontId="83" fillId="14" borderId="40" xfId="0" applyFont="1" applyFill="1" applyBorder="1" applyAlignment="1">
      <alignment horizontal="center" vertical="center" wrapText="1"/>
    </xf>
    <xf numFmtId="0" fontId="83" fillId="14" borderId="6" xfId="0" applyFont="1" applyFill="1" applyBorder="1" applyAlignment="1">
      <alignment horizontal="center" vertical="center" wrapText="1"/>
    </xf>
    <xf numFmtId="0" fontId="83" fillId="14" borderId="0" xfId="0" applyFont="1" applyFill="1" applyBorder="1" applyAlignment="1">
      <alignment horizontal="center" vertical="center" wrapText="1"/>
    </xf>
    <xf numFmtId="0" fontId="83" fillId="14" borderId="15" xfId="0" applyFont="1" applyFill="1" applyBorder="1" applyAlignment="1">
      <alignment horizontal="center" vertical="center" wrapText="1"/>
    </xf>
    <xf numFmtId="0" fontId="83" fillId="14" borderId="33" xfId="0" applyFont="1" applyFill="1" applyBorder="1" applyAlignment="1">
      <alignment horizontal="center" vertical="center" wrapText="1"/>
    </xf>
    <xf numFmtId="0" fontId="83" fillId="14" borderId="27" xfId="0" applyFont="1" applyFill="1" applyBorder="1" applyAlignment="1">
      <alignment horizontal="center" vertical="center" wrapText="1"/>
    </xf>
    <xf numFmtId="0" fontId="83" fillId="14" borderId="41" xfId="0" applyFont="1" applyFill="1" applyBorder="1" applyAlignment="1">
      <alignment horizontal="center" vertical="center" wrapText="1"/>
    </xf>
    <xf numFmtId="0" fontId="91" fillId="14" borderId="22" xfId="0" applyFont="1" applyFill="1" applyBorder="1" applyAlignment="1">
      <alignment horizontal="center" vertical="center" wrapText="1"/>
    </xf>
    <xf numFmtId="0" fontId="92" fillId="14" borderId="38" xfId="0" applyFont="1" applyFill="1" applyBorder="1" applyAlignment="1">
      <alignment horizontal="center" vertical="center" wrapText="1"/>
    </xf>
    <xf numFmtId="0" fontId="92" fillId="14" borderId="2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4" fillId="8" borderId="45" xfId="0" applyNumberFormat="1" applyFont="1" applyFill="1" applyBorder="1" applyAlignment="1">
      <alignment horizontal="center" vertical="center"/>
    </xf>
    <xf numFmtId="0" fontId="4" fillId="8" borderId="46" xfId="0" applyFont="1" applyFill="1" applyBorder="1" applyAlignment="1">
      <alignment horizontal="center" vertical="center"/>
    </xf>
    <xf numFmtId="0" fontId="18" fillId="8" borderId="53" xfId="0" applyFont="1" applyFill="1" applyBorder="1" applyAlignment="1">
      <alignment horizontal="center" vertical="center"/>
    </xf>
    <xf numFmtId="0" fontId="82" fillId="5" borderId="0" xfId="2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9" fillId="8" borderId="43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90" fillId="5" borderId="3" xfId="0" applyFont="1" applyFill="1" applyBorder="1" applyAlignment="1">
      <alignment horizontal="left" wrapText="1"/>
    </xf>
    <xf numFmtId="2" fontId="82" fillId="17" borderId="64" xfId="0" applyNumberFormat="1" applyFont="1" applyFill="1" applyBorder="1" applyAlignment="1">
      <alignment horizontal="center" vertical="center" wrapText="1"/>
    </xf>
    <xf numFmtId="0" fontId="111" fillId="17" borderId="65" xfId="0" applyFont="1" applyFill="1" applyBorder="1" applyAlignment="1">
      <alignment horizontal="center" vertical="center" wrapText="1"/>
    </xf>
    <xf numFmtId="0" fontId="111" fillId="17" borderId="5" xfId="0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94" fillId="14" borderId="18" xfId="0" applyFont="1" applyFill="1" applyBorder="1" applyAlignment="1">
      <alignment horizontal="center" vertical="center" wrapText="1"/>
    </xf>
    <xf numFmtId="0" fontId="86" fillId="14" borderId="8" xfId="0" applyFont="1" applyFill="1" applyBorder="1" applyAlignment="1">
      <alignment horizontal="center" vertical="center" wrapText="1"/>
    </xf>
    <xf numFmtId="0" fontId="86" fillId="14" borderId="9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83" fillId="18" borderId="5" xfId="0" applyFont="1" applyFill="1" applyBorder="1" applyAlignment="1"/>
    <xf numFmtId="0" fontId="84" fillId="18" borderId="5" xfId="0" applyFont="1" applyFill="1" applyBorder="1" applyAlignment="1"/>
    <xf numFmtId="0" fontId="82" fillId="19" borderId="5" xfId="0" applyFont="1" applyFill="1" applyBorder="1" applyAlignment="1"/>
    <xf numFmtId="0" fontId="111" fillId="19" borderId="5" xfId="0" applyFont="1" applyFill="1" applyBorder="1" applyAlignment="1"/>
    <xf numFmtId="0" fontId="83" fillId="14" borderId="5" xfId="0" applyFont="1" applyFill="1" applyBorder="1" applyAlignment="1"/>
    <xf numFmtId="0" fontId="84" fillId="14" borderId="5" xfId="0" applyFont="1" applyFill="1" applyBorder="1" applyAlignment="1"/>
    <xf numFmtId="0" fontId="56" fillId="12" borderId="19" xfId="0" applyFont="1" applyFill="1" applyBorder="1" applyAlignment="1">
      <alignment horizontal="center" vertical="center" wrapText="1"/>
    </xf>
    <xf numFmtId="0" fontId="102" fillId="12" borderId="19" xfId="0" applyFont="1" applyFill="1" applyBorder="1" applyAlignment="1">
      <alignment horizontal="center" vertical="center" wrapText="1"/>
    </xf>
    <xf numFmtId="0" fontId="102" fillId="12" borderId="20" xfId="0" applyFont="1" applyFill="1" applyBorder="1" applyAlignment="1">
      <alignment horizontal="center" vertical="center" wrapText="1"/>
    </xf>
    <xf numFmtId="0" fontId="26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29" xfId="0" applyFont="1" applyFill="1" applyBorder="1" applyAlignment="1">
      <alignment wrapText="1"/>
    </xf>
    <xf numFmtId="0" fontId="79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9" xfId="0" applyBorder="1" applyAlignment="1">
      <alignment vertical="center"/>
    </xf>
    <xf numFmtId="0" fontId="1" fillId="8" borderId="3" xfId="0" applyFont="1" applyFill="1" applyBorder="1" applyAlignment="1"/>
    <xf numFmtId="2" fontId="5" fillId="0" borderId="3" xfId="0" applyNumberFormat="1" applyFont="1" applyFill="1" applyBorder="1" applyAlignment="1"/>
    <xf numFmtId="0" fontId="0" fillId="0" borderId="3" xfId="0" applyFill="1" applyBorder="1" applyAlignment="1"/>
    <xf numFmtId="2" fontId="5" fillId="0" borderId="3" xfId="0" applyNumberFormat="1" applyFont="1" applyBorder="1" applyAlignment="1"/>
    <xf numFmtId="0" fontId="0" fillId="0" borderId="3" xfId="0" applyBorder="1" applyAlignment="1"/>
    <xf numFmtId="2" fontId="0" fillId="8" borderId="3" xfId="0" applyNumberFormat="1" applyFill="1" applyBorder="1" applyAlignment="1"/>
    <xf numFmtId="2" fontId="0" fillId="5" borderId="3" xfId="0" applyNumberFormat="1" applyFill="1" applyBorder="1" applyAlignment="1"/>
    <xf numFmtId="2" fontId="17" fillId="5" borderId="13" xfId="0" applyNumberFormat="1" applyFont="1" applyFill="1" applyBorder="1" applyAlignment="1"/>
    <xf numFmtId="0" fontId="70" fillId="13" borderId="38" xfId="0" applyFont="1" applyFill="1" applyBorder="1" applyAlignment="1">
      <alignment horizontal="center" vertical="center" wrapText="1"/>
    </xf>
    <xf numFmtId="0" fontId="70" fillId="13" borderId="26" xfId="0" applyFont="1" applyFill="1" applyBorder="1" applyAlignment="1">
      <alignment horizontal="center" vertical="center" wrapText="1"/>
    </xf>
    <xf numFmtId="0" fontId="70" fillId="13" borderId="1" xfId="0" applyFont="1" applyFill="1" applyBorder="1" applyAlignment="1">
      <alignment horizontal="center" vertical="center" wrapText="1"/>
    </xf>
    <xf numFmtId="0" fontId="70" fillId="13" borderId="0" xfId="0" applyFont="1" applyFill="1" applyAlignment="1">
      <alignment horizontal="center" vertical="center" wrapText="1"/>
    </xf>
    <xf numFmtId="0" fontId="70" fillId="13" borderId="29" xfId="0" applyFont="1" applyFill="1" applyBorder="1" applyAlignment="1">
      <alignment horizontal="center" vertical="center" wrapText="1"/>
    </xf>
    <xf numFmtId="0" fontId="70" fillId="13" borderId="24" xfId="0" applyFont="1" applyFill="1" applyBorder="1" applyAlignment="1">
      <alignment horizontal="center" vertical="center" wrapText="1"/>
    </xf>
    <xf numFmtId="0" fontId="70" fillId="13" borderId="14" xfId="0" applyFont="1" applyFill="1" applyBorder="1" applyAlignment="1">
      <alignment horizontal="center" vertical="center" wrapText="1"/>
    </xf>
    <xf numFmtId="0" fontId="70" fillId="13" borderId="11" xfId="0" applyFont="1" applyFill="1" applyBorder="1" applyAlignment="1">
      <alignment horizontal="center" vertical="center" wrapText="1"/>
    </xf>
    <xf numFmtId="2" fontId="82" fillId="14" borderId="24" xfId="0" applyNumberFormat="1" applyFont="1" applyFill="1" applyBorder="1" applyAlignment="1">
      <alignment horizontal="center" vertical="center"/>
    </xf>
    <xf numFmtId="0" fontId="84" fillId="14" borderId="14" xfId="0" applyFont="1" applyFill="1" applyBorder="1" applyAlignment="1">
      <alignment horizontal="center" vertical="center"/>
    </xf>
    <xf numFmtId="0" fontId="84" fillId="14" borderId="11" xfId="0" applyFont="1" applyFill="1" applyBorder="1" applyAlignment="1">
      <alignment horizontal="center" vertical="center"/>
    </xf>
    <xf numFmtId="0" fontId="0" fillId="5" borderId="7" xfId="0" applyFill="1" applyBorder="1" applyAlignment="1"/>
    <xf numFmtId="0" fontId="1" fillId="5" borderId="5" xfId="0" applyFont="1" applyFill="1" applyBorder="1" applyAlignment="1"/>
    <xf numFmtId="0" fontId="10" fillId="10" borderId="0" xfId="0" applyFont="1" applyFill="1" applyBorder="1" applyAlignment="1"/>
    <xf numFmtId="0" fontId="10" fillId="10" borderId="0" xfId="0" applyFont="1" applyFill="1" applyAlignment="1"/>
    <xf numFmtId="2" fontId="5" fillId="7" borderId="13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18" fillId="5" borderId="3" xfId="0" applyFont="1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2" fontId="5" fillId="7" borderId="13" xfId="0" applyNumberFormat="1" applyFont="1" applyFill="1" applyBorder="1" applyAlignment="1"/>
    <xf numFmtId="2" fontId="17" fillId="5" borderId="13" xfId="0" applyNumberFormat="1" applyFont="1" applyFill="1" applyBorder="1" applyAlignment="1">
      <alignment wrapText="1"/>
    </xf>
    <xf numFmtId="0" fontId="39" fillId="5" borderId="2" xfId="0" applyFont="1" applyFill="1" applyBorder="1" applyAlignment="1">
      <alignment wrapText="1"/>
    </xf>
    <xf numFmtId="0" fontId="39" fillId="5" borderId="4" xfId="0" applyFont="1" applyFill="1" applyBorder="1" applyAlignment="1">
      <alignment wrapText="1"/>
    </xf>
    <xf numFmtId="2" fontId="90" fillId="8" borderId="3" xfId="0" applyNumberFormat="1" applyFont="1" applyFill="1" applyBorder="1" applyAlignment="1">
      <alignment wrapText="1"/>
    </xf>
    <xf numFmtId="0" fontId="89" fillId="8" borderId="3" xfId="0" applyFont="1" applyFill="1" applyBorder="1" applyAlignment="1">
      <alignment wrapText="1"/>
    </xf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5" fillId="7" borderId="19" xfId="0" applyFont="1" applyFill="1" applyBorder="1" applyAlignment="1"/>
    <xf numFmtId="0" fontId="0" fillId="7" borderId="19" xfId="0" applyFill="1" applyBorder="1" applyAlignment="1"/>
    <xf numFmtId="0" fontId="94" fillId="14" borderId="30" xfId="0" applyFont="1" applyFill="1" applyBorder="1" applyAlignment="1">
      <alignment horizontal="center" vertical="center" wrapText="1"/>
    </xf>
    <xf numFmtId="0" fontId="86" fillId="14" borderId="39" xfId="0" applyFont="1" applyFill="1" applyBorder="1" applyAlignment="1">
      <alignment horizontal="center" vertical="center" wrapText="1"/>
    </xf>
    <xf numFmtId="0" fontId="84" fillId="14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2" fontId="5" fillId="9" borderId="13" xfId="0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18" fillId="8" borderId="2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8E40"/>
      <color rgb="FF007635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jpeg"/><Relationship Id="rId58" Type="http://schemas.openxmlformats.org/officeDocument/2006/relationships/image" Target="../media/image57.png"/><Relationship Id="rId66" Type="http://schemas.openxmlformats.org/officeDocument/2006/relationships/image" Target="../media/image65.jpe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hyperlink" Target="http://www.jivi.com.ar/home.asp" TargetMode="External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jpe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70" Type="http://schemas.openxmlformats.org/officeDocument/2006/relationships/image" Target="../media/image6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jpe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450</xdr:row>
      <xdr:rowOff>28575</xdr:rowOff>
    </xdr:from>
    <xdr:to>
      <xdr:col>0</xdr:col>
      <xdr:colOff>285750</xdr:colOff>
      <xdr:row>450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463</xdr:row>
      <xdr:rowOff>0</xdr:rowOff>
    </xdr:from>
    <xdr:to>
      <xdr:col>0</xdr:col>
      <xdr:colOff>285750</xdr:colOff>
      <xdr:row>464</xdr:row>
      <xdr:rowOff>0</xdr:rowOff>
    </xdr:to>
    <xdr:pic>
      <xdr:nvPicPr>
        <xdr:cNvPr id="274605" name="Picture 795" descr="BUZO">
          <a:extLst>
            <a:ext uri="{FF2B5EF4-FFF2-40B4-BE49-F238E27FC236}">
              <a16:creationId xmlns:a16="http://schemas.microsoft.com/office/drawing/2014/main" id="{919C25B2-4A3F-4D83-B17F-3537DFF6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345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678</xdr:row>
      <xdr:rowOff>28575</xdr:rowOff>
    </xdr:from>
    <xdr:to>
      <xdr:col>1</xdr:col>
      <xdr:colOff>295275</xdr:colOff>
      <xdr:row>678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106</xdr:row>
      <xdr:rowOff>19050</xdr:rowOff>
    </xdr:from>
    <xdr:to>
      <xdr:col>0</xdr:col>
      <xdr:colOff>295275</xdr:colOff>
      <xdr:row>106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676</xdr:row>
      <xdr:rowOff>19050</xdr:rowOff>
    </xdr:from>
    <xdr:to>
      <xdr:col>1</xdr:col>
      <xdr:colOff>180975</xdr:colOff>
      <xdr:row>676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465</xdr:row>
      <xdr:rowOff>19050</xdr:rowOff>
    </xdr:from>
    <xdr:to>
      <xdr:col>0</xdr:col>
      <xdr:colOff>285750</xdr:colOff>
      <xdr:row>466</xdr:row>
      <xdr:rowOff>19050</xdr:rowOff>
    </xdr:to>
    <xdr:pic>
      <xdr:nvPicPr>
        <xdr:cNvPr id="274620" name="Picture 827" descr="BUZO">
          <a:extLst>
            <a:ext uri="{FF2B5EF4-FFF2-40B4-BE49-F238E27FC236}">
              <a16:creationId xmlns:a16="http://schemas.microsoft.com/office/drawing/2014/main" id="{B6EB355B-B77C-4526-83E2-47B16DEC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466</xdr:row>
      <xdr:rowOff>19050</xdr:rowOff>
    </xdr:from>
    <xdr:to>
      <xdr:col>0</xdr:col>
      <xdr:colOff>285750</xdr:colOff>
      <xdr:row>467</xdr:row>
      <xdr:rowOff>0</xdr:rowOff>
    </xdr:to>
    <xdr:pic>
      <xdr:nvPicPr>
        <xdr:cNvPr id="274623" name="Picture 828" descr="BUZO">
          <a:extLst>
            <a:ext uri="{FF2B5EF4-FFF2-40B4-BE49-F238E27FC236}">
              <a16:creationId xmlns:a16="http://schemas.microsoft.com/office/drawing/2014/main" id="{591ECD8A-95AE-4406-BB66-D7430858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451</xdr:row>
      <xdr:rowOff>28575</xdr:rowOff>
    </xdr:from>
    <xdr:to>
      <xdr:col>0</xdr:col>
      <xdr:colOff>285750</xdr:colOff>
      <xdr:row>451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465</xdr:row>
      <xdr:rowOff>19050</xdr:rowOff>
    </xdr:from>
    <xdr:to>
      <xdr:col>0</xdr:col>
      <xdr:colOff>285750</xdr:colOff>
      <xdr:row>466</xdr:row>
      <xdr:rowOff>19050</xdr:rowOff>
    </xdr:to>
    <xdr:pic>
      <xdr:nvPicPr>
        <xdr:cNvPr id="274630" name="Picture 827" descr="BUZO">
          <a:extLst>
            <a:ext uri="{FF2B5EF4-FFF2-40B4-BE49-F238E27FC236}">
              <a16:creationId xmlns:a16="http://schemas.microsoft.com/office/drawing/2014/main" id="{8A6C6D46-560E-4BCC-A5C7-485A892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133350</xdr:colOff>
      <xdr:row>465</xdr:row>
      <xdr:rowOff>19050</xdr:rowOff>
    </xdr:from>
    <xdr:to>
      <xdr:col>0</xdr:col>
      <xdr:colOff>285750</xdr:colOff>
      <xdr:row>466</xdr:row>
      <xdr:rowOff>19050</xdr:rowOff>
    </xdr:to>
    <xdr:pic>
      <xdr:nvPicPr>
        <xdr:cNvPr id="274634" name="Picture 827" descr="BUZO">
          <a:extLst>
            <a:ext uri="{FF2B5EF4-FFF2-40B4-BE49-F238E27FC236}">
              <a16:creationId xmlns:a16="http://schemas.microsoft.com/office/drawing/2014/main" id="{C8A4B7D2-8FB8-4E67-94A7-ACF0176F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466</xdr:row>
      <xdr:rowOff>19050</xdr:rowOff>
    </xdr:from>
    <xdr:to>
      <xdr:col>0</xdr:col>
      <xdr:colOff>285750</xdr:colOff>
      <xdr:row>467</xdr:row>
      <xdr:rowOff>0</xdr:rowOff>
    </xdr:to>
    <xdr:pic>
      <xdr:nvPicPr>
        <xdr:cNvPr id="274635" name="Picture 828" descr="BUZO">
          <a:extLst>
            <a:ext uri="{FF2B5EF4-FFF2-40B4-BE49-F238E27FC236}">
              <a16:creationId xmlns:a16="http://schemas.microsoft.com/office/drawing/2014/main" id="{9FE5078C-5AC1-445C-8844-3AD84700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454</xdr:row>
      <xdr:rowOff>19050</xdr:rowOff>
    </xdr:from>
    <xdr:to>
      <xdr:col>0</xdr:col>
      <xdr:colOff>285750</xdr:colOff>
      <xdr:row>454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455</xdr:row>
      <xdr:rowOff>19050</xdr:rowOff>
    </xdr:from>
    <xdr:to>
      <xdr:col>0</xdr:col>
      <xdr:colOff>285750</xdr:colOff>
      <xdr:row>455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453</xdr:row>
      <xdr:rowOff>28575</xdr:rowOff>
    </xdr:from>
    <xdr:to>
      <xdr:col>0</xdr:col>
      <xdr:colOff>285750</xdr:colOff>
      <xdr:row>453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657</xdr:row>
      <xdr:rowOff>19050</xdr:rowOff>
    </xdr:from>
    <xdr:to>
      <xdr:col>1</xdr:col>
      <xdr:colOff>866775</xdr:colOff>
      <xdr:row>658</xdr:row>
      <xdr:rowOff>47625</xdr:rowOff>
    </xdr:to>
    <xdr:pic>
      <xdr:nvPicPr>
        <xdr:cNvPr id="274653" name="Picture 1165" descr="BUZO">
          <a:extLst>
            <a:ext uri="{FF2B5EF4-FFF2-40B4-BE49-F238E27FC236}">
              <a16:creationId xmlns:a16="http://schemas.microsoft.com/office/drawing/2014/main" id="{7C60CB66-08D0-4691-981B-16D30C64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5166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658</xdr:row>
      <xdr:rowOff>95250</xdr:rowOff>
    </xdr:from>
    <xdr:to>
      <xdr:col>1</xdr:col>
      <xdr:colOff>904875</xdr:colOff>
      <xdr:row>659</xdr:row>
      <xdr:rowOff>133350</xdr:rowOff>
    </xdr:to>
    <xdr:pic>
      <xdr:nvPicPr>
        <xdr:cNvPr id="274656" name="Picture 1168" descr="remera">
          <a:extLst>
            <a:ext uri="{FF2B5EF4-FFF2-40B4-BE49-F238E27FC236}">
              <a16:creationId xmlns:a16="http://schemas.microsoft.com/office/drawing/2014/main" id="{115E9A9B-0E8A-40FF-99CE-41048918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9746932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658</xdr:row>
      <xdr:rowOff>85725</xdr:rowOff>
    </xdr:from>
    <xdr:to>
      <xdr:col>1</xdr:col>
      <xdr:colOff>590550</xdr:colOff>
      <xdr:row>659</xdr:row>
      <xdr:rowOff>133350</xdr:rowOff>
    </xdr:to>
    <xdr:pic>
      <xdr:nvPicPr>
        <xdr:cNvPr id="274657" name="Picture 1169" descr="BUZO">
          <a:extLst>
            <a:ext uri="{FF2B5EF4-FFF2-40B4-BE49-F238E27FC236}">
              <a16:creationId xmlns:a16="http://schemas.microsoft.com/office/drawing/2014/main" id="{A49FAA71-9124-4BE8-BCE4-B14E8D02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74598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118</xdr:row>
      <xdr:rowOff>0</xdr:rowOff>
    </xdr:from>
    <xdr:to>
      <xdr:col>38</xdr:col>
      <xdr:colOff>371475</xdr:colOff>
      <xdr:row>121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111</xdr:row>
      <xdr:rowOff>28575</xdr:rowOff>
    </xdr:from>
    <xdr:to>
      <xdr:col>0</xdr:col>
      <xdr:colOff>295275</xdr:colOff>
      <xdr:row>111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112</xdr:row>
      <xdr:rowOff>28575</xdr:rowOff>
    </xdr:from>
    <xdr:to>
      <xdr:col>0</xdr:col>
      <xdr:colOff>295275</xdr:colOff>
      <xdr:row>113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656</xdr:row>
      <xdr:rowOff>0</xdr:rowOff>
    </xdr:from>
    <xdr:to>
      <xdr:col>1</xdr:col>
      <xdr:colOff>876300</xdr:colOff>
      <xdr:row>657</xdr:row>
      <xdr:rowOff>28576</xdr:rowOff>
    </xdr:to>
    <xdr:pic>
      <xdr:nvPicPr>
        <xdr:cNvPr id="274687" name="Picture 801" descr="remera">
          <a:extLst>
            <a:ext uri="{FF2B5EF4-FFF2-40B4-BE49-F238E27FC236}">
              <a16:creationId xmlns:a16="http://schemas.microsoft.com/office/drawing/2014/main" id="{D65C7FE4-F57E-455D-BFE9-5E797C02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9667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61</xdr:row>
      <xdr:rowOff>19050</xdr:rowOff>
    </xdr:from>
    <xdr:to>
      <xdr:col>0</xdr:col>
      <xdr:colOff>295275</xdr:colOff>
      <xdr:row>61</xdr:row>
      <xdr:rowOff>142875</xdr:rowOff>
    </xdr:to>
    <xdr:pic>
      <xdr:nvPicPr>
        <xdr:cNvPr id="274690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69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666</xdr:row>
      <xdr:rowOff>76200</xdr:rowOff>
    </xdr:from>
    <xdr:to>
      <xdr:col>8</xdr:col>
      <xdr:colOff>353861</xdr:colOff>
      <xdr:row>672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680</xdr:row>
      <xdr:rowOff>38100</xdr:rowOff>
    </xdr:from>
    <xdr:to>
      <xdr:col>1</xdr:col>
      <xdr:colOff>295275</xdr:colOff>
      <xdr:row>680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115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466</xdr:row>
      <xdr:rowOff>19050</xdr:rowOff>
    </xdr:from>
    <xdr:to>
      <xdr:col>0</xdr:col>
      <xdr:colOff>285750</xdr:colOff>
      <xdr:row>467</xdr:row>
      <xdr:rowOff>0</xdr:rowOff>
    </xdr:to>
    <xdr:pic>
      <xdr:nvPicPr>
        <xdr:cNvPr id="274706" name="Picture 828" descr="BUZO">
          <a:extLst>
            <a:ext uri="{FF2B5EF4-FFF2-40B4-BE49-F238E27FC236}">
              <a16:creationId xmlns:a16="http://schemas.microsoft.com/office/drawing/2014/main" id="{C88BD37E-01A5-4BDC-8018-80A03997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679</xdr:row>
      <xdr:rowOff>38100</xdr:rowOff>
    </xdr:from>
    <xdr:to>
      <xdr:col>1</xdr:col>
      <xdr:colOff>295275</xdr:colOff>
      <xdr:row>679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452</xdr:row>
      <xdr:rowOff>28575</xdr:rowOff>
    </xdr:from>
    <xdr:to>
      <xdr:col>0</xdr:col>
      <xdr:colOff>285750</xdr:colOff>
      <xdr:row>452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28575</xdr:rowOff>
    </xdr:from>
    <xdr:to>
      <xdr:col>1</xdr:col>
      <xdr:colOff>0</xdr:colOff>
      <xdr:row>53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655</xdr:row>
      <xdr:rowOff>9525</xdr:rowOff>
    </xdr:from>
    <xdr:to>
      <xdr:col>1</xdr:col>
      <xdr:colOff>876300</xdr:colOff>
      <xdr:row>656</xdr:row>
      <xdr:rowOff>38099</xdr:rowOff>
    </xdr:to>
    <xdr:pic>
      <xdr:nvPicPr>
        <xdr:cNvPr id="274718" name="Picture 801" descr="remera">
          <a:extLst>
            <a:ext uri="{FF2B5EF4-FFF2-40B4-BE49-F238E27FC236}">
              <a16:creationId xmlns:a16="http://schemas.microsoft.com/office/drawing/2014/main" id="{F9E9EEDD-53F2-4432-A693-94EE7C8F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7572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462</xdr:row>
      <xdr:rowOff>0</xdr:rowOff>
    </xdr:from>
    <xdr:to>
      <xdr:col>0</xdr:col>
      <xdr:colOff>285750</xdr:colOff>
      <xdr:row>462</xdr:row>
      <xdr:rowOff>149086</xdr:rowOff>
    </xdr:to>
    <xdr:pic>
      <xdr:nvPicPr>
        <xdr:cNvPr id="274719" name="Picture 794" descr="BUZO">
          <a:extLst>
            <a:ext uri="{FF2B5EF4-FFF2-40B4-BE49-F238E27FC236}">
              <a16:creationId xmlns:a16="http://schemas.microsoft.com/office/drawing/2014/main" id="{C6C415C3-FEF3-41B3-9A10-DEAC4DCF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9726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602</xdr:row>
      <xdr:rowOff>19050</xdr:rowOff>
    </xdr:from>
    <xdr:to>
      <xdr:col>1</xdr:col>
      <xdr:colOff>0</xdr:colOff>
      <xdr:row>602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603</xdr:row>
      <xdr:rowOff>19050</xdr:rowOff>
    </xdr:from>
    <xdr:to>
      <xdr:col>1</xdr:col>
      <xdr:colOff>0</xdr:colOff>
      <xdr:row>603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604</xdr:row>
      <xdr:rowOff>19050</xdr:rowOff>
    </xdr:from>
    <xdr:to>
      <xdr:col>1</xdr:col>
      <xdr:colOff>0</xdr:colOff>
      <xdr:row>604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694</xdr:row>
      <xdr:rowOff>36168</xdr:rowOff>
    </xdr:from>
    <xdr:to>
      <xdr:col>22</xdr:col>
      <xdr:colOff>273705</xdr:colOff>
      <xdr:row>694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343</xdr:row>
      <xdr:rowOff>28575</xdr:rowOff>
    </xdr:from>
    <xdr:to>
      <xdr:col>1</xdr:col>
      <xdr:colOff>0</xdr:colOff>
      <xdr:row>343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28575</xdr:rowOff>
    </xdr:from>
    <xdr:to>
      <xdr:col>1</xdr:col>
      <xdr:colOff>0</xdr:colOff>
      <xdr:row>215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</xdr:row>
      <xdr:rowOff>28575</xdr:rowOff>
    </xdr:from>
    <xdr:to>
      <xdr:col>1</xdr:col>
      <xdr:colOff>0</xdr:colOff>
      <xdr:row>97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423</xdr:row>
      <xdr:rowOff>28575</xdr:rowOff>
    </xdr:from>
    <xdr:to>
      <xdr:col>1</xdr:col>
      <xdr:colOff>0</xdr:colOff>
      <xdr:row>423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438</xdr:row>
      <xdr:rowOff>28575</xdr:rowOff>
    </xdr:from>
    <xdr:to>
      <xdr:col>1</xdr:col>
      <xdr:colOff>0</xdr:colOff>
      <xdr:row>438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274793" name="286 Imagen" descr="tampo icono.png">
          <a:extLst>
            <a:ext uri="{FF2B5EF4-FFF2-40B4-BE49-F238E27FC236}">
              <a16:creationId xmlns:a16="http://schemas.microsoft.com/office/drawing/2014/main" id="{94D9211F-A8A3-465A-9197-6BC9552E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123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142875</xdr:rowOff>
    </xdr:to>
    <xdr:pic>
      <xdr:nvPicPr>
        <xdr:cNvPr id="274794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580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144555</xdr:rowOff>
    </xdr:to>
    <xdr:pic>
      <xdr:nvPicPr>
        <xdr:cNvPr id="274839" name="345 Imagen" descr="tampo icono.png">
          <a:extLst>
            <a:ext uri="{FF2B5EF4-FFF2-40B4-BE49-F238E27FC236}">
              <a16:creationId xmlns:a16="http://schemas.microsoft.com/office/drawing/2014/main" id="{F06AC77D-30BE-42D9-807D-F1102D02A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203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468</xdr:row>
      <xdr:rowOff>19050</xdr:rowOff>
    </xdr:from>
    <xdr:to>
      <xdr:col>24</xdr:col>
      <xdr:colOff>47625</xdr:colOff>
      <xdr:row>468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464</xdr:row>
      <xdr:rowOff>19050</xdr:rowOff>
    </xdr:from>
    <xdr:to>
      <xdr:col>24</xdr:col>
      <xdr:colOff>47625</xdr:colOff>
      <xdr:row>464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566</xdr:row>
      <xdr:rowOff>19050</xdr:rowOff>
    </xdr:from>
    <xdr:to>
      <xdr:col>24</xdr:col>
      <xdr:colOff>47625</xdr:colOff>
      <xdr:row>566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573</xdr:row>
      <xdr:rowOff>20292</xdr:rowOff>
    </xdr:from>
    <xdr:to>
      <xdr:col>24</xdr:col>
      <xdr:colOff>47625</xdr:colOff>
      <xdr:row>573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20292</xdr:rowOff>
    </xdr:from>
    <xdr:to>
      <xdr:col>24</xdr:col>
      <xdr:colOff>47625</xdr:colOff>
      <xdr:row>574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19050</xdr:rowOff>
    </xdr:from>
    <xdr:to>
      <xdr:col>24</xdr:col>
      <xdr:colOff>47625</xdr:colOff>
      <xdr:row>575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9525</xdr:rowOff>
    </xdr:from>
    <xdr:to>
      <xdr:col>24</xdr:col>
      <xdr:colOff>47625</xdr:colOff>
      <xdr:row>585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274996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55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274997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39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144555</xdr:rowOff>
    </xdr:to>
    <xdr:pic>
      <xdr:nvPicPr>
        <xdr:cNvPr id="275020" name="535 Imagen" descr="tampo icono.png">
          <a:extLst>
            <a:ext uri="{FF2B5EF4-FFF2-40B4-BE49-F238E27FC236}">
              <a16:creationId xmlns:a16="http://schemas.microsoft.com/office/drawing/2014/main" id="{A2289F47-8E28-4354-A2BA-91B5A5FC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454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275029" name="544 Imagen" descr="tampo icono.png">
          <a:extLst>
            <a:ext uri="{FF2B5EF4-FFF2-40B4-BE49-F238E27FC236}">
              <a16:creationId xmlns:a16="http://schemas.microsoft.com/office/drawing/2014/main" id="{84AE19EC-CDD9-4924-B383-1ACDB11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467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275041" name="556 Imagen" descr="tampo icono.png">
          <a:extLst>
            <a:ext uri="{FF2B5EF4-FFF2-40B4-BE49-F238E27FC236}">
              <a16:creationId xmlns:a16="http://schemas.microsoft.com/office/drawing/2014/main" id="{431F70F7-7A7F-4A8F-9184-41A5480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345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276</xdr:row>
      <xdr:rowOff>19050</xdr:rowOff>
    </xdr:from>
    <xdr:to>
      <xdr:col>24</xdr:col>
      <xdr:colOff>47625</xdr:colOff>
      <xdr:row>276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275089" name="616 Imagen" descr="seri icono.png">
          <a:extLst>
            <a:ext uri="{FF2B5EF4-FFF2-40B4-BE49-F238E27FC236}">
              <a16:creationId xmlns:a16="http://schemas.microsoft.com/office/drawing/2014/main" id="{D19BFB6E-D82F-49D8-AC74-DC750457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275090" name="617 Imagen" descr="seri icono.png">
          <a:extLst>
            <a:ext uri="{FF2B5EF4-FFF2-40B4-BE49-F238E27FC236}">
              <a16:creationId xmlns:a16="http://schemas.microsoft.com/office/drawing/2014/main" id="{F8C03BE7-D908-4C70-B7C9-EDD61948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255</xdr:row>
      <xdr:rowOff>19050</xdr:rowOff>
    </xdr:from>
    <xdr:to>
      <xdr:col>24</xdr:col>
      <xdr:colOff>47625</xdr:colOff>
      <xdr:row>255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250</xdr:row>
      <xdr:rowOff>19050</xdr:rowOff>
    </xdr:from>
    <xdr:to>
      <xdr:col>24</xdr:col>
      <xdr:colOff>47625</xdr:colOff>
      <xdr:row>250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142875</xdr:rowOff>
    </xdr:to>
    <xdr:pic>
      <xdr:nvPicPr>
        <xdr:cNvPr id="27511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253</xdr:row>
      <xdr:rowOff>19050</xdr:rowOff>
    </xdr:from>
    <xdr:to>
      <xdr:col>24</xdr:col>
      <xdr:colOff>47625</xdr:colOff>
      <xdr:row>253</xdr:row>
      <xdr:rowOff>142875</xdr:rowOff>
    </xdr:to>
    <xdr:pic>
      <xdr:nvPicPr>
        <xdr:cNvPr id="275118" name="645 Imagen" descr="seri icono.png">
          <a:extLst>
            <a:ext uri="{FF2B5EF4-FFF2-40B4-BE49-F238E27FC236}">
              <a16:creationId xmlns:a16="http://schemas.microsoft.com/office/drawing/2014/main" id="{9567E3E9-D199-4923-9663-2E46D56D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253</xdr:row>
      <xdr:rowOff>19050</xdr:rowOff>
    </xdr:from>
    <xdr:to>
      <xdr:col>26</xdr:col>
      <xdr:colOff>9524</xdr:colOff>
      <xdr:row>253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252</xdr:row>
      <xdr:rowOff>19050</xdr:rowOff>
    </xdr:from>
    <xdr:to>
      <xdr:col>26</xdr:col>
      <xdr:colOff>9524</xdr:colOff>
      <xdr:row>252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275199" name="756 Imagen" descr="seri icono.png">
          <a:extLst>
            <a:ext uri="{FF2B5EF4-FFF2-40B4-BE49-F238E27FC236}">
              <a16:creationId xmlns:a16="http://schemas.microsoft.com/office/drawing/2014/main" id="{EFA4186C-503C-4DBF-AB76-A435F429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275225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2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179</xdr:row>
      <xdr:rowOff>19050</xdr:rowOff>
    </xdr:from>
    <xdr:to>
      <xdr:col>26</xdr:col>
      <xdr:colOff>9524</xdr:colOff>
      <xdr:row>179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3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151</xdr:row>
      <xdr:rowOff>19050</xdr:rowOff>
    </xdr:from>
    <xdr:to>
      <xdr:col>9</xdr:col>
      <xdr:colOff>9526</xdr:colOff>
      <xdr:row>151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153</xdr:row>
      <xdr:rowOff>19050</xdr:rowOff>
    </xdr:from>
    <xdr:to>
      <xdr:col>9</xdr:col>
      <xdr:colOff>9526</xdr:colOff>
      <xdr:row>153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134</xdr:row>
      <xdr:rowOff>19050</xdr:rowOff>
    </xdr:from>
    <xdr:to>
      <xdr:col>26</xdr:col>
      <xdr:colOff>9524</xdr:colOff>
      <xdr:row>134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134</xdr:row>
      <xdr:rowOff>19050</xdr:rowOff>
    </xdr:from>
    <xdr:to>
      <xdr:col>26</xdr:col>
      <xdr:colOff>447675</xdr:colOff>
      <xdr:row>134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135</xdr:row>
      <xdr:rowOff>19050</xdr:rowOff>
    </xdr:from>
    <xdr:to>
      <xdr:col>26</xdr:col>
      <xdr:colOff>447675</xdr:colOff>
      <xdr:row>135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135</xdr:row>
      <xdr:rowOff>19050</xdr:rowOff>
    </xdr:from>
    <xdr:to>
      <xdr:col>26</xdr:col>
      <xdr:colOff>9524</xdr:colOff>
      <xdr:row>135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124</xdr:row>
      <xdr:rowOff>19050</xdr:rowOff>
    </xdr:from>
    <xdr:to>
      <xdr:col>24</xdr:col>
      <xdr:colOff>47625</xdr:colOff>
      <xdr:row>124</xdr:row>
      <xdr:rowOff>142875</xdr:rowOff>
    </xdr:to>
    <xdr:pic>
      <xdr:nvPicPr>
        <xdr:cNvPr id="27529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112</xdr:row>
      <xdr:rowOff>19050</xdr:rowOff>
    </xdr:from>
    <xdr:to>
      <xdr:col>24</xdr:col>
      <xdr:colOff>47625</xdr:colOff>
      <xdr:row>112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107</xdr:row>
      <xdr:rowOff>19050</xdr:rowOff>
    </xdr:from>
    <xdr:to>
      <xdr:col>25</xdr:col>
      <xdr:colOff>380999</xdr:colOff>
      <xdr:row>107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109</xdr:row>
      <xdr:rowOff>19050</xdr:rowOff>
    </xdr:from>
    <xdr:to>
      <xdr:col>25</xdr:col>
      <xdr:colOff>380999</xdr:colOff>
      <xdr:row>109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120</xdr:row>
      <xdr:rowOff>19050</xdr:rowOff>
    </xdr:from>
    <xdr:to>
      <xdr:col>26</xdr:col>
      <xdr:colOff>9524</xdr:colOff>
      <xdr:row>120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4" name="922 Imagen" descr="seri icono.png">
          <a:extLst>
            <a:ext uri="{FF2B5EF4-FFF2-40B4-BE49-F238E27FC236}">
              <a16:creationId xmlns:a16="http://schemas.microsoft.com/office/drawing/2014/main" id="{AE7ED72A-45FD-4CCD-9171-73903B63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</xdr:row>
      <xdr:rowOff>19050</xdr:rowOff>
    </xdr:from>
    <xdr:to>
      <xdr:col>24</xdr:col>
      <xdr:colOff>47625</xdr:colOff>
      <xdr:row>61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</xdr:row>
      <xdr:rowOff>19050</xdr:rowOff>
    </xdr:from>
    <xdr:to>
      <xdr:col>24</xdr:col>
      <xdr:colOff>47625</xdr:colOff>
      <xdr:row>61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103</xdr:row>
      <xdr:rowOff>19050</xdr:rowOff>
    </xdr:from>
    <xdr:to>
      <xdr:col>26</xdr:col>
      <xdr:colOff>9524</xdr:colOff>
      <xdr:row>103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1" name="990 Imagen" descr="seri icono.png">
          <a:extLst>
            <a:ext uri="{FF2B5EF4-FFF2-40B4-BE49-F238E27FC236}">
              <a16:creationId xmlns:a16="http://schemas.microsoft.com/office/drawing/2014/main" id="{BF84F0CC-252D-4FC6-AD82-A22B5BB2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2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</xdr:row>
      <xdr:rowOff>19050</xdr:rowOff>
    </xdr:from>
    <xdr:to>
      <xdr:col>24</xdr:col>
      <xdr:colOff>419100</xdr:colOff>
      <xdr:row>39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</xdr:row>
      <xdr:rowOff>19050</xdr:rowOff>
    </xdr:from>
    <xdr:to>
      <xdr:col>24</xdr:col>
      <xdr:colOff>419100</xdr:colOff>
      <xdr:row>44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419100</xdr:colOff>
      <xdr:row>50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409575</xdr:colOff>
      <xdr:row>35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94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</xdr:row>
      <xdr:rowOff>19050</xdr:rowOff>
    </xdr:from>
    <xdr:to>
      <xdr:col>24</xdr:col>
      <xdr:colOff>47625</xdr:colOff>
      <xdr:row>21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275434" name="1058 Imagen" descr="seri icono.png">
          <a:extLst>
            <a:ext uri="{FF2B5EF4-FFF2-40B4-BE49-F238E27FC236}">
              <a16:creationId xmlns:a16="http://schemas.microsoft.com/office/drawing/2014/main" id="{708BC922-487D-485F-A521-97561C7DB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464</xdr:row>
      <xdr:rowOff>19050</xdr:rowOff>
    </xdr:from>
    <xdr:to>
      <xdr:col>0</xdr:col>
      <xdr:colOff>161925</xdr:colOff>
      <xdr:row>465</xdr:row>
      <xdr:rowOff>0</xdr:rowOff>
    </xdr:to>
    <xdr:pic>
      <xdr:nvPicPr>
        <xdr:cNvPr id="275455" name="Picture 837" descr="matriz1">
          <a:extLst>
            <a:ext uri="{FF2B5EF4-FFF2-40B4-BE49-F238E27FC236}">
              <a16:creationId xmlns:a16="http://schemas.microsoft.com/office/drawing/2014/main" id="{17F7BF5E-3EFD-4F39-9E8C-080F6396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6394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</xdr:row>
      <xdr:rowOff>19050</xdr:rowOff>
    </xdr:from>
    <xdr:to>
      <xdr:col>10</xdr:col>
      <xdr:colOff>930</xdr:colOff>
      <xdr:row>72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275507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28575</xdr:rowOff>
    </xdr:from>
    <xdr:to>
      <xdr:col>1</xdr:col>
      <xdr:colOff>0</xdr:colOff>
      <xdr:row>54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568</xdr:row>
      <xdr:rowOff>19050</xdr:rowOff>
    </xdr:from>
    <xdr:to>
      <xdr:col>24</xdr:col>
      <xdr:colOff>47625</xdr:colOff>
      <xdr:row>568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569</xdr:row>
      <xdr:rowOff>19050</xdr:rowOff>
    </xdr:from>
    <xdr:to>
      <xdr:col>24</xdr:col>
      <xdr:colOff>47625</xdr:colOff>
      <xdr:row>569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307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</xdr:row>
      <xdr:rowOff>19050</xdr:rowOff>
    </xdr:from>
    <xdr:to>
      <xdr:col>24</xdr:col>
      <xdr:colOff>47625</xdr:colOff>
      <xdr:row>29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0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70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95</xdr:row>
      <xdr:rowOff>19050</xdr:rowOff>
    </xdr:from>
    <xdr:to>
      <xdr:col>24</xdr:col>
      <xdr:colOff>47625</xdr:colOff>
      <xdr:row>95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570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571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</xdr:row>
      <xdr:rowOff>19050</xdr:rowOff>
    </xdr:from>
    <xdr:to>
      <xdr:col>24</xdr:col>
      <xdr:colOff>47625</xdr:colOff>
      <xdr:row>13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347</xdr:row>
      <xdr:rowOff>28575</xdr:rowOff>
    </xdr:from>
    <xdr:to>
      <xdr:col>1</xdr:col>
      <xdr:colOff>0</xdr:colOff>
      <xdr:row>347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899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1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561</xdr:row>
      <xdr:rowOff>19050</xdr:rowOff>
    </xdr:from>
    <xdr:to>
      <xdr:col>24</xdr:col>
      <xdr:colOff>47625</xdr:colOff>
      <xdr:row>561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562</xdr:row>
      <xdr:rowOff>19050</xdr:rowOff>
    </xdr:from>
    <xdr:to>
      <xdr:col>24</xdr:col>
      <xdr:colOff>47625</xdr:colOff>
      <xdr:row>562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28575</xdr:rowOff>
    </xdr:from>
    <xdr:to>
      <xdr:col>1</xdr:col>
      <xdr:colOff>0</xdr:colOff>
      <xdr:row>60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91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9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929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0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886" name="566 Imagen" descr="tampo icono.png">
          <a:extLst>
            <a:ext uri="{FF2B5EF4-FFF2-40B4-BE49-F238E27FC236}">
              <a16:creationId xmlns:a16="http://schemas.microsoft.com/office/drawing/2014/main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389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219</xdr:row>
      <xdr:rowOff>19050</xdr:rowOff>
    </xdr:from>
    <xdr:to>
      <xdr:col>26</xdr:col>
      <xdr:colOff>9524</xdr:colOff>
      <xdr:row>219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848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47625</xdr:colOff>
      <xdr:row>301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47625</xdr:colOff>
      <xdr:row>302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00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3016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00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9392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507</xdr:row>
      <xdr:rowOff>19050</xdr:rowOff>
    </xdr:from>
    <xdr:to>
      <xdr:col>24</xdr:col>
      <xdr:colOff>48389</xdr:colOff>
      <xdr:row>507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502</xdr:row>
      <xdr:rowOff>19050</xdr:rowOff>
    </xdr:from>
    <xdr:to>
      <xdr:col>24</xdr:col>
      <xdr:colOff>48389</xdr:colOff>
      <xdr:row>502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499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510</xdr:row>
      <xdr:rowOff>19050</xdr:rowOff>
    </xdr:from>
    <xdr:to>
      <xdr:col>24</xdr:col>
      <xdr:colOff>47625</xdr:colOff>
      <xdr:row>510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122</xdr:row>
      <xdr:rowOff>28575</xdr:rowOff>
    </xdr:from>
    <xdr:ext cx="342900" cy="104775"/>
    <xdr:pic>
      <xdr:nvPicPr>
        <xdr:cNvPr id="83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5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90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9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12826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572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54</xdr:row>
      <xdr:rowOff>19050</xdr:rowOff>
    </xdr:from>
    <xdr:to>
      <xdr:col>13</xdr:col>
      <xdr:colOff>9524</xdr:colOff>
      <xdr:row>54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92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212</xdr:row>
      <xdr:rowOff>19050</xdr:rowOff>
    </xdr:from>
    <xdr:to>
      <xdr:col>10</xdr:col>
      <xdr:colOff>1</xdr:colOff>
      <xdr:row>212</xdr:row>
      <xdr:rowOff>142875</xdr:rowOff>
    </xdr:to>
    <xdr:pic>
      <xdr:nvPicPr>
        <xdr:cNvPr id="109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573</xdr:row>
      <xdr:rowOff>19050</xdr:rowOff>
    </xdr:from>
    <xdr:to>
      <xdr:col>10</xdr:col>
      <xdr:colOff>1</xdr:colOff>
      <xdr:row>573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574</xdr:row>
      <xdr:rowOff>19050</xdr:rowOff>
    </xdr:from>
    <xdr:to>
      <xdr:col>10</xdr:col>
      <xdr:colOff>1</xdr:colOff>
      <xdr:row>574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89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32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93</xdr:row>
      <xdr:rowOff>19050</xdr:rowOff>
    </xdr:from>
    <xdr:to>
      <xdr:col>24</xdr:col>
      <xdr:colOff>38100</xdr:colOff>
      <xdr:row>93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19050</xdr:rowOff>
    </xdr:from>
    <xdr:to>
      <xdr:col>1</xdr:col>
      <xdr:colOff>0</xdr:colOff>
      <xdr:row>95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624</xdr:row>
      <xdr:rowOff>19050</xdr:rowOff>
    </xdr:from>
    <xdr:to>
      <xdr:col>10</xdr:col>
      <xdr:colOff>1</xdr:colOff>
      <xdr:row>624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14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624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205</xdr:row>
      <xdr:rowOff>28575</xdr:rowOff>
    </xdr:from>
    <xdr:to>
      <xdr:col>1</xdr:col>
      <xdr:colOff>0</xdr:colOff>
      <xdr:row>205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464</xdr:row>
      <xdr:rowOff>19050</xdr:rowOff>
    </xdr:from>
    <xdr:ext cx="133350" cy="133350"/>
    <xdr:pic>
      <xdr:nvPicPr>
        <xdr:cNvPr id="828" name="Picture 1093" descr="pesos">
          <a:extLst>
            <a:ext uri="{FF2B5EF4-FFF2-40B4-BE49-F238E27FC236}">
              <a16:creationId xmlns:a16="http://schemas.microsoft.com/office/drawing/2014/main" id="{C796B196-084C-4BD3-8B53-EC846767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057125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204</xdr:row>
      <xdr:rowOff>19050</xdr:rowOff>
    </xdr:from>
    <xdr:to>
      <xdr:col>10</xdr:col>
      <xdr:colOff>1</xdr:colOff>
      <xdr:row>204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165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8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2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188</xdr:row>
      <xdr:rowOff>19050</xdr:rowOff>
    </xdr:from>
    <xdr:ext cx="819150" cy="123825"/>
    <xdr:pic>
      <xdr:nvPicPr>
        <xdr:cNvPr id="861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1222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18</xdr:row>
      <xdr:rowOff>19050</xdr:rowOff>
    </xdr:from>
    <xdr:to>
      <xdr:col>8</xdr:col>
      <xdr:colOff>393838</xdr:colOff>
      <xdr:row>18</xdr:row>
      <xdr:rowOff>142875</xdr:rowOff>
    </xdr:to>
    <xdr:pic>
      <xdr:nvPicPr>
        <xdr:cNvPr id="103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3048000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207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88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71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12</xdr:row>
      <xdr:rowOff>19050</xdr:rowOff>
    </xdr:from>
    <xdr:to>
      <xdr:col>25</xdr:col>
      <xdr:colOff>380999</xdr:colOff>
      <xdr:row>12</xdr:row>
      <xdr:rowOff>142875</xdr:rowOff>
    </xdr:to>
    <xdr:pic>
      <xdr:nvPicPr>
        <xdr:cNvPr id="9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8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63</xdr:row>
      <xdr:rowOff>19050</xdr:rowOff>
    </xdr:from>
    <xdr:to>
      <xdr:col>26</xdr:col>
      <xdr:colOff>9524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820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211</xdr:row>
      <xdr:rowOff>19050</xdr:rowOff>
    </xdr:from>
    <xdr:to>
      <xdr:col>26</xdr:col>
      <xdr:colOff>9524</xdr:colOff>
      <xdr:row>211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872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136" name="Imagen 113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024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55" name="Imagen 115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006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613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614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142875</xdr:rowOff>
    </xdr:to>
    <xdr:pic>
      <xdr:nvPicPr>
        <xdr:cNvPr id="11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240</xdr:row>
      <xdr:rowOff>28575</xdr:rowOff>
    </xdr:from>
    <xdr:to>
      <xdr:col>26</xdr:col>
      <xdr:colOff>9524</xdr:colOff>
      <xdr:row>241</xdr:row>
      <xdr:rowOff>0</xdr:rowOff>
    </xdr:to>
    <xdr:pic>
      <xdr:nvPicPr>
        <xdr:cNvPr id="11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871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242</xdr:row>
      <xdr:rowOff>19050</xdr:rowOff>
    </xdr:from>
    <xdr:to>
      <xdr:col>26</xdr:col>
      <xdr:colOff>9524</xdr:colOff>
      <xdr:row>242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243</xdr:row>
      <xdr:rowOff>19050</xdr:rowOff>
    </xdr:from>
    <xdr:to>
      <xdr:col>26</xdr:col>
      <xdr:colOff>9524</xdr:colOff>
      <xdr:row>243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33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246</xdr:row>
      <xdr:rowOff>19050</xdr:rowOff>
    </xdr:from>
    <xdr:to>
      <xdr:col>24</xdr:col>
      <xdr:colOff>47625</xdr:colOff>
      <xdr:row>246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245</xdr:row>
      <xdr:rowOff>19050</xdr:rowOff>
    </xdr:from>
    <xdr:to>
      <xdr:col>26</xdr:col>
      <xdr:colOff>9524</xdr:colOff>
      <xdr:row>245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251</xdr:row>
      <xdr:rowOff>19050</xdr:rowOff>
    </xdr:from>
    <xdr:to>
      <xdr:col>26</xdr:col>
      <xdr:colOff>9524</xdr:colOff>
      <xdr:row>251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90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4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92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902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144555</xdr:rowOff>
    </xdr:to>
    <xdr:pic>
      <xdr:nvPicPr>
        <xdr:cNvPr id="97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722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144555</xdr:rowOff>
    </xdr:to>
    <xdr:pic>
      <xdr:nvPicPr>
        <xdr:cNvPr id="102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50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428</xdr:row>
      <xdr:rowOff>19050</xdr:rowOff>
    </xdr:from>
    <xdr:to>
      <xdr:col>25</xdr:col>
      <xdr:colOff>380999</xdr:colOff>
      <xdr:row>428</xdr:row>
      <xdr:rowOff>142875</xdr:rowOff>
    </xdr:to>
    <xdr:pic>
      <xdr:nvPicPr>
        <xdr:cNvPr id="117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6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427</xdr:row>
      <xdr:rowOff>19050</xdr:rowOff>
    </xdr:from>
    <xdr:to>
      <xdr:col>25</xdr:col>
      <xdr:colOff>380999</xdr:colOff>
      <xdr:row>427</xdr:row>
      <xdr:rowOff>142875</xdr:rowOff>
    </xdr:to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4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152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615</xdr:row>
      <xdr:rowOff>19050</xdr:rowOff>
    </xdr:from>
    <xdr:to>
      <xdr:col>10</xdr:col>
      <xdr:colOff>1</xdr:colOff>
      <xdr:row>615</xdr:row>
      <xdr:rowOff>142875</xdr:rowOff>
    </xdr:to>
    <xdr:pic>
      <xdr:nvPicPr>
        <xdr:cNvPr id="8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76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616</xdr:row>
      <xdr:rowOff>19050</xdr:rowOff>
    </xdr:from>
    <xdr:to>
      <xdr:col>10</xdr:col>
      <xdr:colOff>1</xdr:colOff>
      <xdr:row>616</xdr:row>
      <xdr:rowOff>142875</xdr:rowOff>
    </xdr:to>
    <xdr:pic>
      <xdr:nvPicPr>
        <xdr:cNvPr id="106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91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617</xdr:row>
      <xdr:rowOff>19050</xdr:rowOff>
    </xdr:from>
    <xdr:to>
      <xdr:col>10</xdr:col>
      <xdr:colOff>1</xdr:colOff>
      <xdr:row>617</xdr:row>
      <xdr:rowOff>142875</xdr:rowOff>
    </xdr:to>
    <xdr:pic>
      <xdr:nvPicPr>
        <xdr:cNvPr id="10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306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618</xdr:row>
      <xdr:rowOff>19050</xdr:rowOff>
    </xdr:from>
    <xdr:to>
      <xdr:col>10</xdr:col>
      <xdr:colOff>1</xdr:colOff>
      <xdr:row>618</xdr:row>
      <xdr:rowOff>142875</xdr:rowOff>
    </xdr:to>
    <xdr:pic>
      <xdr:nvPicPr>
        <xdr:cNvPr id="10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34783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333</xdr:row>
      <xdr:rowOff>19050</xdr:rowOff>
    </xdr:from>
    <xdr:to>
      <xdr:col>26</xdr:col>
      <xdr:colOff>9524</xdr:colOff>
      <xdr:row>333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334</xdr:row>
      <xdr:rowOff>19050</xdr:rowOff>
    </xdr:from>
    <xdr:to>
      <xdr:col>26</xdr:col>
      <xdr:colOff>9524</xdr:colOff>
      <xdr:row>334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349</xdr:row>
      <xdr:rowOff>19050</xdr:rowOff>
    </xdr:from>
    <xdr:to>
      <xdr:col>26</xdr:col>
      <xdr:colOff>9524</xdr:colOff>
      <xdr:row>349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332</xdr:row>
      <xdr:rowOff>19050</xdr:rowOff>
    </xdr:from>
    <xdr:to>
      <xdr:col>26</xdr:col>
      <xdr:colOff>9524</xdr:colOff>
      <xdr:row>332</xdr:row>
      <xdr:rowOff>142875</xdr:rowOff>
    </xdr:to>
    <xdr:pic>
      <xdr:nvPicPr>
        <xdr:cNvPr id="12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4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270</xdr:row>
      <xdr:rowOff>19050</xdr:rowOff>
    </xdr:from>
    <xdr:to>
      <xdr:col>26</xdr:col>
      <xdr:colOff>9524</xdr:colOff>
      <xdr:row>270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68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57</xdr:row>
      <xdr:rowOff>19050</xdr:rowOff>
    </xdr:from>
    <xdr:to>
      <xdr:col>26</xdr:col>
      <xdr:colOff>9524</xdr:colOff>
      <xdr:row>57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58</xdr:row>
      <xdr:rowOff>19050</xdr:rowOff>
    </xdr:from>
    <xdr:to>
      <xdr:col>26</xdr:col>
      <xdr:colOff>9524</xdr:colOff>
      <xdr:row>58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120</xdr:row>
      <xdr:rowOff>19050</xdr:rowOff>
    </xdr:from>
    <xdr:to>
      <xdr:col>15</xdr:col>
      <xdr:colOff>9525</xdr:colOff>
      <xdr:row>120</xdr:row>
      <xdr:rowOff>142875</xdr:rowOff>
    </xdr:to>
    <xdr:pic>
      <xdr:nvPicPr>
        <xdr:cNvPr id="12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894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117</xdr:row>
      <xdr:rowOff>19050</xdr:rowOff>
    </xdr:from>
    <xdr:to>
      <xdr:col>15</xdr:col>
      <xdr:colOff>9525</xdr:colOff>
      <xdr:row>117</xdr:row>
      <xdr:rowOff>142875</xdr:rowOff>
    </xdr:to>
    <xdr:pic>
      <xdr:nvPicPr>
        <xdr:cNvPr id="12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970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227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19</xdr:row>
      <xdr:rowOff>19050</xdr:rowOff>
    </xdr:from>
    <xdr:to>
      <xdr:col>8</xdr:col>
      <xdr:colOff>393838</xdr:colOff>
      <xdr:row>19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6308" y="3166441"/>
          <a:ext cx="8067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567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98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225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09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224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312</xdr:row>
      <xdr:rowOff>19050</xdr:rowOff>
    </xdr:from>
    <xdr:to>
      <xdr:col>26</xdr:col>
      <xdr:colOff>9524</xdr:colOff>
      <xdr:row>312</xdr:row>
      <xdr:rowOff>142875</xdr:rowOff>
    </xdr:to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417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214</xdr:row>
      <xdr:rowOff>28575</xdr:rowOff>
    </xdr:from>
    <xdr:to>
      <xdr:col>1</xdr:col>
      <xdr:colOff>0</xdr:colOff>
      <xdr:row>214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591</xdr:row>
      <xdr:rowOff>19050</xdr:rowOff>
    </xdr:from>
    <xdr:to>
      <xdr:col>10</xdr:col>
      <xdr:colOff>1</xdr:colOff>
      <xdr:row>591</xdr:row>
      <xdr:rowOff>142875</xdr:rowOff>
    </xdr:to>
    <xdr:pic>
      <xdr:nvPicPr>
        <xdr:cNvPr id="13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02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13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17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31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32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3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47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13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63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131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78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264</xdr:row>
      <xdr:rowOff>19050</xdr:rowOff>
    </xdr:from>
    <xdr:to>
      <xdr:col>10</xdr:col>
      <xdr:colOff>1</xdr:colOff>
      <xdr:row>264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265</xdr:row>
      <xdr:rowOff>19050</xdr:rowOff>
    </xdr:from>
    <xdr:to>
      <xdr:col>10</xdr:col>
      <xdr:colOff>1</xdr:colOff>
      <xdr:row>265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266</xdr:row>
      <xdr:rowOff>19050</xdr:rowOff>
    </xdr:from>
    <xdr:to>
      <xdr:col>10</xdr:col>
      <xdr:colOff>1</xdr:colOff>
      <xdr:row>266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267</xdr:row>
      <xdr:rowOff>19050</xdr:rowOff>
    </xdr:from>
    <xdr:to>
      <xdr:col>10</xdr:col>
      <xdr:colOff>1</xdr:colOff>
      <xdr:row>267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268</xdr:row>
      <xdr:rowOff>19050</xdr:rowOff>
    </xdr:from>
    <xdr:to>
      <xdr:col>10</xdr:col>
      <xdr:colOff>1</xdr:colOff>
      <xdr:row>268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269</xdr:row>
      <xdr:rowOff>19050</xdr:rowOff>
    </xdr:from>
    <xdr:to>
      <xdr:col>10</xdr:col>
      <xdr:colOff>1</xdr:colOff>
      <xdr:row>269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44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123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28575</xdr:rowOff>
    </xdr:from>
    <xdr:ext cx="342900" cy="104775"/>
    <xdr:pic>
      <xdr:nvPicPr>
        <xdr:cNvPr id="119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</xdr:row>
      <xdr:rowOff>28575</xdr:rowOff>
    </xdr:from>
    <xdr:ext cx="342900" cy="104775"/>
    <xdr:pic>
      <xdr:nvPicPr>
        <xdr:cNvPr id="125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293</xdr:row>
      <xdr:rowOff>19050</xdr:rowOff>
    </xdr:from>
    <xdr:to>
      <xdr:col>25</xdr:col>
      <xdr:colOff>83819</xdr:colOff>
      <xdr:row>293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294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306</xdr:row>
      <xdr:rowOff>19050</xdr:rowOff>
    </xdr:from>
    <xdr:to>
      <xdr:col>24</xdr:col>
      <xdr:colOff>47625</xdr:colOff>
      <xdr:row>306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306</xdr:row>
      <xdr:rowOff>19050</xdr:rowOff>
    </xdr:from>
    <xdr:to>
      <xdr:col>25</xdr:col>
      <xdr:colOff>74294</xdr:colOff>
      <xdr:row>306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280</xdr:row>
      <xdr:rowOff>19050</xdr:rowOff>
    </xdr:from>
    <xdr:to>
      <xdr:col>25</xdr:col>
      <xdr:colOff>83819</xdr:colOff>
      <xdr:row>280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382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281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523</xdr:row>
      <xdr:rowOff>19050</xdr:rowOff>
    </xdr:from>
    <xdr:to>
      <xdr:col>24</xdr:col>
      <xdr:colOff>75821</xdr:colOff>
      <xdr:row>523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381" name="Imagen 138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458</xdr:row>
      <xdr:rowOff>19050</xdr:rowOff>
    </xdr:from>
    <xdr:to>
      <xdr:col>24</xdr:col>
      <xdr:colOff>75821</xdr:colOff>
      <xdr:row>458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28575</xdr:rowOff>
    </xdr:from>
    <xdr:ext cx="342900" cy="104775"/>
    <xdr:pic>
      <xdr:nvPicPr>
        <xdr:cNvPr id="136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18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521</xdr:row>
      <xdr:rowOff>19050</xdr:rowOff>
    </xdr:from>
    <xdr:to>
      <xdr:col>24</xdr:col>
      <xdr:colOff>75821</xdr:colOff>
      <xdr:row>521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470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347</xdr:row>
      <xdr:rowOff>19050</xdr:rowOff>
    </xdr:from>
    <xdr:to>
      <xdr:col>26</xdr:col>
      <xdr:colOff>9524</xdr:colOff>
      <xdr:row>347</xdr:row>
      <xdr:rowOff>142875</xdr:rowOff>
    </xdr:to>
    <xdr:pic>
      <xdr:nvPicPr>
        <xdr:cNvPr id="9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8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348</xdr:row>
      <xdr:rowOff>19050</xdr:rowOff>
    </xdr:from>
    <xdr:to>
      <xdr:col>26</xdr:col>
      <xdr:colOff>9524</xdr:colOff>
      <xdr:row>348</xdr:row>
      <xdr:rowOff>142875</xdr:rowOff>
    </xdr:to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9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490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9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84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112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00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11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15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26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33259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462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185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185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185</xdr:row>
      <xdr:rowOff>19050</xdr:rowOff>
    </xdr:from>
    <xdr:to>
      <xdr:col>26</xdr:col>
      <xdr:colOff>9524</xdr:colOff>
      <xdr:row>185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184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254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254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293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244</xdr:row>
      <xdr:rowOff>19050</xdr:rowOff>
    </xdr:from>
    <xdr:to>
      <xdr:col>26</xdr:col>
      <xdr:colOff>9524</xdr:colOff>
      <xdr:row>244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407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50" cy="123825"/>
    <xdr:pic>
      <xdr:nvPicPr>
        <xdr:cNvPr id="1036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256</xdr:row>
      <xdr:rowOff>19050</xdr:rowOff>
    </xdr:from>
    <xdr:ext cx="819150" cy="123825"/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279</xdr:row>
      <xdr:rowOff>19050</xdr:rowOff>
    </xdr:from>
    <xdr:ext cx="502920" cy="121920"/>
    <xdr:pic>
      <xdr:nvPicPr>
        <xdr:cNvPr id="1443" name="Imagen 14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19050</xdr:rowOff>
    </xdr:from>
    <xdr:ext cx="200025" cy="123825"/>
    <xdr:pic>
      <xdr:nvPicPr>
        <xdr:cNvPr id="1059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75360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47625</xdr:colOff>
      <xdr:row>501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491</xdr:row>
      <xdr:rowOff>19050</xdr:rowOff>
    </xdr:from>
    <xdr:to>
      <xdr:col>24</xdr:col>
      <xdr:colOff>47625</xdr:colOff>
      <xdr:row>491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489</xdr:row>
      <xdr:rowOff>19050</xdr:rowOff>
    </xdr:from>
    <xdr:to>
      <xdr:col>24</xdr:col>
      <xdr:colOff>47625</xdr:colOff>
      <xdr:row>489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125</xdr:row>
      <xdr:rowOff>19050</xdr:rowOff>
    </xdr:from>
    <xdr:to>
      <xdr:col>8</xdr:col>
      <xdr:colOff>181170</xdr:colOff>
      <xdr:row>125</xdr:row>
      <xdr:rowOff>142875</xdr:rowOff>
    </xdr:to>
    <xdr:pic>
      <xdr:nvPicPr>
        <xdr:cNvPr id="1461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9707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298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444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17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174</xdr:row>
      <xdr:rowOff>28575</xdr:rowOff>
    </xdr:from>
    <xdr:ext cx="342900" cy="104775"/>
    <xdr:pic>
      <xdr:nvPicPr>
        <xdr:cNvPr id="146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03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170</xdr:row>
      <xdr:rowOff>28575</xdr:rowOff>
    </xdr:from>
    <xdr:ext cx="342900" cy="104775"/>
    <xdr:pic>
      <xdr:nvPicPr>
        <xdr:cNvPr id="14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93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364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323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364</xdr:row>
      <xdr:rowOff>19050</xdr:rowOff>
    </xdr:from>
    <xdr:to>
      <xdr:col>26</xdr:col>
      <xdr:colOff>9524</xdr:colOff>
      <xdr:row>364</xdr:row>
      <xdr:rowOff>142875</xdr:rowOff>
    </xdr:to>
    <xdr:pic>
      <xdr:nvPicPr>
        <xdr:cNvPr id="14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9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234</xdr:row>
      <xdr:rowOff>19050</xdr:rowOff>
    </xdr:from>
    <xdr:ext cx="819150" cy="123825"/>
    <xdr:pic>
      <xdr:nvPicPr>
        <xdr:cNvPr id="10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232</xdr:row>
      <xdr:rowOff>28575</xdr:rowOff>
    </xdr:from>
    <xdr:ext cx="342900" cy="104775"/>
    <xdr:pic>
      <xdr:nvPicPr>
        <xdr:cNvPr id="11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3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1196" name="Imagen 119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39057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464</xdr:row>
      <xdr:rowOff>19050</xdr:rowOff>
    </xdr:from>
    <xdr:to>
      <xdr:col>10</xdr:col>
      <xdr:colOff>1</xdr:colOff>
      <xdr:row>464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450</xdr:row>
      <xdr:rowOff>19050</xdr:rowOff>
    </xdr:from>
    <xdr:to>
      <xdr:col>11</xdr:col>
      <xdr:colOff>0</xdr:colOff>
      <xdr:row>450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451</xdr:row>
      <xdr:rowOff>19050</xdr:rowOff>
    </xdr:from>
    <xdr:to>
      <xdr:col>11</xdr:col>
      <xdr:colOff>0</xdr:colOff>
      <xdr:row>451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452</xdr:row>
      <xdr:rowOff>19050</xdr:rowOff>
    </xdr:from>
    <xdr:to>
      <xdr:col>11</xdr:col>
      <xdr:colOff>0</xdr:colOff>
      <xdr:row>452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453</xdr:row>
      <xdr:rowOff>19050</xdr:rowOff>
    </xdr:from>
    <xdr:to>
      <xdr:col>11</xdr:col>
      <xdr:colOff>0</xdr:colOff>
      <xdr:row>453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454</xdr:row>
      <xdr:rowOff>19050</xdr:rowOff>
    </xdr:from>
    <xdr:to>
      <xdr:col>11</xdr:col>
      <xdr:colOff>0</xdr:colOff>
      <xdr:row>454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455</xdr:row>
      <xdr:rowOff>19050</xdr:rowOff>
    </xdr:from>
    <xdr:to>
      <xdr:col>11</xdr:col>
      <xdr:colOff>0</xdr:colOff>
      <xdr:row>455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248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213</xdr:row>
      <xdr:rowOff>19050</xdr:rowOff>
    </xdr:from>
    <xdr:ext cx="819150" cy="123825"/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88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488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488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85725</xdr:rowOff>
    </xdr:from>
    <xdr:to>
      <xdr:col>14</xdr:col>
      <xdr:colOff>172693</xdr:colOff>
      <xdr:row>495</xdr:row>
      <xdr:rowOff>19050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503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504</xdr:row>
      <xdr:rowOff>19050</xdr:rowOff>
    </xdr:from>
    <xdr:to>
      <xdr:col>24</xdr:col>
      <xdr:colOff>48389</xdr:colOff>
      <xdr:row>504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79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09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146</xdr:row>
      <xdr:rowOff>19050</xdr:rowOff>
    </xdr:from>
    <xdr:to>
      <xdr:col>8</xdr:col>
      <xdr:colOff>181170</xdr:colOff>
      <xdr:row>146</xdr:row>
      <xdr:rowOff>142875</xdr:rowOff>
    </xdr:to>
    <xdr:pic>
      <xdr:nvPicPr>
        <xdr:cNvPr id="973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22755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147</xdr:row>
      <xdr:rowOff>19050</xdr:rowOff>
    </xdr:from>
    <xdr:to>
      <xdr:col>8</xdr:col>
      <xdr:colOff>181170</xdr:colOff>
      <xdr:row>147</xdr:row>
      <xdr:rowOff>142875</xdr:rowOff>
    </xdr:to>
    <xdr:pic>
      <xdr:nvPicPr>
        <xdr:cNvPr id="1070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29076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305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5</xdr:col>
      <xdr:colOff>9525</xdr:colOff>
      <xdr:row>15</xdr:row>
      <xdr:rowOff>19050</xdr:rowOff>
    </xdr:from>
    <xdr:to>
      <xdr:col>8</xdr:col>
      <xdr:colOff>162118</xdr:colOff>
      <xdr:row>15</xdr:row>
      <xdr:rowOff>142875</xdr:rowOff>
    </xdr:to>
    <xdr:pic>
      <xdr:nvPicPr>
        <xdr:cNvPr id="936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5908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377</xdr:row>
      <xdr:rowOff>16566</xdr:rowOff>
    </xdr:from>
    <xdr:to>
      <xdr:col>24</xdr:col>
      <xdr:colOff>46383</xdr:colOff>
      <xdr:row>377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369</xdr:row>
      <xdr:rowOff>16566</xdr:rowOff>
    </xdr:from>
    <xdr:to>
      <xdr:col>24</xdr:col>
      <xdr:colOff>46383</xdr:colOff>
      <xdr:row>369</xdr:row>
      <xdr:rowOff>140391</xdr:rowOff>
    </xdr:to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6040131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94</xdr:row>
      <xdr:rowOff>16566</xdr:rowOff>
    </xdr:from>
    <xdr:to>
      <xdr:col>10</xdr:col>
      <xdr:colOff>2173</xdr:colOff>
      <xdr:row>94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127</xdr:row>
      <xdr:rowOff>19050</xdr:rowOff>
    </xdr:from>
    <xdr:to>
      <xdr:col>10</xdr:col>
      <xdr:colOff>1</xdr:colOff>
      <xdr:row>127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128</xdr:row>
      <xdr:rowOff>19050</xdr:rowOff>
    </xdr:from>
    <xdr:to>
      <xdr:col>10</xdr:col>
      <xdr:colOff>1</xdr:colOff>
      <xdr:row>128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168</xdr:row>
      <xdr:rowOff>16566</xdr:rowOff>
    </xdr:from>
    <xdr:to>
      <xdr:col>9</xdr:col>
      <xdr:colOff>8284</xdr:colOff>
      <xdr:row>168</xdr:row>
      <xdr:rowOff>140391</xdr:rowOff>
    </xdr:to>
    <xdr:pic>
      <xdr:nvPicPr>
        <xdr:cNvPr id="1201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913" y="25808609"/>
          <a:ext cx="80341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352</xdr:row>
      <xdr:rowOff>16566</xdr:rowOff>
    </xdr:from>
    <xdr:to>
      <xdr:col>24</xdr:col>
      <xdr:colOff>46383</xdr:colOff>
      <xdr:row>352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500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74958</xdr:colOff>
      <xdr:row>295</xdr:row>
      <xdr:rowOff>16566</xdr:rowOff>
    </xdr:from>
    <xdr:ext cx="502920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508224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295</xdr:row>
      <xdr:rowOff>16566</xdr:rowOff>
    </xdr:from>
    <xdr:ext cx="828675" cy="123825"/>
    <xdr:pic>
      <xdr:nvPicPr>
        <xdr:cNvPr id="120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508224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278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278</xdr:row>
      <xdr:rowOff>16566</xdr:rowOff>
    </xdr:from>
    <xdr:to>
      <xdr:col>25</xdr:col>
      <xdr:colOff>82577</xdr:colOff>
      <xdr:row>278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53</xdr:row>
      <xdr:rowOff>19050</xdr:rowOff>
    </xdr:from>
    <xdr:to>
      <xdr:col>13</xdr:col>
      <xdr:colOff>9524</xdr:colOff>
      <xdr:row>53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336</xdr:row>
      <xdr:rowOff>28575</xdr:rowOff>
    </xdr:from>
    <xdr:ext cx="342900" cy="104775"/>
    <xdr:pic>
      <xdr:nvPicPr>
        <xdr:cNvPr id="95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2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297</xdr:row>
      <xdr:rowOff>19050</xdr:rowOff>
    </xdr:from>
    <xdr:ext cx="502920" cy="121920"/>
    <xdr:pic>
      <xdr:nvPicPr>
        <xdr:cNvPr id="978" name="Imagen 9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320075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99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3200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655</xdr:row>
      <xdr:rowOff>19050</xdr:rowOff>
    </xdr:from>
    <xdr:to>
      <xdr:col>13</xdr:col>
      <xdr:colOff>1</xdr:colOff>
      <xdr:row>655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656</xdr:row>
      <xdr:rowOff>19050</xdr:rowOff>
    </xdr:from>
    <xdr:to>
      <xdr:col>13</xdr:col>
      <xdr:colOff>1</xdr:colOff>
      <xdr:row>656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657</xdr:row>
      <xdr:rowOff>19050</xdr:rowOff>
    </xdr:from>
    <xdr:to>
      <xdr:col>13</xdr:col>
      <xdr:colOff>1</xdr:colOff>
      <xdr:row>657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362</xdr:row>
      <xdr:rowOff>28575</xdr:rowOff>
    </xdr:from>
    <xdr:ext cx="342900" cy="104775"/>
    <xdr:pic>
      <xdr:nvPicPr>
        <xdr:cNvPr id="90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444</xdr:row>
      <xdr:rowOff>28575</xdr:rowOff>
    </xdr:from>
    <xdr:ext cx="342900" cy="104775"/>
    <xdr:pic>
      <xdr:nvPicPr>
        <xdr:cNvPr id="11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443</xdr:row>
      <xdr:rowOff>28575</xdr:rowOff>
    </xdr:from>
    <xdr:ext cx="342900" cy="104775"/>
    <xdr:pic>
      <xdr:nvPicPr>
        <xdr:cNvPr id="111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2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446</xdr:row>
      <xdr:rowOff>28575</xdr:rowOff>
    </xdr:from>
    <xdr:ext cx="342900" cy="104775"/>
    <xdr:pic>
      <xdr:nvPicPr>
        <xdr:cNvPr id="11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447</xdr:row>
      <xdr:rowOff>28575</xdr:rowOff>
    </xdr:from>
    <xdr:ext cx="342900" cy="104775"/>
    <xdr:pic>
      <xdr:nvPicPr>
        <xdr:cNvPr id="114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619</xdr:row>
      <xdr:rowOff>28575</xdr:rowOff>
    </xdr:from>
    <xdr:to>
      <xdr:col>1</xdr:col>
      <xdr:colOff>0</xdr:colOff>
      <xdr:row>619</xdr:row>
      <xdr:rowOff>133350</xdr:rowOff>
    </xdr:to>
    <xdr:pic>
      <xdr:nvPicPr>
        <xdr:cNvPr id="10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0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441</xdr:row>
      <xdr:rowOff>28575</xdr:rowOff>
    </xdr:from>
    <xdr:ext cx="342900" cy="104775"/>
    <xdr:pic>
      <xdr:nvPicPr>
        <xdr:cNvPr id="117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442</xdr:row>
      <xdr:rowOff>28575</xdr:rowOff>
    </xdr:from>
    <xdr:ext cx="342900" cy="104775"/>
    <xdr:pic>
      <xdr:nvPicPr>
        <xdr:cNvPr id="118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440</xdr:row>
      <xdr:rowOff>28575</xdr:rowOff>
    </xdr:from>
    <xdr:ext cx="342900" cy="104775"/>
    <xdr:pic>
      <xdr:nvPicPr>
        <xdr:cNvPr id="119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447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144555</xdr:rowOff>
    </xdr:to>
    <xdr:pic>
      <xdr:nvPicPr>
        <xdr:cNvPr id="12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05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144555</xdr:rowOff>
    </xdr:to>
    <xdr:pic>
      <xdr:nvPicPr>
        <xdr:cNvPr id="1216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208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144555</xdr:rowOff>
    </xdr:to>
    <xdr:pic>
      <xdr:nvPicPr>
        <xdr:cNvPr id="12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513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144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144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100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522</xdr:row>
      <xdr:rowOff>19050</xdr:rowOff>
    </xdr:from>
    <xdr:to>
      <xdr:col>24</xdr:col>
      <xdr:colOff>75821</xdr:colOff>
      <xdr:row>522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620</xdr:row>
      <xdr:rowOff>28575</xdr:rowOff>
    </xdr:from>
    <xdr:ext cx="342900" cy="104775"/>
    <xdr:pic>
      <xdr:nvPicPr>
        <xdr:cNvPr id="122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361</xdr:row>
      <xdr:rowOff>28575</xdr:rowOff>
    </xdr:from>
    <xdr:ext cx="342900" cy="104775"/>
    <xdr:pic>
      <xdr:nvPicPr>
        <xdr:cNvPr id="93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3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361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365</xdr:row>
      <xdr:rowOff>19050</xdr:rowOff>
    </xdr:from>
    <xdr:ext cx="819150" cy="123825"/>
    <xdr:pic>
      <xdr:nvPicPr>
        <xdr:cNvPr id="1125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365</xdr:row>
      <xdr:rowOff>19050</xdr:rowOff>
    </xdr:from>
    <xdr:ext cx="819149" cy="123825"/>
    <xdr:pic>
      <xdr:nvPicPr>
        <xdr:cNvPr id="11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363</xdr:row>
      <xdr:rowOff>28575</xdr:rowOff>
    </xdr:from>
    <xdr:ext cx="342900" cy="104775"/>
    <xdr:pic>
      <xdr:nvPicPr>
        <xdr:cNvPr id="105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8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363</xdr:row>
      <xdr:rowOff>19050</xdr:rowOff>
    </xdr:from>
    <xdr:ext cx="819150" cy="123825"/>
    <xdr:pic>
      <xdr:nvPicPr>
        <xdr:cNvPr id="1158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363</xdr:row>
      <xdr:rowOff>19050</xdr:rowOff>
    </xdr:from>
    <xdr:ext cx="819149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486</xdr:row>
      <xdr:rowOff>28575</xdr:rowOff>
    </xdr:from>
    <xdr:ext cx="342900" cy="104775"/>
    <xdr:pic>
      <xdr:nvPicPr>
        <xdr:cNvPr id="12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90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486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104</xdr:row>
      <xdr:rowOff>19050</xdr:rowOff>
    </xdr:from>
    <xdr:to>
      <xdr:col>8</xdr:col>
      <xdr:colOff>181170</xdr:colOff>
      <xdr:row>104</xdr:row>
      <xdr:rowOff>142875</xdr:rowOff>
    </xdr:to>
    <xdr:pic>
      <xdr:nvPicPr>
        <xdr:cNvPr id="1235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2020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539</xdr:row>
      <xdr:rowOff>28575</xdr:rowOff>
    </xdr:from>
    <xdr:ext cx="342900" cy="104775"/>
    <xdr:pic>
      <xdr:nvPicPr>
        <xdr:cNvPr id="123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81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25</xdr:row>
      <xdr:rowOff>19050</xdr:rowOff>
    </xdr:from>
    <xdr:to>
      <xdr:col>8</xdr:col>
      <xdr:colOff>393838</xdr:colOff>
      <xdr:row>25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1148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497</xdr:row>
      <xdr:rowOff>19050</xdr:rowOff>
    </xdr:from>
    <xdr:to>
      <xdr:col>24</xdr:col>
      <xdr:colOff>47625</xdr:colOff>
      <xdr:row>497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408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408</xdr:row>
      <xdr:rowOff>28575</xdr:rowOff>
    </xdr:from>
    <xdr:ext cx="342900" cy="104775"/>
    <xdr:pic>
      <xdr:nvPicPr>
        <xdr:cNvPr id="99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73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97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</xdr:row>
      <xdr:rowOff>28575</xdr:rowOff>
    </xdr:from>
    <xdr:ext cx="342900" cy="104775"/>
    <xdr:pic>
      <xdr:nvPicPr>
        <xdr:cNvPr id="11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87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368</xdr:row>
      <xdr:rowOff>19050</xdr:rowOff>
    </xdr:from>
    <xdr:ext cx="819149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309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367</xdr:row>
      <xdr:rowOff>19050</xdr:rowOff>
    </xdr:from>
    <xdr:ext cx="819149" cy="123825"/>
    <xdr:pic>
      <xdr:nvPicPr>
        <xdr:cNvPr id="12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5785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3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414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461</xdr:row>
      <xdr:rowOff>19050</xdr:rowOff>
    </xdr:from>
    <xdr:to>
      <xdr:col>10</xdr:col>
      <xdr:colOff>1</xdr:colOff>
      <xdr:row>461</xdr:row>
      <xdr:rowOff>142875</xdr:rowOff>
    </xdr:to>
    <xdr:pic>
      <xdr:nvPicPr>
        <xdr:cNvPr id="10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494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445</xdr:row>
      <xdr:rowOff>19050</xdr:rowOff>
    </xdr:from>
    <xdr:to>
      <xdr:col>8</xdr:col>
      <xdr:colOff>181170</xdr:colOff>
      <xdr:row>445</xdr:row>
      <xdr:rowOff>142875</xdr:rowOff>
    </xdr:to>
    <xdr:pic>
      <xdr:nvPicPr>
        <xdr:cNvPr id="113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86657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409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409</xdr:row>
      <xdr:rowOff>28575</xdr:rowOff>
    </xdr:from>
    <xdr:ext cx="342900" cy="104775"/>
    <xdr:pic>
      <xdr:nvPicPr>
        <xdr:cNvPr id="126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384</xdr:row>
      <xdr:rowOff>28575</xdr:rowOff>
    </xdr:from>
    <xdr:to>
      <xdr:col>1</xdr:col>
      <xdr:colOff>0</xdr:colOff>
      <xdr:row>384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285</xdr:row>
      <xdr:rowOff>19050</xdr:rowOff>
    </xdr:from>
    <xdr:to>
      <xdr:col>24</xdr:col>
      <xdr:colOff>47624</xdr:colOff>
      <xdr:row>285</xdr:row>
      <xdr:rowOff>142875</xdr:rowOff>
    </xdr:to>
    <xdr:pic>
      <xdr:nvPicPr>
        <xdr:cNvPr id="12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034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74958</xdr:colOff>
      <xdr:row>277</xdr:row>
      <xdr:rowOff>16566</xdr:rowOff>
    </xdr:from>
    <xdr:ext cx="502919" cy="121920"/>
    <xdr:pic>
      <xdr:nvPicPr>
        <xdr:cNvPr id="1288" name="Imagen 128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733" y="42964791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279</xdr:row>
      <xdr:rowOff>19050</xdr:rowOff>
    </xdr:from>
    <xdr:to>
      <xdr:col>24</xdr:col>
      <xdr:colOff>47624</xdr:colOff>
      <xdr:row>279</xdr:row>
      <xdr:rowOff>142875</xdr:rowOff>
    </xdr:to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1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280</xdr:row>
      <xdr:rowOff>19050</xdr:rowOff>
    </xdr:from>
    <xdr:to>
      <xdr:col>24</xdr:col>
      <xdr:colOff>47624</xdr:colOff>
      <xdr:row>280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281</xdr:row>
      <xdr:rowOff>19050</xdr:rowOff>
    </xdr:from>
    <xdr:to>
      <xdr:col>24</xdr:col>
      <xdr:colOff>47624</xdr:colOff>
      <xdr:row>281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277</xdr:row>
      <xdr:rowOff>19050</xdr:rowOff>
    </xdr:from>
    <xdr:to>
      <xdr:col>24</xdr:col>
      <xdr:colOff>47624</xdr:colOff>
      <xdr:row>277</xdr:row>
      <xdr:rowOff>142875</xdr:rowOff>
    </xdr:to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1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300</xdr:row>
      <xdr:rowOff>19050</xdr:rowOff>
    </xdr:from>
    <xdr:to>
      <xdr:col>24</xdr:col>
      <xdr:colOff>47624</xdr:colOff>
      <xdr:row>300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314</xdr:row>
      <xdr:rowOff>19050</xdr:rowOff>
    </xdr:from>
    <xdr:to>
      <xdr:col>24</xdr:col>
      <xdr:colOff>47625</xdr:colOff>
      <xdr:row>314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287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033" name="Imagen 103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476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471</xdr:row>
      <xdr:rowOff>28575</xdr:rowOff>
    </xdr:from>
    <xdr:ext cx="342900" cy="104775"/>
    <xdr:pic>
      <xdr:nvPicPr>
        <xdr:cNvPr id="100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378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378</xdr:row>
      <xdr:rowOff>28575</xdr:rowOff>
    </xdr:from>
    <xdr:ext cx="342900" cy="104775"/>
    <xdr:pic>
      <xdr:nvPicPr>
        <xdr:cNvPr id="106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344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344</xdr:row>
      <xdr:rowOff>28575</xdr:rowOff>
    </xdr:from>
    <xdr:ext cx="342900" cy="104775"/>
    <xdr:pic>
      <xdr:nvPicPr>
        <xdr:cNvPr id="107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229</xdr:row>
      <xdr:rowOff>28575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233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28575</xdr:rowOff>
    </xdr:from>
    <xdr:ext cx="342900" cy="104775"/>
    <xdr:pic>
      <xdr:nvPicPr>
        <xdr:cNvPr id="12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18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2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228</xdr:row>
      <xdr:rowOff>28575</xdr:rowOff>
    </xdr:from>
    <xdr:ext cx="819149" cy="123825"/>
    <xdr:pic>
      <xdr:nvPicPr>
        <xdr:cNvPr id="12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228</xdr:row>
      <xdr:rowOff>28575</xdr:rowOff>
    </xdr:from>
    <xdr:ext cx="342900" cy="104775"/>
    <xdr:pic>
      <xdr:nvPicPr>
        <xdr:cNvPr id="128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71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0</xdr:colOff>
      <xdr:row>10</xdr:row>
      <xdr:rowOff>19050</xdr:rowOff>
    </xdr:from>
    <xdr:to>
      <xdr:col>24</xdr:col>
      <xdr:colOff>38099</xdr:colOff>
      <xdr:row>10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0</xdr:colOff>
      <xdr:row>11</xdr:row>
      <xdr:rowOff>19050</xdr:rowOff>
    </xdr:from>
    <xdr:to>
      <xdr:col>24</xdr:col>
      <xdr:colOff>38099</xdr:colOff>
      <xdr:row>11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226</xdr:row>
      <xdr:rowOff>28575</xdr:rowOff>
    </xdr:from>
    <xdr:ext cx="342900" cy="104775"/>
    <xdr:pic>
      <xdr:nvPicPr>
        <xdr:cNvPr id="136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66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403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402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345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345</xdr:row>
      <xdr:rowOff>28575</xdr:rowOff>
    </xdr:from>
    <xdr:ext cx="342900" cy="104775"/>
    <xdr:pic>
      <xdr:nvPicPr>
        <xdr:cNvPr id="99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8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346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346</xdr:row>
      <xdr:rowOff>28575</xdr:rowOff>
    </xdr:from>
    <xdr:ext cx="342900" cy="104775"/>
    <xdr:pic>
      <xdr:nvPicPr>
        <xdr:cNvPr id="115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4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555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555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72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9</xdr:row>
      <xdr:rowOff>19050</xdr:rowOff>
    </xdr:from>
    <xdr:to>
      <xdr:col>8</xdr:col>
      <xdr:colOff>181168</xdr:colOff>
      <xdr:row>9</xdr:row>
      <xdr:rowOff>142875</xdr:rowOff>
    </xdr:to>
    <xdr:pic>
      <xdr:nvPicPr>
        <xdr:cNvPr id="1035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828800"/>
          <a:ext cx="58121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484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485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381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467</xdr:row>
      <xdr:rowOff>19050</xdr:rowOff>
    </xdr:from>
    <xdr:to>
      <xdr:col>8</xdr:col>
      <xdr:colOff>181170</xdr:colOff>
      <xdr:row>467</xdr:row>
      <xdr:rowOff>142875</xdr:rowOff>
    </xdr:to>
    <xdr:pic>
      <xdr:nvPicPr>
        <xdr:cNvPr id="1401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72170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483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483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39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28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390</xdr:row>
      <xdr:rowOff>19050</xdr:rowOff>
    </xdr:from>
    <xdr:ext cx="819150" cy="123825"/>
    <xdr:pic>
      <xdr:nvPicPr>
        <xdr:cNvPr id="140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6069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390</xdr:row>
      <xdr:rowOff>19050</xdr:rowOff>
    </xdr:from>
    <xdr:ext cx="342900" cy="104775"/>
    <xdr:pic>
      <xdr:nvPicPr>
        <xdr:cNvPr id="140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40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214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216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220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221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599</xdr:row>
      <xdr:rowOff>28575</xdr:rowOff>
    </xdr:from>
    <xdr:ext cx="342900" cy="104775"/>
    <xdr:pic>
      <xdr:nvPicPr>
        <xdr:cNvPr id="140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97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600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963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601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249</xdr:row>
      <xdr:rowOff>28575</xdr:rowOff>
    </xdr:from>
    <xdr:ext cx="342900" cy="104775"/>
    <xdr:pic>
      <xdr:nvPicPr>
        <xdr:cNvPr id="94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09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247</xdr:row>
      <xdr:rowOff>19050</xdr:rowOff>
    </xdr:from>
    <xdr:to>
      <xdr:col>24</xdr:col>
      <xdr:colOff>47625</xdr:colOff>
      <xdr:row>247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249</xdr:row>
      <xdr:rowOff>19050</xdr:rowOff>
    </xdr:from>
    <xdr:to>
      <xdr:col>24</xdr:col>
      <xdr:colOff>47625</xdr:colOff>
      <xdr:row>249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610</xdr:row>
      <xdr:rowOff>28575</xdr:rowOff>
    </xdr:from>
    <xdr:ext cx="342900" cy="104775"/>
    <xdr:pic>
      <xdr:nvPicPr>
        <xdr:cNvPr id="92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68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0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92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612</xdr:row>
      <xdr:rowOff>28575</xdr:rowOff>
    </xdr:from>
    <xdr:ext cx="342900" cy="104775"/>
    <xdr:pic>
      <xdr:nvPicPr>
        <xdr:cNvPr id="13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605</xdr:row>
      <xdr:rowOff>19050</xdr:rowOff>
    </xdr:from>
    <xdr:to>
      <xdr:col>24</xdr:col>
      <xdr:colOff>49180</xdr:colOff>
      <xdr:row>605</xdr:row>
      <xdr:rowOff>142875</xdr:rowOff>
    </xdr:to>
    <xdr:pic>
      <xdr:nvPicPr>
        <xdr:cNvPr id="1357" name="460 Imagen" descr="laser icono.png">
          <a:extLst>
            <a:ext uri="{FF2B5EF4-FFF2-40B4-BE49-F238E27FC236}">
              <a16:creationId xmlns:a16="http://schemas.microsoft.com/office/drawing/2014/main" id="{34062402-60C4-4264-83DF-06D19473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868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596</xdr:row>
      <xdr:rowOff>19050</xdr:rowOff>
    </xdr:from>
    <xdr:to>
      <xdr:col>24</xdr:col>
      <xdr:colOff>49180</xdr:colOff>
      <xdr:row>596</xdr:row>
      <xdr:rowOff>142875</xdr:rowOff>
    </xdr:to>
    <xdr:pic>
      <xdr:nvPicPr>
        <xdr:cNvPr id="1405" name="467 Imagen" descr="laser icono.png">
          <a:extLst>
            <a:ext uri="{FF2B5EF4-FFF2-40B4-BE49-F238E27FC236}">
              <a16:creationId xmlns:a16="http://schemas.microsoft.com/office/drawing/2014/main" id="{87776050-3BAD-414A-AFDE-79ADAF2A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97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595</xdr:row>
      <xdr:rowOff>19050</xdr:rowOff>
    </xdr:from>
    <xdr:to>
      <xdr:col>24</xdr:col>
      <xdr:colOff>49180</xdr:colOff>
      <xdr:row>595</xdr:row>
      <xdr:rowOff>144555</xdr:rowOff>
    </xdr:to>
    <xdr:pic>
      <xdr:nvPicPr>
        <xdr:cNvPr id="1412" name="468 Imagen" descr="laser icono.png">
          <a:extLst>
            <a:ext uri="{FF2B5EF4-FFF2-40B4-BE49-F238E27FC236}">
              <a16:creationId xmlns:a16="http://schemas.microsoft.com/office/drawing/2014/main" id="{29C45E98-1996-4C17-8DF5-F3E43F0F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3447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594</xdr:row>
      <xdr:rowOff>19050</xdr:rowOff>
    </xdr:from>
    <xdr:to>
      <xdr:col>24</xdr:col>
      <xdr:colOff>49180</xdr:colOff>
      <xdr:row>594</xdr:row>
      <xdr:rowOff>142875</xdr:rowOff>
    </xdr:to>
    <xdr:pic>
      <xdr:nvPicPr>
        <xdr:cNvPr id="1417" name="469 Imagen" descr="laser icono.png">
          <a:extLst>
            <a:ext uri="{FF2B5EF4-FFF2-40B4-BE49-F238E27FC236}">
              <a16:creationId xmlns:a16="http://schemas.microsoft.com/office/drawing/2014/main" id="{E5ADB0AD-CD7D-479C-8ECC-9FA29D2E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19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593</xdr:row>
      <xdr:rowOff>19050</xdr:rowOff>
    </xdr:from>
    <xdr:to>
      <xdr:col>24</xdr:col>
      <xdr:colOff>49180</xdr:colOff>
      <xdr:row>593</xdr:row>
      <xdr:rowOff>142875</xdr:rowOff>
    </xdr:to>
    <xdr:pic>
      <xdr:nvPicPr>
        <xdr:cNvPr id="1418" name="470 Imagen" descr="laser icono.png">
          <a:extLst>
            <a:ext uri="{FF2B5EF4-FFF2-40B4-BE49-F238E27FC236}">
              <a16:creationId xmlns:a16="http://schemas.microsoft.com/office/drawing/2014/main" id="{3F9E0820-9928-493B-BE68-2308B35B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039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592</xdr:row>
      <xdr:rowOff>19050</xdr:rowOff>
    </xdr:from>
    <xdr:to>
      <xdr:col>24</xdr:col>
      <xdr:colOff>49180</xdr:colOff>
      <xdr:row>592</xdr:row>
      <xdr:rowOff>139561</xdr:rowOff>
    </xdr:to>
    <xdr:pic>
      <xdr:nvPicPr>
        <xdr:cNvPr id="1419" name="472 Imagen" descr="laser icono.png">
          <a:extLst>
            <a:ext uri="{FF2B5EF4-FFF2-40B4-BE49-F238E27FC236}">
              <a16:creationId xmlns:a16="http://schemas.microsoft.com/office/drawing/2014/main" id="{C96DD2BB-A78F-40C3-86BB-CCDFBED9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887550"/>
          <a:ext cx="82070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591</xdr:row>
      <xdr:rowOff>19050</xdr:rowOff>
    </xdr:from>
    <xdr:to>
      <xdr:col>24</xdr:col>
      <xdr:colOff>49180</xdr:colOff>
      <xdr:row>591</xdr:row>
      <xdr:rowOff>142875</xdr:rowOff>
    </xdr:to>
    <xdr:pic>
      <xdr:nvPicPr>
        <xdr:cNvPr id="1423" name="473 Imagen" descr="laser icono.png">
          <a:extLst>
            <a:ext uri="{FF2B5EF4-FFF2-40B4-BE49-F238E27FC236}">
              <a16:creationId xmlns:a16="http://schemas.microsoft.com/office/drawing/2014/main" id="{315AB62A-0BA3-482E-B343-D529A1C0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735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604</xdr:row>
      <xdr:rowOff>19050</xdr:rowOff>
    </xdr:from>
    <xdr:to>
      <xdr:col>24</xdr:col>
      <xdr:colOff>49180</xdr:colOff>
      <xdr:row>604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597</xdr:row>
      <xdr:rowOff>19050</xdr:rowOff>
    </xdr:from>
    <xdr:to>
      <xdr:col>24</xdr:col>
      <xdr:colOff>49180</xdr:colOff>
      <xdr:row>597</xdr:row>
      <xdr:rowOff>142875</xdr:rowOff>
    </xdr:to>
    <xdr:pic>
      <xdr:nvPicPr>
        <xdr:cNvPr id="1439" name="476 Imagen" descr="seri icono.png">
          <a:extLst>
            <a:ext uri="{FF2B5EF4-FFF2-40B4-BE49-F238E27FC236}">
              <a16:creationId xmlns:a16="http://schemas.microsoft.com/office/drawing/2014/main" id="{AECC5547-E6CB-46D0-9D00-32AA1BA8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649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603</xdr:row>
      <xdr:rowOff>19050</xdr:rowOff>
    </xdr:from>
    <xdr:to>
      <xdr:col>24</xdr:col>
      <xdr:colOff>49180</xdr:colOff>
      <xdr:row>603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602</xdr:row>
      <xdr:rowOff>19050</xdr:rowOff>
    </xdr:from>
    <xdr:to>
      <xdr:col>24</xdr:col>
      <xdr:colOff>49180</xdr:colOff>
      <xdr:row>602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598</xdr:row>
      <xdr:rowOff>19050</xdr:rowOff>
    </xdr:from>
    <xdr:to>
      <xdr:col>24</xdr:col>
      <xdr:colOff>49180</xdr:colOff>
      <xdr:row>598</xdr:row>
      <xdr:rowOff>142875</xdr:rowOff>
    </xdr:to>
    <xdr:pic>
      <xdr:nvPicPr>
        <xdr:cNvPr id="1442" name="477 Imagen" descr="seri icono.png">
          <a:extLst>
            <a:ext uri="{FF2B5EF4-FFF2-40B4-BE49-F238E27FC236}">
              <a16:creationId xmlns:a16="http://schemas.microsoft.com/office/drawing/2014/main" id="{1AE8A730-658B-4896-8EE8-000B90DA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80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599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25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600</xdr:row>
      <xdr:rowOff>19050</xdr:rowOff>
    </xdr:from>
    <xdr:to>
      <xdr:col>24</xdr:col>
      <xdr:colOff>47625</xdr:colOff>
      <xdr:row>600</xdr:row>
      <xdr:rowOff>142875</xdr:rowOff>
    </xdr:to>
    <xdr:pic>
      <xdr:nvPicPr>
        <xdr:cNvPr id="1450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106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606</xdr:row>
      <xdr:rowOff>19050</xdr:rowOff>
    </xdr:from>
    <xdr:to>
      <xdr:col>24</xdr:col>
      <xdr:colOff>49180</xdr:colOff>
      <xdr:row>606</xdr:row>
      <xdr:rowOff>142875</xdr:rowOff>
    </xdr:to>
    <xdr:pic>
      <xdr:nvPicPr>
        <xdr:cNvPr id="1451" name="462 Imagen" descr="laser icono.png">
          <a:extLst>
            <a:ext uri="{FF2B5EF4-FFF2-40B4-BE49-F238E27FC236}">
              <a16:creationId xmlns:a16="http://schemas.microsoft.com/office/drawing/2014/main" id="{3B0E3935-0053-49D5-92C5-9499DC96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021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607</xdr:row>
      <xdr:rowOff>19050</xdr:rowOff>
    </xdr:from>
    <xdr:to>
      <xdr:col>24</xdr:col>
      <xdr:colOff>49180</xdr:colOff>
      <xdr:row>607</xdr:row>
      <xdr:rowOff>142875</xdr:rowOff>
    </xdr:to>
    <xdr:pic>
      <xdr:nvPicPr>
        <xdr:cNvPr id="1456" name="463 Imagen" descr="laser icono.png">
          <a:extLst>
            <a:ext uri="{FF2B5EF4-FFF2-40B4-BE49-F238E27FC236}">
              <a16:creationId xmlns:a16="http://schemas.microsoft.com/office/drawing/2014/main" id="{673CE3A0-C912-473F-B5A9-D9E028DE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173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608</xdr:row>
      <xdr:rowOff>19050</xdr:rowOff>
    </xdr:from>
    <xdr:to>
      <xdr:col>24</xdr:col>
      <xdr:colOff>49180</xdr:colOff>
      <xdr:row>608</xdr:row>
      <xdr:rowOff>144555</xdr:rowOff>
    </xdr:to>
    <xdr:pic>
      <xdr:nvPicPr>
        <xdr:cNvPr id="1471" name="481 Imagen" descr="laser icono.png">
          <a:extLst>
            <a:ext uri="{FF2B5EF4-FFF2-40B4-BE49-F238E27FC236}">
              <a16:creationId xmlns:a16="http://schemas.microsoft.com/office/drawing/2014/main" id="{A945F8C7-E544-46DB-B0E3-974616E0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6307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621</xdr:row>
      <xdr:rowOff>19050</xdr:rowOff>
    </xdr:from>
    <xdr:to>
      <xdr:col>24</xdr:col>
      <xdr:colOff>47625</xdr:colOff>
      <xdr:row>621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618</xdr:row>
      <xdr:rowOff>19050</xdr:rowOff>
    </xdr:from>
    <xdr:to>
      <xdr:col>24</xdr:col>
      <xdr:colOff>49180</xdr:colOff>
      <xdr:row>618</xdr:row>
      <xdr:rowOff>142875</xdr:rowOff>
    </xdr:to>
    <xdr:pic>
      <xdr:nvPicPr>
        <xdr:cNvPr id="1476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849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615</xdr:row>
      <xdr:rowOff>19050</xdr:rowOff>
    </xdr:from>
    <xdr:ext cx="819150" cy="123825"/>
    <xdr:pic>
      <xdr:nvPicPr>
        <xdr:cNvPr id="1480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392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19150" cy="123825"/>
    <xdr:pic>
      <xdr:nvPicPr>
        <xdr:cNvPr id="148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545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19150" cy="123825"/>
    <xdr:pic>
      <xdr:nvPicPr>
        <xdr:cNvPr id="1486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697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623</xdr:row>
      <xdr:rowOff>19050</xdr:rowOff>
    </xdr:from>
    <xdr:to>
      <xdr:col>24</xdr:col>
      <xdr:colOff>49180</xdr:colOff>
      <xdr:row>623</xdr:row>
      <xdr:rowOff>142875</xdr:rowOff>
    </xdr:to>
    <xdr:pic>
      <xdr:nvPicPr>
        <xdr:cNvPr id="1487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61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626</xdr:row>
      <xdr:rowOff>19050</xdr:rowOff>
    </xdr:from>
    <xdr:to>
      <xdr:col>24</xdr:col>
      <xdr:colOff>49180</xdr:colOff>
      <xdr:row>626</xdr:row>
      <xdr:rowOff>142875</xdr:rowOff>
    </xdr:to>
    <xdr:pic>
      <xdr:nvPicPr>
        <xdr:cNvPr id="1489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6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624</xdr:row>
      <xdr:rowOff>19050</xdr:rowOff>
    </xdr:from>
    <xdr:to>
      <xdr:col>24</xdr:col>
      <xdr:colOff>49180</xdr:colOff>
      <xdr:row>624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627</xdr:row>
      <xdr:rowOff>19050</xdr:rowOff>
    </xdr:from>
    <xdr:ext cx="820705" cy="123825"/>
    <xdr:pic>
      <xdr:nvPicPr>
        <xdr:cNvPr id="1492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22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619</xdr:row>
      <xdr:rowOff>19050</xdr:rowOff>
    </xdr:from>
    <xdr:to>
      <xdr:col>24</xdr:col>
      <xdr:colOff>49180</xdr:colOff>
      <xdr:row>619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620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622</xdr:row>
      <xdr:rowOff>19050</xdr:rowOff>
    </xdr:from>
    <xdr:to>
      <xdr:col>24</xdr:col>
      <xdr:colOff>47624</xdr:colOff>
      <xdr:row>622</xdr:row>
      <xdr:rowOff>142875</xdr:rowOff>
    </xdr:to>
    <xdr:pic>
      <xdr:nvPicPr>
        <xdr:cNvPr id="14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4595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610</xdr:row>
      <xdr:rowOff>19050</xdr:rowOff>
    </xdr:from>
    <xdr:to>
      <xdr:col>24</xdr:col>
      <xdr:colOff>47625</xdr:colOff>
      <xdr:row>610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611</xdr:row>
      <xdr:rowOff>19050</xdr:rowOff>
    </xdr:from>
    <xdr:to>
      <xdr:col>24</xdr:col>
      <xdr:colOff>47625</xdr:colOff>
      <xdr:row>611</xdr:row>
      <xdr:rowOff>142875</xdr:rowOff>
    </xdr:to>
    <xdr:pic>
      <xdr:nvPicPr>
        <xdr:cNvPr id="14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087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612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609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547</xdr:row>
      <xdr:rowOff>28575</xdr:rowOff>
    </xdr:from>
    <xdr:ext cx="342900" cy="104775"/>
    <xdr:pic>
      <xdr:nvPicPr>
        <xdr:cNvPr id="93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38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143</xdr:row>
      <xdr:rowOff>19050</xdr:rowOff>
    </xdr:from>
    <xdr:to>
      <xdr:col>8</xdr:col>
      <xdr:colOff>181170</xdr:colOff>
      <xdr:row>143</xdr:row>
      <xdr:rowOff>142875</xdr:rowOff>
    </xdr:to>
    <xdr:pic>
      <xdr:nvPicPr>
        <xdr:cNvPr id="939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222980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8</xdr:col>
      <xdr:colOff>181170</xdr:colOff>
      <xdr:row>145</xdr:row>
      <xdr:rowOff>142875</xdr:rowOff>
    </xdr:to>
    <xdr:pic>
      <xdr:nvPicPr>
        <xdr:cNvPr id="941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226028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448</xdr:row>
      <xdr:rowOff>19050</xdr:rowOff>
    </xdr:from>
    <xdr:to>
      <xdr:col>8</xdr:col>
      <xdr:colOff>181170</xdr:colOff>
      <xdr:row>448</xdr:row>
      <xdr:rowOff>142875</xdr:rowOff>
    </xdr:to>
    <xdr:pic>
      <xdr:nvPicPr>
        <xdr:cNvPr id="105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9122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53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525</xdr:row>
      <xdr:rowOff>28575</xdr:rowOff>
    </xdr:from>
    <xdr:ext cx="342900" cy="104775"/>
    <xdr:pic>
      <xdr:nvPicPr>
        <xdr:cNvPr id="107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37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75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590</xdr:row>
      <xdr:rowOff>28575</xdr:rowOff>
    </xdr:from>
    <xdr:ext cx="342900" cy="104775"/>
    <xdr:pic>
      <xdr:nvPicPr>
        <xdr:cNvPr id="12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421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590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03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1305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489</xdr:row>
      <xdr:rowOff>28575</xdr:rowOff>
    </xdr:from>
    <xdr:to>
      <xdr:col>1</xdr:col>
      <xdr:colOff>0</xdr:colOff>
      <xdr:row>489</xdr:row>
      <xdr:rowOff>133350</xdr:rowOff>
    </xdr:to>
    <xdr:pic>
      <xdr:nvPicPr>
        <xdr:cNvPr id="990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66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490</xdr:row>
      <xdr:rowOff>28575</xdr:rowOff>
    </xdr:from>
    <xdr:to>
      <xdr:col>1</xdr:col>
      <xdr:colOff>0</xdr:colOff>
      <xdr:row>490</xdr:row>
      <xdr:rowOff>133350</xdr:rowOff>
    </xdr:to>
    <xdr:pic>
      <xdr:nvPicPr>
        <xdr:cNvPr id="1312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18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630</xdr:row>
      <xdr:rowOff>28575</xdr:rowOff>
    </xdr:from>
    <xdr:to>
      <xdr:col>1</xdr:col>
      <xdr:colOff>0</xdr:colOff>
      <xdr:row>630</xdr:row>
      <xdr:rowOff>133350</xdr:rowOff>
    </xdr:to>
    <xdr:pic>
      <xdr:nvPicPr>
        <xdr:cNvPr id="1322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16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329" name="Imagen 132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519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628</xdr:row>
      <xdr:rowOff>19050</xdr:rowOff>
    </xdr:from>
    <xdr:ext cx="820705" cy="123825"/>
    <xdr:pic>
      <xdr:nvPicPr>
        <xdr:cNvPr id="94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6602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628</xdr:row>
      <xdr:rowOff>28575</xdr:rowOff>
    </xdr:from>
    <xdr:ext cx="342900" cy="104775"/>
    <xdr:pic>
      <xdr:nvPicPr>
        <xdr:cNvPr id="13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16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276</xdr:row>
      <xdr:rowOff>19050</xdr:rowOff>
    </xdr:from>
    <xdr:to>
      <xdr:col>18</xdr:col>
      <xdr:colOff>9526</xdr:colOff>
      <xdr:row>276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360</xdr:row>
      <xdr:rowOff>19050</xdr:rowOff>
    </xdr:from>
    <xdr:to>
      <xdr:col>8</xdr:col>
      <xdr:colOff>181170</xdr:colOff>
      <xdr:row>360</xdr:row>
      <xdr:rowOff>142875</xdr:rowOff>
    </xdr:to>
    <xdr:pic>
      <xdr:nvPicPr>
        <xdr:cNvPr id="1358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555117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406</xdr:row>
      <xdr:rowOff>28575</xdr:rowOff>
    </xdr:from>
    <xdr:ext cx="342900" cy="104775"/>
    <xdr:pic>
      <xdr:nvPicPr>
        <xdr:cNvPr id="137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495</xdr:row>
      <xdr:rowOff>19050</xdr:rowOff>
    </xdr:from>
    <xdr:to>
      <xdr:col>24</xdr:col>
      <xdr:colOff>47625</xdr:colOff>
      <xdr:row>495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496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282</xdr:row>
      <xdr:rowOff>19050</xdr:rowOff>
    </xdr:from>
    <xdr:to>
      <xdr:col>8</xdr:col>
      <xdr:colOff>181170</xdr:colOff>
      <xdr:row>282</xdr:row>
      <xdr:rowOff>142875</xdr:rowOff>
    </xdr:to>
    <xdr:pic>
      <xdr:nvPicPr>
        <xdr:cNvPr id="1247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35768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463" TargetMode="External"/><Relationship Id="rId21" Type="http://schemas.openxmlformats.org/officeDocument/2006/relationships/hyperlink" Target="https://www.jivi.com.ar/ficha.php?id=98" TargetMode="External"/><Relationship Id="rId324" Type="http://schemas.openxmlformats.org/officeDocument/2006/relationships/hyperlink" Target="https://www.jivi.com.ar/ficha.php?id=1451" TargetMode="External"/><Relationship Id="rId531" Type="http://schemas.openxmlformats.org/officeDocument/2006/relationships/hyperlink" Target="https://www.jivi.com.ar/ficha.php?id=1721" TargetMode="External"/><Relationship Id="rId170" Type="http://schemas.openxmlformats.org/officeDocument/2006/relationships/hyperlink" Target="https://www.jivi.com.ar/ficha.php?id=1062" TargetMode="External"/><Relationship Id="rId268" Type="http://schemas.openxmlformats.org/officeDocument/2006/relationships/hyperlink" Target="https://www.jivi.com.ar/ficha.php?id=1391" TargetMode="External"/><Relationship Id="rId475" Type="http://schemas.openxmlformats.org/officeDocument/2006/relationships/hyperlink" Target="https://www.jivi.com.ar/ficha.php?id=1619" TargetMode="External"/><Relationship Id="rId32" Type="http://schemas.openxmlformats.org/officeDocument/2006/relationships/hyperlink" Target="https://www.jivi.com.ar/ficha.php?id=109" TargetMode="External"/><Relationship Id="rId128" Type="http://schemas.openxmlformats.org/officeDocument/2006/relationships/hyperlink" Target="https://www.jivi.com.ar/ficha.php?id=783" TargetMode="External"/><Relationship Id="rId335" Type="http://schemas.openxmlformats.org/officeDocument/2006/relationships/hyperlink" Target="https://www.jivi.com.ar/ficha.php?id=1468" TargetMode="External"/><Relationship Id="rId542" Type="http://schemas.openxmlformats.org/officeDocument/2006/relationships/hyperlink" Target="https://www.jivi.com.ar/ficha.php?id=465" TargetMode="External"/><Relationship Id="rId181" Type="http://schemas.openxmlformats.org/officeDocument/2006/relationships/hyperlink" Target="https://www.jivi.com.ar/ficha.php?id=1097" TargetMode="External"/><Relationship Id="rId402" Type="http://schemas.openxmlformats.org/officeDocument/2006/relationships/hyperlink" Target="https://www.jivi.com.ar/ficha.php?id=1561" TargetMode="External"/><Relationship Id="rId279" Type="http://schemas.openxmlformats.org/officeDocument/2006/relationships/hyperlink" Target="https://www.jivi.com.ar/ficha.php?id=1392" TargetMode="External"/><Relationship Id="rId486" Type="http://schemas.openxmlformats.org/officeDocument/2006/relationships/hyperlink" Target="https://www.jivi.com.ar/ficha.php?id=1643" TargetMode="External"/><Relationship Id="rId43" Type="http://schemas.openxmlformats.org/officeDocument/2006/relationships/hyperlink" Target="https://www.jivi.com.ar/ficha.php?id=401" TargetMode="External"/><Relationship Id="rId139" Type="http://schemas.openxmlformats.org/officeDocument/2006/relationships/hyperlink" Target="https://www.jivi.com.ar/ficha.php?id=888" TargetMode="External"/><Relationship Id="rId346" Type="http://schemas.openxmlformats.org/officeDocument/2006/relationships/hyperlink" Target="https://www.jivi.com.ar/ficha.php?id=1481" TargetMode="External"/><Relationship Id="rId553" Type="http://schemas.openxmlformats.org/officeDocument/2006/relationships/hyperlink" Target="https://www.jivi.com.ar/ficha.php?id=1746" TargetMode="External"/><Relationship Id="rId192" Type="http://schemas.openxmlformats.org/officeDocument/2006/relationships/hyperlink" Target="https://www.jivi.com.ar/ficha.php?id=1141" TargetMode="External"/><Relationship Id="rId206" Type="http://schemas.openxmlformats.org/officeDocument/2006/relationships/hyperlink" Target="https://www.jivi.com.ar/ficha.php?id=349" TargetMode="External"/><Relationship Id="rId413" Type="http://schemas.openxmlformats.org/officeDocument/2006/relationships/hyperlink" Target="https://www.jivi.com.ar/ficha.php?id=1565" TargetMode="External"/><Relationship Id="rId497" Type="http://schemas.openxmlformats.org/officeDocument/2006/relationships/hyperlink" Target="https://www.jivi.com.ar/ficha.php?id=1656" TargetMode="External"/><Relationship Id="rId357" Type="http://schemas.openxmlformats.org/officeDocument/2006/relationships/hyperlink" Target="https://www.jivi.com.ar/ficha.php?id=1499" TargetMode="External"/><Relationship Id="rId54" Type="http://schemas.openxmlformats.org/officeDocument/2006/relationships/hyperlink" Target="https://www.jivi.com.ar/ficha.php?id=409" TargetMode="External"/><Relationship Id="rId217" Type="http://schemas.openxmlformats.org/officeDocument/2006/relationships/hyperlink" Target="https://www.jivi.com.ar/ficha.php?id=1224" TargetMode="External"/><Relationship Id="rId564" Type="http://schemas.openxmlformats.org/officeDocument/2006/relationships/vmlDrawing" Target="../drawings/vmlDrawing1.vml"/><Relationship Id="rId424" Type="http://schemas.openxmlformats.org/officeDocument/2006/relationships/hyperlink" Target="https://www.jivi.com.ar/ficha.php?id=1294" TargetMode="External"/><Relationship Id="rId270" Type="http://schemas.openxmlformats.org/officeDocument/2006/relationships/hyperlink" Target="https://www.jivi.com.ar/ficha.php?id=236" TargetMode="External"/><Relationship Id="rId65" Type="http://schemas.openxmlformats.org/officeDocument/2006/relationships/hyperlink" Target="https://www.jivi.com.ar/ficha.php?id=55" TargetMode="External"/><Relationship Id="rId130" Type="http://schemas.openxmlformats.org/officeDocument/2006/relationships/hyperlink" Target="https://www.jivi.com.ar/ficha.php?id=76" TargetMode="External"/><Relationship Id="rId368" Type="http://schemas.openxmlformats.org/officeDocument/2006/relationships/hyperlink" Target="https://www.jivi.com.ar/ficha.php?id=1513" TargetMode="External"/><Relationship Id="rId172" Type="http://schemas.openxmlformats.org/officeDocument/2006/relationships/hyperlink" Target="https://www.jivi.com.ar/ficha.php?id=1080" TargetMode="External"/><Relationship Id="rId228" Type="http://schemas.openxmlformats.org/officeDocument/2006/relationships/hyperlink" Target="https://www.jivi.com.ar/ficha.php?id=1124" TargetMode="External"/><Relationship Id="rId435" Type="http://schemas.openxmlformats.org/officeDocument/2006/relationships/hyperlink" Target="https://www.jivi.com.ar/ficha.php?id=1584" TargetMode="External"/><Relationship Id="rId477" Type="http://schemas.openxmlformats.org/officeDocument/2006/relationships/hyperlink" Target="https://www.jivi.com.ar/ficha.php?id=1355" TargetMode="External"/><Relationship Id="rId281" Type="http://schemas.openxmlformats.org/officeDocument/2006/relationships/hyperlink" Target="https://www.jivi.com.ar/ficha.php?id=1110" TargetMode="External"/><Relationship Id="rId337" Type="http://schemas.openxmlformats.org/officeDocument/2006/relationships/hyperlink" Target="https://www.jivi.com.ar/ficha.php?id=1471" TargetMode="External"/><Relationship Id="rId502" Type="http://schemas.openxmlformats.org/officeDocument/2006/relationships/hyperlink" Target="https://www.jivi.com.ar/ficha.php?id=440" TargetMode="External"/><Relationship Id="rId34" Type="http://schemas.openxmlformats.org/officeDocument/2006/relationships/hyperlink" Target="https://www.jivi.com.ar/ficha.php?id=111" TargetMode="External"/><Relationship Id="rId76" Type="http://schemas.openxmlformats.org/officeDocument/2006/relationships/hyperlink" Target="https://www.jivi.com.ar/ficha.php?id=10" TargetMode="External"/><Relationship Id="rId141" Type="http://schemas.openxmlformats.org/officeDocument/2006/relationships/hyperlink" Target="https://www.jivi.com.ar/ficha.php?id=881" TargetMode="External"/><Relationship Id="rId379" Type="http://schemas.openxmlformats.org/officeDocument/2006/relationships/hyperlink" Target="https://www.jivi.com.ar/ficha.php?id=1535" TargetMode="External"/><Relationship Id="rId544" Type="http://schemas.openxmlformats.org/officeDocument/2006/relationships/hyperlink" Target="https://www.jivi.com.ar/ficha.php?id=1077" TargetMode="External"/><Relationship Id="rId7" Type="http://schemas.openxmlformats.org/officeDocument/2006/relationships/hyperlink" Target="https://www.jivi.com.ar/ficha.php?id=726" TargetMode="External"/><Relationship Id="rId183" Type="http://schemas.openxmlformats.org/officeDocument/2006/relationships/hyperlink" Target="https://www.jivi.com.ar/ficha.php?id=885" TargetMode="External"/><Relationship Id="rId239" Type="http://schemas.openxmlformats.org/officeDocument/2006/relationships/hyperlink" Target="https://www.jivi.com.ar/ficha.php?id=1303" TargetMode="External"/><Relationship Id="rId390" Type="http://schemas.openxmlformats.org/officeDocument/2006/relationships/hyperlink" Target="https://www.jivi.com.ar/ficha.php?id=1548" TargetMode="External"/><Relationship Id="rId404" Type="http://schemas.openxmlformats.org/officeDocument/2006/relationships/hyperlink" Target="https://www.jivi.com.ar/ficha.php?id=1066" TargetMode="External"/><Relationship Id="rId446" Type="http://schemas.openxmlformats.org/officeDocument/2006/relationships/hyperlink" Target="https://www.jivi.com.ar/ficha.php?id=1594" TargetMode="External"/><Relationship Id="rId250" Type="http://schemas.openxmlformats.org/officeDocument/2006/relationships/hyperlink" Target="https://www.jivi.com.ar/ficha.php?id=1347" TargetMode="External"/><Relationship Id="rId292" Type="http://schemas.openxmlformats.org/officeDocument/2006/relationships/hyperlink" Target="https://www.jivi.com.ar/ficha.php?id=1084" TargetMode="External"/><Relationship Id="rId306" Type="http://schemas.openxmlformats.org/officeDocument/2006/relationships/hyperlink" Target="https://www.jivi.com.ar/ficha.php?id=1433" TargetMode="External"/><Relationship Id="rId488" Type="http://schemas.openxmlformats.org/officeDocument/2006/relationships/hyperlink" Target="https://www.jivi.com.ar/ficha.php?id=1644" TargetMode="External"/><Relationship Id="rId45" Type="http://schemas.openxmlformats.org/officeDocument/2006/relationships/hyperlink" Target="https://www.jivi.com.ar/ficha.php?id=403" TargetMode="External"/><Relationship Id="rId87" Type="http://schemas.openxmlformats.org/officeDocument/2006/relationships/hyperlink" Target="https://www.jivi.com.ar/ficha.php?id=136" TargetMode="External"/><Relationship Id="rId110" Type="http://schemas.openxmlformats.org/officeDocument/2006/relationships/hyperlink" Target="https://www.jivi.com.ar/ficha.php?id=220" TargetMode="External"/><Relationship Id="rId348" Type="http://schemas.openxmlformats.org/officeDocument/2006/relationships/hyperlink" Target="https://www.jivi.com.ar/ficha.php?id=1486" TargetMode="External"/><Relationship Id="rId513" Type="http://schemas.openxmlformats.org/officeDocument/2006/relationships/hyperlink" Target="https://www.jivi.com.ar/ficha.php?id=1438" TargetMode="External"/><Relationship Id="rId555" Type="http://schemas.openxmlformats.org/officeDocument/2006/relationships/hyperlink" Target="https://www.jivi.com.ar/ficha.php?id=1747" TargetMode="External"/><Relationship Id="rId152" Type="http://schemas.openxmlformats.org/officeDocument/2006/relationships/hyperlink" Target="https://www.jivi.com.ar/ficha.php?id=956" TargetMode="External"/><Relationship Id="rId194" Type="http://schemas.openxmlformats.org/officeDocument/2006/relationships/hyperlink" Target="https://www.jivi.com.ar/ficha.php?id=1156" TargetMode="External"/><Relationship Id="rId208" Type="http://schemas.openxmlformats.org/officeDocument/2006/relationships/hyperlink" Target="https://www.jivi.com.ar/ficha.php?id=1192" TargetMode="External"/><Relationship Id="rId415" Type="http://schemas.openxmlformats.org/officeDocument/2006/relationships/hyperlink" Target="https://www.jivi.com.ar/ficha.php?id=1567" TargetMode="External"/><Relationship Id="rId457" Type="http://schemas.openxmlformats.org/officeDocument/2006/relationships/hyperlink" Target="https://www.jivi.com.ar/ficha.php?id=1270" TargetMode="External"/><Relationship Id="rId261" Type="http://schemas.openxmlformats.org/officeDocument/2006/relationships/hyperlink" Target="https://www.jivi.com.ar/ficha.php?id=1383" TargetMode="External"/><Relationship Id="rId499" Type="http://schemas.openxmlformats.org/officeDocument/2006/relationships/hyperlink" Target="https://www.jivi.com.ar/ficha.php?id=1658" TargetMode="External"/><Relationship Id="rId14" Type="http://schemas.openxmlformats.org/officeDocument/2006/relationships/hyperlink" Target="https://www.jivi.com.ar/ficha.php?id=650" TargetMode="External"/><Relationship Id="rId56" Type="http://schemas.openxmlformats.org/officeDocument/2006/relationships/hyperlink" Target="https://www.jivi.com.ar/ficha.php?id=119" TargetMode="External"/><Relationship Id="rId317" Type="http://schemas.openxmlformats.org/officeDocument/2006/relationships/hyperlink" Target="https://www.jivi.com.ar/ficha.php?id=1443" TargetMode="External"/><Relationship Id="rId359" Type="http://schemas.openxmlformats.org/officeDocument/2006/relationships/hyperlink" Target="https://www.jivi.com.ar/ficha.php?id=1502" TargetMode="External"/><Relationship Id="rId524" Type="http://schemas.openxmlformats.org/officeDocument/2006/relationships/hyperlink" Target="https://www.jivi.com.ar/ficha.php?id=1704" TargetMode="External"/><Relationship Id="rId98" Type="http://schemas.openxmlformats.org/officeDocument/2006/relationships/hyperlink" Target="https://www.jivi.com.ar/ficha.php?id=622" TargetMode="External"/><Relationship Id="rId121" Type="http://schemas.openxmlformats.org/officeDocument/2006/relationships/hyperlink" Target="https://www.jivi.com.ar/ficha.php?id=215" TargetMode="External"/><Relationship Id="rId163" Type="http://schemas.openxmlformats.org/officeDocument/2006/relationships/hyperlink" Target="https://www.jivi.com.ar/ficha.php?id=1025" TargetMode="External"/><Relationship Id="rId219" Type="http://schemas.openxmlformats.org/officeDocument/2006/relationships/hyperlink" Target="https://www.jivi.com.ar/ficha.php?id=1226" TargetMode="External"/><Relationship Id="rId370" Type="http://schemas.openxmlformats.org/officeDocument/2006/relationships/hyperlink" Target="https://www.jivi.com.ar/ficha.php?id=1516" TargetMode="External"/><Relationship Id="rId426" Type="http://schemas.openxmlformats.org/officeDocument/2006/relationships/hyperlink" Target="https://www.jivi.com.ar/ficha.php?id=1296" TargetMode="External"/><Relationship Id="rId230" Type="http://schemas.openxmlformats.org/officeDocument/2006/relationships/hyperlink" Target="https://www.jivi.com.ar/ficha.php?id=1267" TargetMode="External"/><Relationship Id="rId468" Type="http://schemas.openxmlformats.org/officeDocument/2006/relationships/hyperlink" Target="https://www.jivi.com.ar/ficha.php?id=1614" TargetMode="External"/><Relationship Id="rId25" Type="http://schemas.openxmlformats.org/officeDocument/2006/relationships/hyperlink" Target="https://www.jivi.com.ar/ficha.php?id=102" TargetMode="External"/><Relationship Id="rId67" Type="http://schemas.openxmlformats.org/officeDocument/2006/relationships/hyperlink" Target="https://www.jivi.com.ar/ficha.php?id=284" TargetMode="External"/><Relationship Id="rId272" Type="http://schemas.openxmlformats.org/officeDocument/2006/relationships/hyperlink" Target="https://www.jivi.com.ar/ficha.php?id=1394" TargetMode="External"/><Relationship Id="rId328" Type="http://schemas.openxmlformats.org/officeDocument/2006/relationships/hyperlink" Target="https://www.jivi.com.ar/ficha.php?id=1454" TargetMode="External"/><Relationship Id="rId535" Type="http://schemas.openxmlformats.org/officeDocument/2006/relationships/hyperlink" Target="https://www.jivi.com.ar/ficha.php?id=1727" TargetMode="External"/><Relationship Id="rId132" Type="http://schemas.openxmlformats.org/officeDocument/2006/relationships/hyperlink" Target="https://www.jivi.com.ar/ficha.php?id=708" TargetMode="External"/><Relationship Id="rId174" Type="http://schemas.openxmlformats.org/officeDocument/2006/relationships/hyperlink" Target="https://www.jivi.com.ar/ficha.php?id=1088" TargetMode="External"/><Relationship Id="rId381" Type="http://schemas.openxmlformats.org/officeDocument/2006/relationships/hyperlink" Target="https://www.jivi.com.ar/ficha.php?id=1539" TargetMode="External"/><Relationship Id="rId241" Type="http://schemas.openxmlformats.org/officeDocument/2006/relationships/hyperlink" Target="https://www.jivi.com.ar/ficha.php?id=1306" TargetMode="External"/><Relationship Id="rId437" Type="http://schemas.openxmlformats.org/officeDocument/2006/relationships/hyperlink" Target="https://www.jivi.com.ar/ficha.php?id=1587" TargetMode="External"/><Relationship Id="rId479" Type="http://schemas.openxmlformats.org/officeDocument/2006/relationships/hyperlink" Target="https://www.jivi.com.ar/ficha.php?id=1204" TargetMode="External"/><Relationship Id="rId36" Type="http://schemas.openxmlformats.org/officeDocument/2006/relationships/hyperlink" Target="https://www.jivi.com.ar/ficha.php?id=112" TargetMode="External"/><Relationship Id="rId283" Type="http://schemas.openxmlformats.org/officeDocument/2006/relationships/hyperlink" Target="https://www.jivi.com.ar/ficha.php?id=477" TargetMode="External"/><Relationship Id="rId339" Type="http://schemas.openxmlformats.org/officeDocument/2006/relationships/hyperlink" Target="htthttps://www.jivi.com.ar/ficha.php?id=1476" TargetMode="External"/><Relationship Id="rId490" Type="http://schemas.openxmlformats.org/officeDocument/2006/relationships/hyperlink" Target="https://www.jivi.com.ar/ficha.php?id=1639" TargetMode="External"/><Relationship Id="rId504" Type="http://schemas.openxmlformats.org/officeDocument/2006/relationships/hyperlink" Target="https://www.jivi.com.ar/ficha.php?id=1666" TargetMode="External"/><Relationship Id="rId546" Type="http://schemas.openxmlformats.org/officeDocument/2006/relationships/hyperlink" Target="https://www.jivi.com.ar/ficha.php?id=1739" TargetMode="External"/><Relationship Id="rId78" Type="http://schemas.openxmlformats.org/officeDocument/2006/relationships/hyperlink" Target="https://www.jivi.com.ar/ficha.php?id=394" TargetMode="External"/><Relationship Id="rId101" Type="http://schemas.openxmlformats.org/officeDocument/2006/relationships/hyperlink" Target="https://www.jivi.com.ar/ficha.php?id=431" TargetMode="External"/><Relationship Id="rId143" Type="http://schemas.openxmlformats.org/officeDocument/2006/relationships/hyperlink" Target="https://www.jivi.com.ar/ficha.php?id=886" TargetMode="External"/><Relationship Id="rId185" Type="http://schemas.openxmlformats.org/officeDocument/2006/relationships/hyperlink" Target="https://www.jivi.com.ar/ficha.php?id=1108" TargetMode="External"/><Relationship Id="rId350" Type="http://schemas.openxmlformats.org/officeDocument/2006/relationships/hyperlink" Target="https://www.jivi.com.ar/ficha.php?id=1492" TargetMode="External"/><Relationship Id="rId406" Type="http://schemas.openxmlformats.org/officeDocument/2006/relationships/hyperlink" Target="https://www.jivi.com.ar/ficha.php?id=1563" TargetMode="External"/><Relationship Id="rId9" Type="http://schemas.openxmlformats.org/officeDocument/2006/relationships/hyperlink" Target="https://www.jivi.com.ar/ficha.php?id=717" TargetMode="External"/><Relationship Id="rId210" Type="http://schemas.openxmlformats.org/officeDocument/2006/relationships/hyperlink" Target="https://www.jivi.com.ar/ficha.php?id=1209" TargetMode="External"/><Relationship Id="rId392" Type="http://schemas.openxmlformats.org/officeDocument/2006/relationships/hyperlink" Target="https://www.jivi.com.ar/ficha.php?id=1551" TargetMode="External"/><Relationship Id="rId448" Type="http://schemas.openxmlformats.org/officeDocument/2006/relationships/hyperlink" Target="https://www.jivi.com.ar/ficha.php?id=1596" TargetMode="External"/><Relationship Id="rId252" Type="http://schemas.openxmlformats.org/officeDocument/2006/relationships/hyperlink" Target="https://www.jivi.com.ar/ficha.php?id=1359" TargetMode="External"/><Relationship Id="rId294" Type="http://schemas.openxmlformats.org/officeDocument/2006/relationships/hyperlink" Target="https://www.jivi.com.ar/ficha.php?id=1419" TargetMode="External"/><Relationship Id="rId308" Type="http://schemas.openxmlformats.org/officeDocument/2006/relationships/hyperlink" Target="https://www.jivi.com.ar/ficha.php?id=1437" TargetMode="External"/><Relationship Id="rId515" Type="http://schemas.openxmlformats.org/officeDocument/2006/relationships/hyperlink" Target="https://www.jivi.com.ar/ficha.php?id=36" TargetMode="External"/><Relationship Id="rId47" Type="http://schemas.openxmlformats.org/officeDocument/2006/relationships/hyperlink" Target="https://www.jivi.com.ar/ficha.php?id=713" TargetMode="External"/><Relationship Id="rId89" Type="http://schemas.openxmlformats.org/officeDocument/2006/relationships/hyperlink" Target="https://www.jivi.com.ar/ficha.php?id=138" TargetMode="External"/><Relationship Id="rId112" Type="http://schemas.openxmlformats.org/officeDocument/2006/relationships/hyperlink" Target="https://www.jivi.com.ar/ficha.php?id=398" TargetMode="External"/><Relationship Id="rId154" Type="http://schemas.openxmlformats.org/officeDocument/2006/relationships/hyperlink" Target="https://www.jivi.com.ar/ficha.php?id=967" TargetMode="External"/><Relationship Id="rId361" Type="http://schemas.openxmlformats.org/officeDocument/2006/relationships/hyperlink" Target="https://www.jivi.com.ar/ficha.php?id=1504" TargetMode="External"/><Relationship Id="rId557" Type="http://schemas.openxmlformats.org/officeDocument/2006/relationships/hyperlink" Target="https://www.jivi.com.ar/ficha.php?id=1749" TargetMode="External"/><Relationship Id="rId196" Type="http://schemas.openxmlformats.org/officeDocument/2006/relationships/hyperlink" Target="https://www.jivi.com.ar/ficha.php?id=1152" TargetMode="External"/><Relationship Id="rId417" Type="http://schemas.openxmlformats.org/officeDocument/2006/relationships/hyperlink" Target="https://www.jivi.com.ar/ficha.php?id=1569" TargetMode="External"/><Relationship Id="rId459" Type="http://schemas.openxmlformats.org/officeDocument/2006/relationships/hyperlink" Target="https://www.jivi.com.ar/ficha.php?id=1459" TargetMode="External"/><Relationship Id="rId16" Type="http://schemas.openxmlformats.org/officeDocument/2006/relationships/hyperlink" Target="https://www.jivi.com.ar/ficha.php?id=77" TargetMode="External"/><Relationship Id="rId221" Type="http://schemas.openxmlformats.org/officeDocument/2006/relationships/hyperlink" Target="https://www.jivi.com.ar/ficha.php?id=1060" TargetMode="External"/><Relationship Id="rId263" Type="http://schemas.openxmlformats.org/officeDocument/2006/relationships/hyperlink" Target="https://www.jivi.com.ar/ficha.php?id=1428" TargetMode="External"/><Relationship Id="rId319" Type="http://schemas.openxmlformats.org/officeDocument/2006/relationships/hyperlink" Target="https://www.jivi.com.ar/ficha.php?id=1446" TargetMode="External"/><Relationship Id="rId470" Type="http://schemas.openxmlformats.org/officeDocument/2006/relationships/hyperlink" Target="https://www.jivi.com.ar/ficha.php?id=608" TargetMode="External"/><Relationship Id="rId526" Type="http://schemas.openxmlformats.org/officeDocument/2006/relationships/hyperlink" Target="https://www.jivi.com.ar/ficha.php?id=1457" TargetMode="External"/><Relationship Id="rId58" Type="http://schemas.openxmlformats.org/officeDocument/2006/relationships/hyperlink" Target="https://www.jivi.com.ar/ficha.php?id=121" TargetMode="External"/><Relationship Id="rId123" Type="http://schemas.openxmlformats.org/officeDocument/2006/relationships/hyperlink" Target="https://www.jivi.com.ar/ficha.php?id=354" TargetMode="External"/><Relationship Id="rId330" Type="http://schemas.openxmlformats.org/officeDocument/2006/relationships/hyperlink" Target="https://www.jivi.com.ar/ficha.php?id=1463" TargetMode="External"/><Relationship Id="rId165" Type="http://schemas.openxmlformats.org/officeDocument/2006/relationships/hyperlink" Target="https://www.jivi.com.ar/ficha.php?id=1049" TargetMode="External"/><Relationship Id="rId372" Type="http://schemas.openxmlformats.org/officeDocument/2006/relationships/hyperlink" Target="https://www.jivi.com.ar/ficha.php?id=1523" TargetMode="External"/><Relationship Id="rId428" Type="http://schemas.openxmlformats.org/officeDocument/2006/relationships/hyperlink" Target="https://www.jivi.com.ar/ficha.php?id=1249" TargetMode="External"/><Relationship Id="rId232" Type="http://schemas.openxmlformats.org/officeDocument/2006/relationships/hyperlink" Target="https://www.jivi.com.ar/ficha.php?id=1277" TargetMode="External"/><Relationship Id="rId274" Type="http://schemas.openxmlformats.org/officeDocument/2006/relationships/hyperlink" Target="https://www.jivi.com.ar/ficha.php?id=1398" TargetMode="External"/><Relationship Id="rId481" Type="http://schemas.openxmlformats.org/officeDocument/2006/relationships/hyperlink" Target="https://www.jivi.com.ar/ficha.php?id=139" TargetMode="External"/><Relationship Id="rId27" Type="http://schemas.openxmlformats.org/officeDocument/2006/relationships/hyperlink" Target="https://www.jivi.com.ar/ficha.php?id=104" TargetMode="External"/><Relationship Id="rId69" Type="http://schemas.openxmlformats.org/officeDocument/2006/relationships/hyperlink" Target="https://www.jivi.com.ar/ficha.php?id=380" TargetMode="External"/><Relationship Id="rId134" Type="http://schemas.openxmlformats.org/officeDocument/2006/relationships/hyperlink" Target="https://www.jivi.com.ar/ficha.php?id=840" TargetMode="External"/><Relationship Id="rId537" Type="http://schemas.openxmlformats.org/officeDocument/2006/relationships/hyperlink" Target="https://www.jivi.com.ar/ficha.php?id=1729" TargetMode="External"/><Relationship Id="rId80" Type="http://schemas.openxmlformats.org/officeDocument/2006/relationships/hyperlink" Target="https://www.jivi.com.ar/ficha.php?id=18" TargetMode="External"/><Relationship Id="rId176" Type="http://schemas.openxmlformats.org/officeDocument/2006/relationships/hyperlink" Target="https://www.jivi.com.ar/ficha.php?id=1090" TargetMode="External"/><Relationship Id="rId341" Type="http://schemas.openxmlformats.org/officeDocument/2006/relationships/hyperlink" Target="https://www.jivi.com.ar/ficha.php?id=996" TargetMode="External"/><Relationship Id="rId383" Type="http://schemas.openxmlformats.org/officeDocument/2006/relationships/hyperlink" Target="https://www.jivi.com.ar/ficha.php?id=1541" TargetMode="External"/><Relationship Id="rId439" Type="http://schemas.openxmlformats.org/officeDocument/2006/relationships/hyperlink" Target="https://www.jivi.com.ar/ficha.php?id=1588" TargetMode="External"/><Relationship Id="rId201" Type="http://schemas.openxmlformats.org/officeDocument/2006/relationships/hyperlink" Target="https://www.jivi.com.ar/ficha.php?id=1175" TargetMode="External"/><Relationship Id="rId243" Type="http://schemas.openxmlformats.org/officeDocument/2006/relationships/hyperlink" Target="https://www.jivi.com.ar/ficha.php?id=1290" TargetMode="External"/><Relationship Id="rId285" Type="http://schemas.openxmlformats.org/officeDocument/2006/relationships/hyperlink" Target="https://www.jivi.com.ar/ficha.php?id=1402" TargetMode="External"/><Relationship Id="rId450" Type="http://schemas.openxmlformats.org/officeDocument/2006/relationships/hyperlink" Target="https://www.jivi.com.ar/ficha.php?id=1599" TargetMode="External"/><Relationship Id="rId506" Type="http://schemas.openxmlformats.org/officeDocument/2006/relationships/hyperlink" Target="https://www.jivi.com.ar/ficha.php?id=1684" TargetMode="External"/><Relationship Id="rId38" Type="http://schemas.openxmlformats.org/officeDocument/2006/relationships/hyperlink" Target="https://www.jivi.com.ar/ficha.php?id=115" TargetMode="External"/><Relationship Id="rId103" Type="http://schemas.openxmlformats.org/officeDocument/2006/relationships/hyperlink" Target="https://www.jivi.com.ar/ficha.php?id=48" TargetMode="External"/><Relationship Id="rId310" Type="http://schemas.openxmlformats.org/officeDocument/2006/relationships/hyperlink" Target="https://www.jivi.com.ar/ficha.php?id=1439" TargetMode="External"/><Relationship Id="rId492" Type="http://schemas.openxmlformats.org/officeDocument/2006/relationships/hyperlink" Target="https://www.jivi.com.ar/ficha.php?id=1654" TargetMode="External"/><Relationship Id="rId548" Type="http://schemas.openxmlformats.org/officeDocument/2006/relationships/hyperlink" Target="https://www.jivi.com.ar/ficha.php?id=1742" TargetMode="External"/><Relationship Id="rId91" Type="http://schemas.openxmlformats.org/officeDocument/2006/relationships/hyperlink" Target="https://www.jivi.com.ar/ficha.php?id=166" TargetMode="External"/><Relationship Id="rId145" Type="http://schemas.openxmlformats.org/officeDocument/2006/relationships/hyperlink" Target="https://www.jivi.com.ar/ficha.php?id=918" TargetMode="External"/><Relationship Id="rId187" Type="http://schemas.openxmlformats.org/officeDocument/2006/relationships/hyperlink" Target="https://www.jivi.com.ar/ficha.php?id=1119" TargetMode="External"/><Relationship Id="rId352" Type="http://schemas.openxmlformats.org/officeDocument/2006/relationships/hyperlink" Target="https://www.jivi.com.ar/ficha.php?id=1494" TargetMode="External"/><Relationship Id="rId394" Type="http://schemas.openxmlformats.org/officeDocument/2006/relationships/hyperlink" Target="https://www.jivi.com.ar/ficha.php?id=1311" TargetMode="External"/><Relationship Id="rId408" Type="http://schemas.openxmlformats.org/officeDocument/2006/relationships/hyperlink" Target="https://www.jivi.com.ar/ficha.php?id=790" TargetMode="External"/><Relationship Id="rId212" Type="http://schemas.openxmlformats.org/officeDocument/2006/relationships/hyperlink" Target="https://www.jivi.com.ar/ficha.php?id=1219" TargetMode="External"/><Relationship Id="rId254" Type="http://schemas.openxmlformats.org/officeDocument/2006/relationships/hyperlink" Target="https://www.jivi.com.ar/ficha.php?id=1365" TargetMode="External"/><Relationship Id="rId49" Type="http://schemas.openxmlformats.org/officeDocument/2006/relationships/hyperlink" Target="https://www.jivi.com.ar/ficha.php?id=404" TargetMode="External"/><Relationship Id="rId114" Type="http://schemas.openxmlformats.org/officeDocument/2006/relationships/hyperlink" Target="https://www.jivi.com.ar/ficha.php?id=568" TargetMode="External"/><Relationship Id="rId296" Type="http://schemas.openxmlformats.org/officeDocument/2006/relationships/hyperlink" Target="https://www.jivi.com.ar/ficha.php?id=1281" TargetMode="External"/><Relationship Id="rId461" Type="http://schemas.openxmlformats.org/officeDocument/2006/relationships/hyperlink" Target="https://www.jivi.com.ar/ficha.php?id=1609" TargetMode="External"/><Relationship Id="rId517" Type="http://schemas.openxmlformats.org/officeDocument/2006/relationships/hyperlink" Target="https://www.jivi.com.ar/ficha.php?id=1698" TargetMode="External"/><Relationship Id="rId559" Type="http://schemas.openxmlformats.org/officeDocument/2006/relationships/hyperlink" Target="https://www.jivi.com.ar/ficha.php?id=1294" TargetMode="External"/><Relationship Id="rId60" Type="http://schemas.openxmlformats.org/officeDocument/2006/relationships/hyperlink" Target="https://www.jivi.com.ar/ficha.php?id=123" TargetMode="External"/><Relationship Id="rId156" Type="http://schemas.openxmlformats.org/officeDocument/2006/relationships/hyperlink" Target="https://www.jivi.com.ar/ficha.php?id=850" TargetMode="External"/><Relationship Id="rId198" Type="http://schemas.openxmlformats.org/officeDocument/2006/relationships/hyperlink" Target="https://www.jivi.com.ar/ficha.php?id=1172" TargetMode="External"/><Relationship Id="rId321" Type="http://schemas.openxmlformats.org/officeDocument/2006/relationships/hyperlink" Target="https://www.jivi.com.ar/ficha.php?id=1448" TargetMode="External"/><Relationship Id="rId363" Type="http://schemas.openxmlformats.org/officeDocument/2006/relationships/hyperlink" Target="https://www.jivi.com.ar/ficha.php?id=1506" TargetMode="External"/><Relationship Id="rId419" Type="http://schemas.openxmlformats.org/officeDocument/2006/relationships/hyperlink" Target="https://www.jivi.com.ar/ficha.php?id=1571" TargetMode="External"/><Relationship Id="rId223" Type="http://schemas.openxmlformats.org/officeDocument/2006/relationships/hyperlink" Target="https://www.jivi.com.ar/ficha.php?id=883" TargetMode="External"/><Relationship Id="rId430" Type="http://schemas.openxmlformats.org/officeDocument/2006/relationships/hyperlink" Target="https://www.jivi.com.ar/ficha.php?id=1576" TargetMode="External"/><Relationship Id="rId18" Type="http://schemas.openxmlformats.org/officeDocument/2006/relationships/hyperlink" Target="https://www.jivi.com.ar/ficha.php?id=93" TargetMode="External"/><Relationship Id="rId265" Type="http://schemas.openxmlformats.org/officeDocument/2006/relationships/hyperlink" Target="https://www.jivi.com.ar/ficha.php?id=1387" TargetMode="External"/><Relationship Id="rId472" Type="http://schemas.openxmlformats.org/officeDocument/2006/relationships/hyperlink" Target="https://www.jivi.com.ar/ficha.php?id=1616" TargetMode="External"/><Relationship Id="rId528" Type="http://schemas.openxmlformats.org/officeDocument/2006/relationships/hyperlink" Target="https://www.jivi.com.ar/ficha.php?id=1707" TargetMode="External"/><Relationship Id="rId125" Type="http://schemas.openxmlformats.org/officeDocument/2006/relationships/hyperlink" Target="https://www.jivi.com.ar/ficha.php?id=234" TargetMode="External"/><Relationship Id="rId167" Type="http://schemas.openxmlformats.org/officeDocument/2006/relationships/hyperlink" Target="https://www.jivi.com.ar/ficha.php?id=1046" TargetMode="External"/><Relationship Id="rId332" Type="http://schemas.openxmlformats.org/officeDocument/2006/relationships/hyperlink" Target="https://www.jivi.com.ar/ficha.php?id=1465" TargetMode="External"/><Relationship Id="rId374" Type="http://schemas.openxmlformats.org/officeDocument/2006/relationships/hyperlink" Target="https://www.jivi.com.ar/ficha.php?id=1524" TargetMode="External"/><Relationship Id="rId71" Type="http://schemas.openxmlformats.org/officeDocument/2006/relationships/hyperlink" Target="https://www.jivi.com.ar/ficha.php?id=501" TargetMode="External"/><Relationship Id="rId234" Type="http://schemas.openxmlformats.org/officeDocument/2006/relationships/hyperlink" Target="https://www.jivi.com.ar/ficha.php?id=1280" TargetMode="External"/><Relationship Id="rId2" Type="http://schemas.openxmlformats.org/officeDocument/2006/relationships/hyperlink" Target="https://www.jivi.com.ar/ficha.php?id=27" TargetMode="External"/><Relationship Id="rId29" Type="http://schemas.openxmlformats.org/officeDocument/2006/relationships/hyperlink" Target="https://www.jivi.com.ar/ficha.php?id=106" TargetMode="External"/><Relationship Id="rId276" Type="http://schemas.openxmlformats.org/officeDocument/2006/relationships/hyperlink" Target="https://www.jivi.com.ar/ficha.php?id=1262" TargetMode="External"/><Relationship Id="rId441" Type="http://schemas.openxmlformats.org/officeDocument/2006/relationships/hyperlink" Target="https://www.jivi.com.ar/ficha.php?id=1589" TargetMode="External"/><Relationship Id="rId483" Type="http://schemas.openxmlformats.org/officeDocument/2006/relationships/hyperlink" Target="https://www.jivi.com.ar/ficha.php?id=1635" TargetMode="External"/><Relationship Id="rId539" Type="http://schemas.openxmlformats.org/officeDocument/2006/relationships/hyperlink" Target="https://www.jivi.com.ar/ficha.php?id=1731" TargetMode="External"/><Relationship Id="rId40" Type="http://schemas.openxmlformats.org/officeDocument/2006/relationships/hyperlink" Target="https://www.jivi.com.ar/ficha.php?id=117" TargetMode="External"/><Relationship Id="rId136" Type="http://schemas.openxmlformats.org/officeDocument/2006/relationships/hyperlink" Target="https://www.jivi.com.ar/ficha.php?id=848" TargetMode="External"/><Relationship Id="rId178" Type="http://schemas.openxmlformats.org/officeDocument/2006/relationships/hyperlink" Target="https://www.jivi.com.ar/ficha.php?id=1095" TargetMode="External"/><Relationship Id="rId301" Type="http://schemas.openxmlformats.org/officeDocument/2006/relationships/hyperlink" Target="https://www.jivi.com.ar/ficha.php?id=1425" TargetMode="External"/><Relationship Id="rId343" Type="http://schemas.openxmlformats.org/officeDocument/2006/relationships/hyperlink" Target="https://www.jivi.com.ar/ficha.php?id=1478" TargetMode="External"/><Relationship Id="rId550" Type="http://schemas.openxmlformats.org/officeDocument/2006/relationships/hyperlink" Target="https://www.jivi.com.ar/ficha.php?id=1743" TargetMode="External"/><Relationship Id="rId82" Type="http://schemas.openxmlformats.org/officeDocument/2006/relationships/hyperlink" Target="https://www.jivi.com.ar/ficha.php?id=140" TargetMode="External"/><Relationship Id="rId203" Type="http://schemas.openxmlformats.org/officeDocument/2006/relationships/hyperlink" Target="https://www.jivi.com.ar/ficha.php?id=1182" TargetMode="External"/><Relationship Id="rId385" Type="http://schemas.openxmlformats.org/officeDocument/2006/relationships/hyperlink" Target="https://www.jivi.com.ar/ficha.php?id=1363" TargetMode="External"/><Relationship Id="rId245" Type="http://schemas.openxmlformats.org/officeDocument/2006/relationships/hyperlink" Target="https://www.jivi.com.ar/ficha.php?id=1314" TargetMode="External"/><Relationship Id="rId287" Type="http://schemas.openxmlformats.org/officeDocument/2006/relationships/hyperlink" Target="https://www.jivi.com.ar/ficha.php?id=1405" TargetMode="External"/><Relationship Id="rId410" Type="http://schemas.openxmlformats.org/officeDocument/2006/relationships/hyperlink" Target="https://www.jivi.com.ar/ficha.php?id=1409" TargetMode="External"/><Relationship Id="rId452" Type="http://schemas.openxmlformats.org/officeDocument/2006/relationships/hyperlink" Target="https://www.jivi.com.ar/ficha.php?id=1603" TargetMode="External"/><Relationship Id="rId494" Type="http://schemas.openxmlformats.org/officeDocument/2006/relationships/hyperlink" Target="https://www.jivi.com.ar/ficha.php?id=1652" TargetMode="External"/><Relationship Id="rId508" Type="http://schemas.openxmlformats.org/officeDocument/2006/relationships/hyperlink" Target="https://www.jivi.com.ar/ficha.php?id=1687" TargetMode="External"/><Relationship Id="rId105" Type="http://schemas.openxmlformats.org/officeDocument/2006/relationships/hyperlink" Target="https://www.jivi.com.ar/ficha.php?id=472" TargetMode="External"/><Relationship Id="rId147" Type="http://schemas.openxmlformats.org/officeDocument/2006/relationships/hyperlink" Target="https://www.jivi.com.ar/ficha.php?id=938" TargetMode="External"/><Relationship Id="rId312" Type="http://schemas.openxmlformats.org/officeDocument/2006/relationships/hyperlink" Target="https://www.jivi.com.ar/ficha.php?id=1427" TargetMode="External"/><Relationship Id="rId354" Type="http://schemas.openxmlformats.org/officeDocument/2006/relationships/hyperlink" Target="https://www.jivi.com.ar/ficha.php?id=1496" TargetMode="External"/><Relationship Id="rId51" Type="http://schemas.openxmlformats.org/officeDocument/2006/relationships/hyperlink" Target="https://www.jivi.com.ar/ficha.php?id=406" TargetMode="External"/><Relationship Id="rId93" Type="http://schemas.openxmlformats.org/officeDocument/2006/relationships/hyperlink" Target="https://www.jivi.com.ar/ficha.php?id=168" TargetMode="External"/><Relationship Id="rId189" Type="http://schemas.openxmlformats.org/officeDocument/2006/relationships/hyperlink" Target="https://www.jivi.com.ar/ficha.php?id=1154" TargetMode="External"/><Relationship Id="rId396" Type="http://schemas.openxmlformats.org/officeDocument/2006/relationships/hyperlink" Target="https://www.jivi.com.ar/ficha.php?id=1554" TargetMode="External"/><Relationship Id="rId561" Type="http://schemas.openxmlformats.org/officeDocument/2006/relationships/hyperlink" Target="https://www.jivi.com.ar/ficha.php?id=1751" TargetMode="External"/><Relationship Id="rId214" Type="http://schemas.openxmlformats.org/officeDocument/2006/relationships/hyperlink" Target="https://www.jivi.com.ar/ficha.php?id=1222" TargetMode="External"/><Relationship Id="rId256" Type="http://schemas.openxmlformats.org/officeDocument/2006/relationships/hyperlink" Target="https://www.jivi.com.ar/registro.php" TargetMode="External"/><Relationship Id="rId298" Type="http://schemas.openxmlformats.org/officeDocument/2006/relationships/hyperlink" Target="https://www.jivi.com.ar/ficha.php?id=1421" TargetMode="External"/><Relationship Id="rId421" Type="http://schemas.openxmlformats.org/officeDocument/2006/relationships/hyperlink" Target="https://www.jivi.com.ar/ficha.php?id=218" TargetMode="External"/><Relationship Id="rId463" Type="http://schemas.openxmlformats.org/officeDocument/2006/relationships/hyperlink" Target="https://www.jivi.com.ar/ficha.php?id=1610" TargetMode="External"/><Relationship Id="rId519" Type="http://schemas.openxmlformats.org/officeDocument/2006/relationships/hyperlink" Target="https://www.jivi.com.ar/ficha.php?id=1700" TargetMode="External"/><Relationship Id="rId116" Type="http://schemas.openxmlformats.org/officeDocument/2006/relationships/hyperlink" Target="https://www.jivi.com.ar/ficha.php?id=666" TargetMode="External"/><Relationship Id="rId158" Type="http://schemas.openxmlformats.org/officeDocument/2006/relationships/hyperlink" Target="https://www.jivi.com.ar/ficha.php?id=250" TargetMode="External"/><Relationship Id="rId323" Type="http://schemas.openxmlformats.org/officeDocument/2006/relationships/hyperlink" Target="https://www.jivi.com.ar/ficha.php?id=1450" TargetMode="External"/><Relationship Id="rId530" Type="http://schemas.openxmlformats.org/officeDocument/2006/relationships/hyperlink" Target="https://www.jivi.com.ar/ficha.php?id=1720" TargetMode="External"/><Relationship Id="rId20" Type="http://schemas.openxmlformats.org/officeDocument/2006/relationships/hyperlink" Target="https://www.jivi.com.ar/ficha.php?id=97" TargetMode="External"/><Relationship Id="rId62" Type="http://schemas.openxmlformats.org/officeDocument/2006/relationships/hyperlink" Target="https://www.jivi.com.ar/ficha.php?id=125" TargetMode="External"/><Relationship Id="rId365" Type="http://schemas.openxmlformats.org/officeDocument/2006/relationships/hyperlink" Target="https://www.jivi.com.ar/ficha.php?id=1508" TargetMode="External"/><Relationship Id="rId225" Type="http://schemas.openxmlformats.org/officeDocument/2006/relationships/hyperlink" Target="https://www.jivi.com.ar/ficha.php?id=1055" TargetMode="External"/><Relationship Id="rId267" Type="http://schemas.openxmlformats.org/officeDocument/2006/relationships/hyperlink" Target="https://www.jivi.com.ar/ficha.php?id=1390" TargetMode="External"/><Relationship Id="rId432" Type="http://schemas.openxmlformats.org/officeDocument/2006/relationships/hyperlink" Target="https://www.jivi.com.ar/ficha.php?id=1580" TargetMode="External"/><Relationship Id="rId474" Type="http://schemas.openxmlformats.org/officeDocument/2006/relationships/hyperlink" Target="https://www.jivi.com.ar/ficha.php?id=1618" TargetMode="External"/><Relationship Id="rId127" Type="http://schemas.openxmlformats.org/officeDocument/2006/relationships/hyperlink" Target="https://www.jivi.com.ar/ficha.php?id=780" TargetMode="External"/><Relationship Id="rId31" Type="http://schemas.openxmlformats.org/officeDocument/2006/relationships/hyperlink" Target="https://www.jivi.com.ar/ficha.php?id=108" TargetMode="External"/><Relationship Id="rId73" Type="http://schemas.openxmlformats.org/officeDocument/2006/relationships/hyperlink" Target="https://www.jivi.com.ar/ficha.php?id=326" TargetMode="External"/><Relationship Id="rId169" Type="http://schemas.openxmlformats.org/officeDocument/2006/relationships/hyperlink" Target="https://www.jivi.com.ar/ficha.php?id=1061" TargetMode="External"/><Relationship Id="rId334" Type="http://schemas.openxmlformats.org/officeDocument/2006/relationships/hyperlink" Target="https://www.jivi.com.ar/ficha.php?id=1467" TargetMode="External"/><Relationship Id="rId376" Type="http://schemas.openxmlformats.org/officeDocument/2006/relationships/hyperlink" Target="https://www.jivi.com.ar/ficha.php?id=1527" TargetMode="External"/><Relationship Id="rId541" Type="http://schemas.openxmlformats.org/officeDocument/2006/relationships/hyperlink" Target="https://www.jivi.com.ar/ficha.php?id=1733" TargetMode="External"/><Relationship Id="rId4" Type="http://schemas.openxmlformats.org/officeDocument/2006/relationships/hyperlink" Target="https://www.jivi.com.ar/ficha.php?id=723" TargetMode="External"/><Relationship Id="rId180" Type="http://schemas.openxmlformats.org/officeDocument/2006/relationships/hyperlink" Target="https://www.jivi.com.ar/ficha.php?id=297" TargetMode="External"/><Relationship Id="rId236" Type="http://schemas.openxmlformats.org/officeDocument/2006/relationships/hyperlink" Target="https://www.jivi.com.ar/ficha.php?id=378" TargetMode="External"/><Relationship Id="rId278" Type="http://schemas.openxmlformats.org/officeDocument/2006/relationships/hyperlink" Target="https://www.jivi.com.ar/ficha.php?id=1401" TargetMode="External"/><Relationship Id="rId401" Type="http://schemas.openxmlformats.org/officeDocument/2006/relationships/hyperlink" Target="https://www.jivi.com.ar/ficha.php?id=518" TargetMode="External"/><Relationship Id="rId443" Type="http://schemas.openxmlformats.org/officeDocument/2006/relationships/hyperlink" Target="https://www.jivi.com.ar/ficha.php?id=1591" TargetMode="External"/><Relationship Id="rId303" Type="http://schemas.openxmlformats.org/officeDocument/2006/relationships/hyperlink" Target="https://www.jivi.com.ar/ficha.php?id=1429" TargetMode="External"/><Relationship Id="rId485" Type="http://schemas.openxmlformats.org/officeDocument/2006/relationships/hyperlink" Target="https://www.jivi.com.ar/ficha.php?id=968" TargetMode="External"/><Relationship Id="rId42" Type="http://schemas.openxmlformats.org/officeDocument/2006/relationships/hyperlink" Target="https://www.jivi.com.ar/ficha.php?id=400" TargetMode="External"/><Relationship Id="rId84" Type="http://schemas.openxmlformats.org/officeDocument/2006/relationships/hyperlink" Target="https://www.jivi.com.ar/ficha.php?id=392" TargetMode="External"/><Relationship Id="rId138" Type="http://schemas.openxmlformats.org/officeDocument/2006/relationships/hyperlink" Target="https://www.jivi.com.ar/ficha.php?id=862" TargetMode="External"/><Relationship Id="rId345" Type="http://schemas.openxmlformats.org/officeDocument/2006/relationships/hyperlink" Target="https://www.jivi.com.ar/ficha.php?id=1480" TargetMode="External"/><Relationship Id="rId387" Type="http://schemas.openxmlformats.org/officeDocument/2006/relationships/hyperlink" Target="https://www.jivi.com.ar/ficha.php?id=1546" TargetMode="External"/><Relationship Id="rId510" Type="http://schemas.openxmlformats.org/officeDocument/2006/relationships/hyperlink" Target="https://www.jivi.com.ar/ficha.php?id=1690" TargetMode="External"/><Relationship Id="rId552" Type="http://schemas.openxmlformats.org/officeDocument/2006/relationships/hyperlink" Target="https://www.jivi.com.ar/ficha.php?id=1745" TargetMode="External"/><Relationship Id="rId191" Type="http://schemas.openxmlformats.org/officeDocument/2006/relationships/hyperlink" Target="https://www.jivi.com.ar/ficha.php?id=1158" TargetMode="External"/><Relationship Id="rId205" Type="http://schemas.openxmlformats.org/officeDocument/2006/relationships/hyperlink" Target="https://www.jivi.com.ar/ficha.php?id=1185" TargetMode="External"/><Relationship Id="rId247" Type="http://schemas.openxmlformats.org/officeDocument/2006/relationships/hyperlink" Target="https://www.jivi.com.ar/ficha.php?id=1344" TargetMode="External"/><Relationship Id="rId412" Type="http://schemas.openxmlformats.org/officeDocument/2006/relationships/hyperlink" Target="https://www.jivi.com.ar/ficha.php?id=1564" TargetMode="External"/><Relationship Id="rId107" Type="http://schemas.openxmlformats.org/officeDocument/2006/relationships/hyperlink" Target="http://whttps/www.jivi.com.ar/ficha.php?id=253" TargetMode="External"/><Relationship Id="rId289" Type="http://schemas.openxmlformats.org/officeDocument/2006/relationships/hyperlink" Target="https://www.jivi.com.ar/ficha.php?id=1416" TargetMode="External"/><Relationship Id="rId454" Type="http://schemas.openxmlformats.org/officeDocument/2006/relationships/hyperlink" Target="https://www.jivi.com.ar/ficha.php?id=1604" TargetMode="External"/><Relationship Id="rId496" Type="http://schemas.openxmlformats.org/officeDocument/2006/relationships/hyperlink" Target="https://www.jivi.com.ar/ficha.php?id=1640" TargetMode="External"/><Relationship Id="rId11" Type="http://schemas.openxmlformats.org/officeDocument/2006/relationships/hyperlink" Target="https://www.jivi.com.ar/ficha.php?id=41" TargetMode="External"/><Relationship Id="rId53" Type="http://schemas.openxmlformats.org/officeDocument/2006/relationships/hyperlink" Target="https://www.jivi.com.ar/ficha.php?id=408" TargetMode="External"/><Relationship Id="rId149" Type="http://schemas.openxmlformats.org/officeDocument/2006/relationships/hyperlink" Target="https://www.jivi.com.ar/ficha.php?id=948" TargetMode="External"/><Relationship Id="rId314" Type="http://schemas.openxmlformats.org/officeDocument/2006/relationships/hyperlink" Target="https://www.jivi.com.ar/ficha.php?id=1056" TargetMode="External"/><Relationship Id="rId356" Type="http://schemas.openxmlformats.org/officeDocument/2006/relationships/hyperlink" Target="httphttps://www.jivi.com.ar/ficha.php?id=1498" TargetMode="External"/><Relationship Id="rId398" Type="http://schemas.openxmlformats.org/officeDocument/2006/relationships/hyperlink" Target="https://www.jivi.com.ar/ficha.php?id=1555" TargetMode="External"/><Relationship Id="rId521" Type="http://schemas.openxmlformats.org/officeDocument/2006/relationships/hyperlink" Target="https://www.jivi.com.ar/ficha.php?id=1462" TargetMode="External"/><Relationship Id="rId563" Type="http://schemas.openxmlformats.org/officeDocument/2006/relationships/drawing" Target="../drawings/drawing1.xml"/><Relationship Id="rId95" Type="http://schemas.openxmlformats.org/officeDocument/2006/relationships/hyperlink" Target="https://www.jivi.com.ar/ficha.php?id=148" TargetMode="External"/><Relationship Id="rId160" Type="http://schemas.openxmlformats.org/officeDocument/2006/relationships/hyperlink" Target="https://www.jivi.com.ar/ficha.php?id=1017" TargetMode="External"/><Relationship Id="rId216" Type="http://schemas.openxmlformats.org/officeDocument/2006/relationships/hyperlink" Target="https://www.jivi.com.ar/ficha.php?id=904" TargetMode="External"/><Relationship Id="rId423" Type="http://schemas.openxmlformats.org/officeDocument/2006/relationships/hyperlink" Target="https://www.jivi.com.ar/ficha.php?id=1573" TargetMode="External"/><Relationship Id="rId258" Type="http://schemas.openxmlformats.org/officeDocument/2006/relationships/hyperlink" Target="https://www.jivi.com.ar/ficha.php?id=1372" TargetMode="External"/><Relationship Id="rId465" Type="http://schemas.openxmlformats.org/officeDocument/2006/relationships/hyperlink" Target="https://www.jivi.com.ar/ficha.php?id=1611" TargetMode="External"/><Relationship Id="rId22" Type="http://schemas.openxmlformats.org/officeDocument/2006/relationships/hyperlink" Target="https://www.jivi.com.ar/ficha.php?id=99" TargetMode="External"/><Relationship Id="rId64" Type="http://schemas.openxmlformats.org/officeDocument/2006/relationships/hyperlink" Target="https://www.jivi.com.ar/ficha.php?id=4" TargetMode="External"/><Relationship Id="rId118" Type="http://schemas.openxmlformats.org/officeDocument/2006/relationships/hyperlink" Target="https://www.jivi.com.ar/ficha.php?id=619" TargetMode="External"/><Relationship Id="rId325" Type="http://schemas.openxmlformats.org/officeDocument/2006/relationships/hyperlink" Target="https://www.jivi.com.ar/ficha.php?id=1560" TargetMode="External"/><Relationship Id="rId367" Type="http://schemas.openxmlformats.org/officeDocument/2006/relationships/hyperlink" Target="https://www.jivi.com.ar/ficha.php?id=1511" TargetMode="External"/><Relationship Id="rId532" Type="http://schemas.openxmlformats.org/officeDocument/2006/relationships/hyperlink" Target="https://www.jivi.com.ar/ficha.php?id=1722" TargetMode="External"/><Relationship Id="rId171" Type="http://schemas.openxmlformats.org/officeDocument/2006/relationships/hyperlink" Target="https://www.jivi.com.ar/ficha.php?id=364" TargetMode="External"/><Relationship Id="rId227" Type="http://schemas.openxmlformats.org/officeDocument/2006/relationships/hyperlink" Target="https://www.jivi.com.ar/ficha.php?id=1253" TargetMode="External"/><Relationship Id="rId269" Type="http://schemas.openxmlformats.org/officeDocument/2006/relationships/hyperlink" Target="https://www.jivi.com.ar/ficha.php?id=363" TargetMode="External"/><Relationship Id="rId434" Type="http://schemas.openxmlformats.org/officeDocument/2006/relationships/hyperlink" Target="https://www.jivi.com.ar/ficha.php?id=1583" TargetMode="External"/><Relationship Id="rId476" Type="http://schemas.openxmlformats.org/officeDocument/2006/relationships/hyperlink" Target="https://www.jivi.com.ar/ficha.php?id=1620" TargetMode="External"/><Relationship Id="rId33" Type="http://schemas.openxmlformats.org/officeDocument/2006/relationships/hyperlink" Target="https://www.jivi.com.ar/ficha.php?id=110" TargetMode="External"/><Relationship Id="rId129" Type="http://schemas.openxmlformats.org/officeDocument/2006/relationships/hyperlink" Target="https://www.jivi.com.ar/ficha.php?id=809" TargetMode="External"/><Relationship Id="rId280" Type="http://schemas.openxmlformats.org/officeDocument/2006/relationships/hyperlink" Target="https://www.jivi.com.ar/ficha.php?id=1230" TargetMode="External"/><Relationship Id="rId336" Type="http://schemas.openxmlformats.org/officeDocument/2006/relationships/hyperlink" Target="https://www.jivi.com.ar/ficha.php?id=1470" TargetMode="External"/><Relationship Id="rId501" Type="http://schemas.openxmlformats.org/officeDocument/2006/relationships/hyperlink" Target="https://www.jivi.com.ar/ficha.php?id=1663" TargetMode="External"/><Relationship Id="rId543" Type="http://schemas.openxmlformats.org/officeDocument/2006/relationships/hyperlink" Target="https://www.jivi.com.ar/ficha.php?id=1734" TargetMode="External"/><Relationship Id="rId75" Type="http://schemas.openxmlformats.org/officeDocument/2006/relationships/hyperlink" Target="https://www.jivi.com.ar/ficha.php?id=134" TargetMode="External"/><Relationship Id="rId140" Type="http://schemas.openxmlformats.org/officeDocument/2006/relationships/hyperlink" Target="https://www.jivi.com.ar/ficha.php?id=882" TargetMode="External"/><Relationship Id="rId182" Type="http://schemas.openxmlformats.org/officeDocument/2006/relationships/hyperlink" Target="https://www.jivi.com.ar/ficha.php?id=1098" TargetMode="External"/><Relationship Id="rId378" Type="http://schemas.openxmlformats.org/officeDocument/2006/relationships/hyperlink" Target="https://www.jivi.com.ar/ficha.php?id=1534" TargetMode="External"/><Relationship Id="rId403" Type="http://schemas.openxmlformats.org/officeDocument/2006/relationships/hyperlink" Target="https://www.jivi.com.ar/ficha.php?id=26" TargetMode="External"/><Relationship Id="rId6" Type="http://schemas.openxmlformats.org/officeDocument/2006/relationships/hyperlink" Target="https://www.jivi.com.ar/ficha.php?id=727" TargetMode="External"/><Relationship Id="rId238" Type="http://schemas.openxmlformats.org/officeDocument/2006/relationships/hyperlink" Target="https://www.jivi.com.ar/ficha.php?id=1302" TargetMode="External"/><Relationship Id="rId445" Type="http://schemas.openxmlformats.org/officeDocument/2006/relationships/hyperlink" Target="https://www.jivi.com.ar/ficha.php?id=1593" TargetMode="External"/><Relationship Id="rId487" Type="http://schemas.openxmlformats.org/officeDocument/2006/relationships/hyperlink" Target="https://www.jivi.com.ar/ficha.php?id=1642" TargetMode="External"/><Relationship Id="rId291" Type="http://schemas.openxmlformats.org/officeDocument/2006/relationships/hyperlink" Target="https://www.jivi.com.ar/ficha.php?id=1356" TargetMode="External"/><Relationship Id="rId305" Type="http://schemas.openxmlformats.org/officeDocument/2006/relationships/hyperlink" Target="https://www.jivi.com.ar/ficha.php?id=1432" TargetMode="External"/><Relationship Id="rId347" Type="http://schemas.openxmlformats.org/officeDocument/2006/relationships/hyperlink" Target="https://www.jivi.com.ar/ficha.php?id=1483" TargetMode="External"/><Relationship Id="rId512" Type="http://schemas.openxmlformats.org/officeDocument/2006/relationships/hyperlink" Target="https://www.jivi.com.ar/ficha.php?id=1692" TargetMode="External"/><Relationship Id="rId44" Type="http://schemas.openxmlformats.org/officeDocument/2006/relationships/hyperlink" Target="https://www.jivi.com.ar/ficha.php?id=402" TargetMode="External"/><Relationship Id="rId86" Type="http://schemas.openxmlformats.org/officeDocument/2006/relationships/hyperlink" Target="https://www.jivi.com.ar/ficha.php?id=135" TargetMode="External"/><Relationship Id="rId151" Type="http://schemas.openxmlformats.org/officeDocument/2006/relationships/hyperlink" Target="https://www.jivi.com.ar/ficha.php?id=955" TargetMode="External"/><Relationship Id="rId389" Type="http://schemas.openxmlformats.org/officeDocument/2006/relationships/hyperlink" Target="https://www.jivi.com.ar/ficha.php?id=981" TargetMode="External"/><Relationship Id="rId554" Type="http://schemas.openxmlformats.org/officeDocument/2006/relationships/hyperlink" Target="https://www.jivi.com.ar/ficha.php?id=1559" TargetMode="External"/><Relationship Id="rId193" Type="http://schemas.openxmlformats.org/officeDocument/2006/relationships/hyperlink" Target="hhttps://www.jivi.com.ar/ficha.php?id=1155" TargetMode="External"/><Relationship Id="rId207" Type="http://schemas.openxmlformats.org/officeDocument/2006/relationships/hyperlink" Target="https://www.jivi.com.ar/ficha.php?id=1190" TargetMode="External"/><Relationship Id="rId249" Type="http://schemas.openxmlformats.org/officeDocument/2006/relationships/hyperlink" Target="https://www.jivi.com.ar/ficha.php?id=1346" TargetMode="External"/><Relationship Id="rId414" Type="http://schemas.openxmlformats.org/officeDocument/2006/relationships/hyperlink" Target="https://www.jivi.com.ar/ficha.php?id=1434" TargetMode="External"/><Relationship Id="rId456" Type="http://schemas.openxmlformats.org/officeDocument/2006/relationships/hyperlink" Target="https://www.jivi.com.ar/ficha.php?id=1424" TargetMode="External"/><Relationship Id="rId498" Type="http://schemas.openxmlformats.org/officeDocument/2006/relationships/hyperlink" Target="https://www.jivi.com.ar/ficha.php?id=1657" TargetMode="External"/><Relationship Id="rId13" Type="http://schemas.openxmlformats.org/officeDocument/2006/relationships/hyperlink" Target="https://www.jivi.com.ar/ficha.php?id=649" TargetMode="External"/><Relationship Id="rId109" Type="http://schemas.openxmlformats.org/officeDocument/2006/relationships/hyperlink" Target="https://www.jivi.com.ar/ficha.php?id=23" TargetMode="External"/><Relationship Id="rId260" Type="http://schemas.openxmlformats.org/officeDocument/2006/relationships/hyperlink" Target="https://www.jivi.com.ar/ficha.php?id=1382" TargetMode="External"/><Relationship Id="rId316" Type="http://schemas.openxmlformats.org/officeDocument/2006/relationships/hyperlink" Target="https://www.jivi.com.ar/ficha.php?id=1335" TargetMode="External"/><Relationship Id="rId523" Type="http://schemas.openxmlformats.org/officeDocument/2006/relationships/hyperlink" Target="https://www.jivi.com.ar/ficha.php?id=1528" TargetMode="External"/><Relationship Id="rId55" Type="http://schemas.openxmlformats.org/officeDocument/2006/relationships/hyperlink" Target="https://www.jivi.com.ar/ficha.php?id=118" TargetMode="External"/><Relationship Id="rId97" Type="http://schemas.openxmlformats.org/officeDocument/2006/relationships/hyperlink" Target="https://www.jivi.com.ar/ficha.php?id=621" TargetMode="External"/><Relationship Id="rId120" Type="http://schemas.openxmlformats.org/officeDocument/2006/relationships/hyperlink" Target="https://www.jivi.com.ar/ficha.php?id=214" TargetMode="External"/><Relationship Id="rId358" Type="http://schemas.openxmlformats.org/officeDocument/2006/relationships/hyperlink" Target="https://www.jivi.com.ar/ficha.php?id=1500" TargetMode="External"/><Relationship Id="rId565" Type="http://schemas.openxmlformats.org/officeDocument/2006/relationships/comments" Target="../comments1.xml"/><Relationship Id="rId162" Type="http://schemas.openxmlformats.org/officeDocument/2006/relationships/hyperlink" Target="https://www.jivi.com.ar/ficha.php?id=1024" TargetMode="External"/><Relationship Id="rId218" Type="http://schemas.openxmlformats.org/officeDocument/2006/relationships/hyperlink" Target="https://www.jivi.com.ar/ficha.php?id=1225" TargetMode="External"/><Relationship Id="rId425" Type="http://schemas.openxmlformats.org/officeDocument/2006/relationships/hyperlink" Target="https://www.jivi.com.ar/ficha.php?id=1271" TargetMode="External"/><Relationship Id="rId467" Type="http://schemas.openxmlformats.org/officeDocument/2006/relationships/hyperlink" Target="https://www.jivi.com.ar/ficha.php?id=1613" TargetMode="External"/><Relationship Id="rId271" Type="http://schemas.openxmlformats.org/officeDocument/2006/relationships/hyperlink" Target="https://www.jivi.com.ar/ficha.php?id=1343" TargetMode="External"/><Relationship Id="rId24" Type="http://schemas.openxmlformats.org/officeDocument/2006/relationships/hyperlink" Target="https://www.jivi.com.ar/ficha.php?id=101" TargetMode="External"/><Relationship Id="rId66" Type="http://schemas.openxmlformats.org/officeDocument/2006/relationships/hyperlink" Target="https://www.jivi.com.ar/ficha.php?id=209" TargetMode="External"/><Relationship Id="rId131" Type="http://schemas.openxmlformats.org/officeDocument/2006/relationships/hyperlink" Target="https://www.jivi.com.ar/ficha.php?id=707" TargetMode="External"/><Relationship Id="rId327" Type="http://schemas.openxmlformats.org/officeDocument/2006/relationships/hyperlink" Target="https://www.jivi.com.ar/ficha.php?id=1063" TargetMode="External"/><Relationship Id="rId369" Type="http://schemas.openxmlformats.org/officeDocument/2006/relationships/hyperlink" Target="https://www.jivi.com.ar/ficha.php?id=1515" TargetMode="External"/><Relationship Id="rId534" Type="http://schemas.openxmlformats.org/officeDocument/2006/relationships/hyperlink" Target="https://www.jivi.com.ar/ficha.php?id=1725" TargetMode="External"/><Relationship Id="rId173" Type="http://schemas.openxmlformats.org/officeDocument/2006/relationships/hyperlink" Target="https://www.jivi.com.ar/ficha.php?id=1079" TargetMode="External"/><Relationship Id="rId229" Type="http://schemas.openxmlformats.org/officeDocument/2006/relationships/hyperlink" Target="https://www.jivi.com.ar/ficha.php?id=1261" TargetMode="External"/><Relationship Id="rId380" Type="http://schemas.openxmlformats.org/officeDocument/2006/relationships/hyperlink" Target="https://www.jivi.com.ar/ficha.php?id=1536" TargetMode="External"/><Relationship Id="rId436" Type="http://schemas.openxmlformats.org/officeDocument/2006/relationships/hyperlink" Target="https://www.jivi.com.ar/ficha.php?id=1586" TargetMode="External"/><Relationship Id="rId240" Type="http://schemas.openxmlformats.org/officeDocument/2006/relationships/hyperlink" Target="https://www.jivi.com.ar/ficha.php?id=1305" TargetMode="External"/><Relationship Id="rId478" Type="http://schemas.openxmlformats.org/officeDocument/2006/relationships/hyperlink" Target="https://www.jivi.com.ar/ficha.php?id=998" TargetMode="External"/><Relationship Id="rId35" Type="http://schemas.openxmlformats.org/officeDocument/2006/relationships/hyperlink" Target="https://www.jivi.com.ar/ficha.php?id=113" TargetMode="External"/><Relationship Id="rId77" Type="http://schemas.openxmlformats.org/officeDocument/2006/relationships/hyperlink" Target="https://www.jivi.com.ar/ficha.php?id=11" TargetMode="External"/><Relationship Id="rId100" Type="http://schemas.openxmlformats.org/officeDocument/2006/relationships/hyperlink" Target="https://www.jivi.com.ar/ficha.php?id=246" TargetMode="External"/><Relationship Id="rId282" Type="http://schemas.openxmlformats.org/officeDocument/2006/relationships/hyperlink" Target="https://www.jivi.com.ar/ficha.php?id=1111" TargetMode="External"/><Relationship Id="rId338" Type="http://schemas.openxmlformats.org/officeDocument/2006/relationships/hyperlink" Target="https://www.jivi.com.ar/ficha.php?id=1472" TargetMode="External"/><Relationship Id="rId503" Type="http://schemas.openxmlformats.org/officeDocument/2006/relationships/hyperlink" Target="https://www.jivi.com.ar/ficha.php?id=1664" TargetMode="External"/><Relationship Id="rId545" Type="http://schemas.openxmlformats.org/officeDocument/2006/relationships/hyperlink" Target="https://www.jivi.com.ar/ficha.php?id=1738" TargetMode="External"/><Relationship Id="rId8" Type="http://schemas.openxmlformats.org/officeDocument/2006/relationships/hyperlink" Target="https://www.jivi.com.ar/ficha.php?id=724" TargetMode="External"/><Relationship Id="rId142" Type="http://schemas.openxmlformats.org/officeDocument/2006/relationships/hyperlink" Target="https://www.jivi.com.ar/ficha.php?id=903" TargetMode="External"/><Relationship Id="rId184" Type="http://schemas.openxmlformats.org/officeDocument/2006/relationships/hyperlink" Target="https://www.jivi.com.ar/ficha.php?id=1104" TargetMode="External"/><Relationship Id="rId391" Type="http://schemas.openxmlformats.org/officeDocument/2006/relationships/hyperlink" Target="https://www.jivi.com.ar/ficha.php?id=1549" TargetMode="External"/><Relationship Id="rId405" Type="http://schemas.openxmlformats.org/officeDocument/2006/relationships/hyperlink" Target="https://www.jivi.com.ar/ficha.php?id=1562" TargetMode="External"/><Relationship Id="rId447" Type="http://schemas.openxmlformats.org/officeDocument/2006/relationships/hyperlink" Target="https://www.jivi.com.ar/ficha.php?id=1595" TargetMode="External"/><Relationship Id="rId251" Type="http://schemas.openxmlformats.org/officeDocument/2006/relationships/hyperlink" Target="https://www.jivi.com.ar/ficha.php?id=1348" TargetMode="External"/><Relationship Id="rId489" Type="http://schemas.openxmlformats.org/officeDocument/2006/relationships/hyperlink" Target="https://www.jivi.com.ar/ficha.php?id=1641" TargetMode="External"/><Relationship Id="rId46" Type="http://schemas.openxmlformats.org/officeDocument/2006/relationships/hyperlink" Target="https://www.jivi.com.ar/ficha.php?id=638" TargetMode="External"/><Relationship Id="rId293" Type="http://schemas.openxmlformats.org/officeDocument/2006/relationships/hyperlink" Target="https://www.jivi.com.ar/ficha.php?id=1353" TargetMode="External"/><Relationship Id="rId307" Type="http://schemas.openxmlformats.org/officeDocument/2006/relationships/hyperlink" Target="https://www.jivi.com.ar/ficha.php?id=1436" TargetMode="External"/><Relationship Id="rId349" Type="http://schemas.openxmlformats.org/officeDocument/2006/relationships/hyperlink" Target="https://www.jivi.com.ar/ficha.php?id=1488" TargetMode="External"/><Relationship Id="rId514" Type="http://schemas.openxmlformats.org/officeDocument/2006/relationships/hyperlink" Target="https://www.jivi.com.ar/ficha.php?id=1695" TargetMode="External"/><Relationship Id="rId556" Type="http://schemas.openxmlformats.org/officeDocument/2006/relationships/hyperlink" Target="https://www.jivi.com.ar/ficha.php?id=1748" TargetMode="External"/><Relationship Id="rId88" Type="http://schemas.openxmlformats.org/officeDocument/2006/relationships/hyperlink" Target="https://www.jivi.com.ar/ficha.php?id=137" TargetMode="External"/><Relationship Id="rId111" Type="http://schemas.openxmlformats.org/officeDocument/2006/relationships/hyperlink" Target="https://www.jivi.com.ar/ficha.php?id=221" TargetMode="External"/><Relationship Id="rId153" Type="http://schemas.openxmlformats.org/officeDocument/2006/relationships/hyperlink" Target="https://www.jivi.com.ar/ficha.php?id=957" TargetMode="External"/><Relationship Id="rId195" Type="http://schemas.openxmlformats.org/officeDocument/2006/relationships/hyperlink" Target="https://www.jivi.com.ar/ficha.php?id=1153" TargetMode="External"/><Relationship Id="rId209" Type="http://schemas.openxmlformats.org/officeDocument/2006/relationships/hyperlink" Target="https://www.jivi.com.ar/ficha.php?id=1181" TargetMode="External"/><Relationship Id="rId360" Type="http://schemas.openxmlformats.org/officeDocument/2006/relationships/hyperlink" Target="https://www.jivi.com.ar/ficha.php?id=1503" TargetMode="External"/><Relationship Id="rId416" Type="http://schemas.openxmlformats.org/officeDocument/2006/relationships/hyperlink" Target="https://www.jivi.com.ar/ficha.php?id=1568" TargetMode="External"/><Relationship Id="rId220" Type="http://schemas.openxmlformats.org/officeDocument/2006/relationships/hyperlink" Target="https://www.jivi.com.ar/ficha.php?id=919" TargetMode="External"/><Relationship Id="rId458" Type="http://schemas.openxmlformats.org/officeDocument/2006/relationships/hyperlink" Target="https://www.jivi.com.ar/ficha.php?id=1520" TargetMode="External"/><Relationship Id="rId15" Type="http://schemas.openxmlformats.org/officeDocument/2006/relationships/hyperlink" Target="https://www.jivi.com.ar/ficha.php?id=164" TargetMode="External"/><Relationship Id="rId57" Type="http://schemas.openxmlformats.org/officeDocument/2006/relationships/hyperlink" Target="https://www.jivi.com.ar/ficha.php?id=120" TargetMode="External"/><Relationship Id="rId262" Type="http://schemas.openxmlformats.org/officeDocument/2006/relationships/hyperlink" Target="https://www.jivi.com.ar/ficha.php?id=1384" TargetMode="External"/><Relationship Id="rId318" Type="http://schemas.openxmlformats.org/officeDocument/2006/relationships/hyperlink" Target="https://www.jivi.com.ar/ficha.php?id=1354" TargetMode="External"/><Relationship Id="rId525" Type="http://schemas.openxmlformats.org/officeDocument/2006/relationships/hyperlink" Target="https://www.jivi.com.ar/ficha.php?id=977" TargetMode="External"/><Relationship Id="rId99" Type="http://schemas.openxmlformats.org/officeDocument/2006/relationships/hyperlink" Target="https://www.jivi.com.ar/ficha.php?id=456" TargetMode="External"/><Relationship Id="rId122" Type="http://schemas.openxmlformats.org/officeDocument/2006/relationships/hyperlink" Target="https://www.jivi.com.ar/ficha.php?id=358" TargetMode="External"/><Relationship Id="rId164" Type="http://schemas.openxmlformats.org/officeDocument/2006/relationships/hyperlink" Target="https://www.jivi.com.ar/ficha.php?id=647" TargetMode="External"/><Relationship Id="rId371" Type="http://schemas.openxmlformats.org/officeDocument/2006/relationships/hyperlink" Target="https://www.jivi.com.ar/ficha.php?id=1517" TargetMode="External"/><Relationship Id="rId427" Type="http://schemas.openxmlformats.org/officeDocument/2006/relationships/hyperlink" Target="https://www.jivi.com.ar/ficha.php?id=1139" TargetMode="External"/><Relationship Id="rId469" Type="http://schemas.openxmlformats.org/officeDocument/2006/relationships/hyperlink" Target="https://www.jivi.com.ar/ficha.php?id=1452" TargetMode="External"/><Relationship Id="rId26" Type="http://schemas.openxmlformats.org/officeDocument/2006/relationships/hyperlink" Target="https://www.jivi.com.ar/ficha.php?id=103" TargetMode="External"/><Relationship Id="rId231" Type="http://schemas.openxmlformats.org/officeDocument/2006/relationships/hyperlink" Target="https://www.jivi.com.ar/ficha.php?id=1268" TargetMode="External"/><Relationship Id="rId273" Type="http://schemas.openxmlformats.org/officeDocument/2006/relationships/hyperlink" Target="https://www.jivi.com.ar/ficha.php?id=872" TargetMode="External"/><Relationship Id="rId329" Type="http://schemas.openxmlformats.org/officeDocument/2006/relationships/hyperlink" Target="https://www.jivi.com.ar/ficha.php?id=969" TargetMode="External"/><Relationship Id="rId480" Type="http://schemas.openxmlformats.org/officeDocument/2006/relationships/hyperlink" Target="https://www.jivi.com.ar/ficha.php?id=1621" TargetMode="External"/><Relationship Id="rId536" Type="http://schemas.openxmlformats.org/officeDocument/2006/relationships/hyperlink" Target="https://www.jivi.com.ar/ficha.php?id=1728" TargetMode="External"/><Relationship Id="rId68" Type="http://schemas.openxmlformats.org/officeDocument/2006/relationships/hyperlink" Target="https://www.jivi.com.ar/ficha.php?id=60" TargetMode="External"/><Relationship Id="rId133" Type="http://schemas.openxmlformats.org/officeDocument/2006/relationships/hyperlink" Target="https://www.jivi.com.ar/ficha.php?id=709" TargetMode="External"/><Relationship Id="rId175" Type="http://schemas.openxmlformats.org/officeDocument/2006/relationships/hyperlink" Target="https://www.jivi.com.ar/ficha.php?id=1089" TargetMode="External"/><Relationship Id="rId340" Type="http://schemas.openxmlformats.org/officeDocument/2006/relationships/hyperlink" Target="https://www.jivi.com.ar/ficha.php?id=995" TargetMode="External"/><Relationship Id="rId200" Type="http://schemas.openxmlformats.org/officeDocument/2006/relationships/hyperlink" Target="https://www.jivi.com.ar/ficha.php?id=488" TargetMode="External"/><Relationship Id="rId382" Type="http://schemas.openxmlformats.org/officeDocument/2006/relationships/hyperlink" Target="https://www.jivi.com.ar/ficha.php?id=1540" TargetMode="External"/><Relationship Id="rId438" Type="http://schemas.openxmlformats.org/officeDocument/2006/relationships/hyperlink" Target="https://www.jivi.com.ar/ficha.php?id=1221" TargetMode="External"/><Relationship Id="rId242" Type="http://schemas.openxmlformats.org/officeDocument/2006/relationships/hyperlink" Target="https://www.jivi.com.ar/ficha.php?id=1287" TargetMode="External"/><Relationship Id="rId284" Type="http://schemas.openxmlformats.org/officeDocument/2006/relationships/hyperlink" Target="https://www.jivi.com.ar/ficha.php?id=376" TargetMode="External"/><Relationship Id="rId491" Type="http://schemas.openxmlformats.org/officeDocument/2006/relationships/hyperlink" Target="https://www.jivi.com.ar/ficha.php?id=1638" TargetMode="External"/><Relationship Id="rId505" Type="http://schemas.openxmlformats.org/officeDocument/2006/relationships/hyperlink" Target="https://www.jivi.com.ar/ficha.php?id=1667" TargetMode="External"/><Relationship Id="rId37" Type="http://schemas.openxmlformats.org/officeDocument/2006/relationships/hyperlink" Target="https://www.jivi.com.ar/ficha.php?id=114" TargetMode="External"/><Relationship Id="rId79" Type="http://schemas.openxmlformats.org/officeDocument/2006/relationships/hyperlink" Target="https://www.jivi.com.ar/ficha.php?id=145" TargetMode="External"/><Relationship Id="rId102" Type="http://schemas.openxmlformats.org/officeDocument/2006/relationships/hyperlink" Target="https://www.jivi.com.ar/ficha.php?id=728" TargetMode="External"/><Relationship Id="rId144" Type="http://schemas.openxmlformats.org/officeDocument/2006/relationships/hyperlink" Target="https://www.jivi.com.ar/ficha.php?id=916" TargetMode="External"/><Relationship Id="rId547" Type="http://schemas.openxmlformats.org/officeDocument/2006/relationships/hyperlink" Target="https://www.jivi.com.ar/ficha.php?id=1740" TargetMode="External"/><Relationship Id="rId90" Type="http://schemas.openxmlformats.org/officeDocument/2006/relationships/hyperlink" Target="https://www.jivi.com.ar/ficha.php?id=245" TargetMode="External"/><Relationship Id="rId186" Type="http://schemas.openxmlformats.org/officeDocument/2006/relationships/hyperlink" Target="https://www.jivi.com.ar/ficha.php?id=1116" TargetMode="External"/><Relationship Id="rId351" Type="http://schemas.openxmlformats.org/officeDocument/2006/relationships/hyperlink" Target="https://www.jivi.com.ar/ficha.php?id=1493" TargetMode="External"/><Relationship Id="rId393" Type="http://schemas.openxmlformats.org/officeDocument/2006/relationships/hyperlink" Target="https://www.jivi.com.ar/ficha.php?id=1552" TargetMode="External"/><Relationship Id="rId407" Type="http://schemas.openxmlformats.org/officeDocument/2006/relationships/hyperlink" Target="https://www.jivi.com.ar/ficha.php?id=1414" TargetMode="External"/><Relationship Id="rId449" Type="http://schemas.openxmlformats.org/officeDocument/2006/relationships/hyperlink" Target="https://www.jivi.com.ar/ficha.php?id=1598" TargetMode="External"/><Relationship Id="rId211" Type="http://schemas.openxmlformats.org/officeDocument/2006/relationships/hyperlink" Target="https://www.jivi.com.ar/ficha.php?id=1218" TargetMode="External"/><Relationship Id="rId253" Type="http://schemas.openxmlformats.org/officeDocument/2006/relationships/hyperlink" Target="https://www.jivi.com.ar/ficha.php?id=1360" TargetMode="External"/><Relationship Id="rId295" Type="http://schemas.openxmlformats.org/officeDocument/2006/relationships/hyperlink" Target="https://www.jivi.com.ar/ficha.php?id=1418" TargetMode="External"/><Relationship Id="rId309" Type="http://schemas.openxmlformats.org/officeDocument/2006/relationships/hyperlink" Target="https://www.jivi.com.ar/ficha.php?id=1702" TargetMode="External"/><Relationship Id="rId460" Type="http://schemas.openxmlformats.org/officeDocument/2006/relationships/hyperlink" Target="https://www.jivi.com.ar/ficha.php?id=1608" TargetMode="External"/><Relationship Id="rId516" Type="http://schemas.openxmlformats.org/officeDocument/2006/relationships/hyperlink" Target="https://www.jivi.com.ar/ficha.php?id=1697" TargetMode="External"/><Relationship Id="rId48" Type="http://schemas.openxmlformats.org/officeDocument/2006/relationships/hyperlink" Target="https://www.jivi.com.ar/ficha.php?id=714" TargetMode="External"/><Relationship Id="rId113" Type="http://schemas.openxmlformats.org/officeDocument/2006/relationships/hyperlink" Target="https://www.jivi.com.ar/ficha.php?id=765" TargetMode="External"/><Relationship Id="rId320" Type="http://schemas.openxmlformats.org/officeDocument/2006/relationships/hyperlink" Target="https://www.jivi.com.ar/ficha.php?id=1447" TargetMode="External"/><Relationship Id="rId558" Type="http://schemas.openxmlformats.org/officeDocument/2006/relationships/hyperlink" Target="https://www.jivi.com.ar/ficha.php?id=1579" TargetMode="External"/><Relationship Id="rId155" Type="http://schemas.openxmlformats.org/officeDocument/2006/relationships/hyperlink" Target="https://www.jivi.com.ar/ficha.php?id=973" TargetMode="External"/><Relationship Id="rId197" Type="http://schemas.openxmlformats.org/officeDocument/2006/relationships/hyperlink" Target="https://www.jivi.com.ar/ficha.php?id=1168" TargetMode="External"/><Relationship Id="rId362" Type="http://schemas.openxmlformats.org/officeDocument/2006/relationships/hyperlink" Target="https://www.jivi.com.ar/ficha.php?id=1505" TargetMode="External"/><Relationship Id="rId418" Type="http://schemas.openxmlformats.org/officeDocument/2006/relationships/hyperlink" Target="https://www.jivi.com.ar/ficha.php?id=1570" TargetMode="External"/><Relationship Id="rId222" Type="http://schemas.openxmlformats.org/officeDocument/2006/relationships/hyperlink" Target="https://www.jivi.com.ar/ficha.php?id=1232" TargetMode="External"/><Relationship Id="rId264" Type="http://schemas.openxmlformats.org/officeDocument/2006/relationships/hyperlink" Target="https://www.jivi.com.ar/ficha.php?id=1385" TargetMode="External"/><Relationship Id="rId471" Type="http://schemas.openxmlformats.org/officeDocument/2006/relationships/hyperlink" Target="https://www.jivi.com.ar/ficha.php?id=1615" TargetMode="External"/><Relationship Id="rId17" Type="http://schemas.openxmlformats.org/officeDocument/2006/relationships/hyperlink" Target="https://www.jivi.com.ar/ficha.php?id=92" TargetMode="External"/><Relationship Id="rId59" Type="http://schemas.openxmlformats.org/officeDocument/2006/relationships/hyperlink" Target="https://www.jivi.com.ar/ficha.php?id=122" TargetMode="External"/><Relationship Id="rId124" Type="http://schemas.openxmlformats.org/officeDocument/2006/relationships/hyperlink" Target="https://www.jivi.com.ar/ficha.php?id=238" TargetMode="External"/><Relationship Id="rId527" Type="http://schemas.openxmlformats.org/officeDocument/2006/relationships/hyperlink" Target="https://www.jivi.com.ar/ficha.php?id=1456" TargetMode="External"/><Relationship Id="rId70" Type="http://schemas.openxmlformats.org/officeDocument/2006/relationships/hyperlink" Target="https://www.jivi.com.ar/ficha.php?id=548" TargetMode="External"/><Relationship Id="rId166" Type="http://schemas.openxmlformats.org/officeDocument/2006/relationships/hyperlink" Target="https://www.jivi.com.ar/ficha.php?id=1052" TargetMode="External"/><Relationship Id="rId331" Type="http://schemas.openxmlformats.org/officeDocument/2006/relationships/hyperlink" Target="https://www.jivi.com.ar/ficha.php?id=1464" TargetMode="External"/><Relationship Id="rId373" Type="http://schemas.openxmlformats.org/officeDocument/2006/relationships/hyperlink" Target="https://www.jivi.com.ar/ficha.php?id=1665" TargetMode="External"/><Relationship Id="rId429" Type="http://schemas.openxmlformats.org/officeDocument/2006/relationships/hyperlink" Target="https://www.jivi.com.ar/ficha.php?id=1574" TargetMode="External"/><Relationship Id="rId1" Type="http://schemas.openxmlformats.org/officeDocument/2006/relationships/hyperlink" Target="https://www.jivi.com.ar/ficha.php?id=25" TargetMode="External"/><Relationship Id="rId233" Type="http://schemas.openxmlformats.org/officeDocument/2006/relationships/hyperlink" Target="https://www.jivi.com.ar/ficha.php?id=1278" TargetMode="External"/><Relationship Id="rId440" Type="http://schemas.openxmlformats.org/officeDocument/2006/relationships/hyperlink" Target="https://www.jivi.com.ar/ficha.php?id=1411" TargetMode="External"/><Relationship Id="rId28" Type="http://schemas.openxmlformats.org/officeDocument/2006/relationships/hyperlink" Target="https://www.jivi.com.ar/ficha.php?id=105" TargetMode="External"/><Relationship Id="rId275" Type="http://schemas.openxmlformats.org/officeDocument/2006/relationships/hyperlink" Target="https://www.jivi.com.ar/ficha.php?id=1399" TargetMode="External"/><Relationship Id="rId300" Type="http://schemas.openxmlformats.org/officeDocument/2006/relationships/hyperlink" Target="https://www.jivi.com.ar/ficha.php?id=1423" TargetMode="External"/><Relationship Id="rId482" Type="http://schemas.openxmlformats.org/officeDocument/2006/relationships/hyperlink" Target="https://www.jivi.com.ar/ficha.php?id=1634" TargetMode="External"/><Relationship Id="rId538" Type="http://schemas.openxmlformats.org/officeDocument/2006/relationships/hyperlink" Target="https://www.jivi.com.ar/ficha.php?id=1730" TargetMode="External"/><Relationship Id="rId81" Type="http://schemas.openxmlformats.org/officeDocument/2006/relationships/hyperlink" Target="https://www.jivi.com.ar/ficha.php?id=19" TargetMode="External"/><Relationship Id="rId135" Type="http://schemas.openxmlformats.org/officeDocument/2006/relationships/hyperlink" Target="https://www.jivi.com.ar/ficha.php?id=846" TargetMode="External"/><Relationship Id="rId177" Type="http://schemas.openxmlformats.org/officeDocument/2006/relationships/hyperlink" Target="https://www.jivi.com.ar/ficha.php?id=1091" TargetMode="External"/><Relationship Id="rId342" Type="http://schemas.openxmlformats.org/officeDocument/2006/relationships/hyperlink" Target="https://www.jivi.com.ar/ficha.php?id=835" TargetMode="External"/><Relationship Id="rId384" Type="http://schemas.openxmlformats.org/officeDocument/2006/relationships/hyperlink" Target="https://www.jivi.com.ar/ficha.php?id=1542" TargetMode="External"/><Relationship Id="rId202" Type="http://schemas.openxmlformats.org/officeDocument/2006/relationships/hyperlink" Target="https://www.jivi.com.ar/ficha.php?id=915" TargetMode="External"/><Relationship Id="rId244" Type="http://schemas.openxmlformats.org/officeDocument/2006/relationships/hyperlink" Target="https://www.jivi.com.ar/ficha.php?id=1316" TargetMode="External"/><Relationship Id="rId39" Type="http://schemas.openxmlformats.org/officeDocument/2006/relationships/hyperlink" Target="https://www.jivi.com.ar/ficha.php?id=116" TargetMode="External"/><Relationship Id="rId286" Type="http://schemas.openxmlformats.org/officeDocument/2006/relationships/hyperlink" Target="https://www.jivi.com.ar/ficha.php?id=1393" TargetMode="External"/><Relationship Id="rId451" Type="http://schemas.openxmlformats.org/officeDocument/2006/relationships/hyperlink" Target="https://www.jivi.com.ar/ficha.php?id=1602" TargetMode="External"/><Relationship Id="rId493" Type="http://schemas.openxmlformats.org/officeDocument/2006/relationships/hyperlink" Target="https://www.jivi.com.ar/ficha.php?id=1637" TargetMode="External"/><Relationship Id="rId507" Type="http://schemas.openxmlformats.org/officeDocument/2006/relationships/hyperlink" Target="https://www.jivi.com.ar/ficha.php?id=1272" TargetMode="External"/><Relationship Id="rId549" Type="http://schemas.openxmlformats.org/officeDocument/2006/relationships/hyperlink" Target="https://www.jivi.com.ar/ficha.php?id=1575" TargetMode="External"/><Relationship Id="rId50" Type="http://schemas.openxmlformats.org/officeDocument/2006/relationships/hyperlink" Target="https://www.jivi.com.ar/ficha.php?id=405" TargetMode="External"/><Relationship Id="rId104" Type="http://schemas.openxmlformats.org/officeDocument/2006/relationships/hyperlink" Target="https://www.jivi.com.ar/ficha.php?id=181" TargetMode="External"/><Relationship Id="rId146" Type="http://schemas.openxmlformats.org/officeDocument/2006/relationships/hyperlink" Target="https://www.jivi.com.ar/ficha.php?id=926" TargetMode="External"/><Relationship Id="rId188" Type="http://schemas.openxmlformats.org/officeDocument/2006/relationships/hyperlink" Target="https://www.jivi.com.ar/ficha.php?id=1120" TargetMode="External"/><Relationship Id="rId311" Type="http://schemas.openxmlformats.org/officeDocument/2006/relationships/hyperlink" Target="https://www.jivi.com.ar/ficha.php?id=1442" TargetMode="External"/><Relationship Id="rId353" Type="http://schemas.openxmlformats.org/officeDocument/2006/relationships/hyperlink" Target="https://www.jivi.com.ar/ficha.php?id=1495" TargetMode="External"/><Relationship Id="rId395" Type="http://schemas.openxmlformats.org/officeDocument/2006/relationships/hyperlink" Target="https://www.jivi.com.ar/ficha.php?id=1553" TargetMode="External"/><Relationship Id="rId409" Type="http://schemas.openxmlformats.org/officeDocument/2006/relationships/hyperlink" Target="https://www.jivi.com.ar/ficha.php?id=1407" TargetMode="External"/><Relationship Id="rId560" Type="http://schemas.openxmlformats.org/officeDocument/2006/relationships/hyperlink" Target="https://www.jivi.com.ar/ficha.php?id=1750" TargetMode="External"/><Relationship Id="rId92" Type="http://schemas.openxmlformats.org/officeDocument/2006/relationships/hyperlink" Target="https://www.jivi.com.ar/ficha.php?id=171" TargetMode="External"/><Relationship Id="rId213" Type="http://schemas.openxmlformats.org/officeDocument/2006/relationships/hyperlink" Target="https://www.jivi.com.ar/ficha.php?id=1220" TargetMode="External"/><Relationship Id="rId420" Type="http://schemas.openxmlformats.org/officeDocument/2006/relationships/hyperlink" Target="https://www.jivi.com.ar/ficha.php?id=1518" TargetMode="External"/><Relationship Id="rId255" Type="http://schemas.openxmlformats.org/officeDocument/2006/relationships/hyperlink" Target="https://www.jivi.com.ar/ficha.php?id=1366" TargetMode="External"/><Relationship Id="rId297" Type="http://schemas.openxmlformats.org/officeDocument/2006/relationships/hyperlink" Target="https://www.jivi.com.ar/ficha.php?id=1420" TargetMode="External"/><Relationship Id="rId462" Type="http://schemas.openxmlformats.org/officeDocument/2006/relationships/hyperlink" Target="https://www.jivi.com.ar/ficha.php?id=1274" TargetMode="External"/><Relationship Id="rId518" Type="http://schemas.openxmlformats.org/officeDocument/2006/relationships/hyperlink" Target="https://www.jivi.com.ar/ficha.php?id=1699" TargetMode="External"/><Relationship Id="rId115" Type="http://schemas.openxmlformats.org/officeDocument/2006/relationships/hyperlink" Target="https://www.jivi.com.ar/ficha.php?id=566" TargetMode="External"/><Relationship Id="rId157" Type="http://schemas.openxmlformats.org/officeDocument/2006/relationships/hyperlink" Target="https://www.jivi.com.ar/ficha.php?id=1006" TargetMode="External"/><Relationship Id="rId322" Type="http://schemas.openxmlformats.org/officeDocument/2006/relationships/hyperlink" Target="https://www.jivi.com.ar/ficha.php?id=1449" TargetMode="External"/><Relationship Id="rId364" Type="http://schemas.openxmlformats.org/officeDocument/2006/relationships/hyperlink" Target="https://www.jivi.com.ar/ficha.php?id=1507" TargetMode="External"/><Relationship Id="rId61" Type="http://schemas.openxmlformats.org/officeDocument/2006/relationships/hyperlink" Target="https://www.jivi.com.ar/ficha.php?id=124" TargetMode="External"/><Relationship Id="rId199" Type="http://schemas.openxmlformats.org/officeDocument/2006/relationships/hyperlink" Target="https://www.jivi.com.ar/ficha.php?id=975" TargetMode="External"/><Relationship Id="rId19" Type="http://schemas.openxmlformats.org/officeDocument/2006/relationships/hyperlink" Target="https://www.jivi.com.ar/ficha.php?id=96" TargetMode="External"/><Relationship Id="rId224" Type="http://schemas.openxmlformats.org/officeDocument/2006/relationships/hyperlink" Target="https://www.jivi.com.ar/ficha.php?id=920" TargetMode="External"/><Relationship Id="rId266" Type="http://schemas.openxmlformats.org/officeDocument/2006/relationships/hyperlink" Target="https://www.jivi.com.ar/ficha.php?id=1389" TargetMode="External"/><Relationship Id="rId431" Type="http://schemas.openxmlformats.org/officeDocument/2006/relationships/hyperlink" Target="https://www.jivi.com.ar/ficha.php?id=1577" TargetMode="External"/><Relationship Id="rId473" Type="http://schemas.openxmlformats.org/officeDocument/2006/relationships/hyperlink" Target="https://www.jivi.com.ar/ficha.php?id=1617" TargetMode="External"/><Relationship Id="rId529" Type="http://schemas.openxmlformats.org/officeDocument/2006/relationships/hyperlink" Target="https://www.jivi.com.ar/ficha.php?id=1708" TargetMode="External"/><Relationship Id="rId30" Type="http://schemas.openxmlformats.org/officeDocument/2006/relationships/hyperlink" Target="https://www.jivi.com.ar/ficha.php?id=107" TargetMode="External"/><Relationship Id="rId126" Type="http://schemas.openxmlformats.org/officeDocument/2006/relationships/hyperlink" Target="https://www.jivi.com.ar/ficha.php?id=51" TargetMode="External"/><Relationship Id="rId168" Type="http://schemas.openxmlformats.org/officeDocument/2006/relationships/hyperlink" Target="https://www.jivi.com.ar/ficha.php?id=1059" TargetMode="External"/><Relationship Id="rId333" Type="http://schemas.openxmlformats.org/officeDocument/2006/relationships/hyperlink" Target="https://www.jivi.com.ar/ficha.php?id=1466" TargetMode="External"/><Relationship Id="rId540" Type="http://schemas.openxmlformats.org/officeDocument/2006/relationships/hyperlink" Target="https://www.jivi.com.ar/ficha.php?id=1732" TargetMode="External"/><Relationship Id="rId72" Type="http://schemas.openxmlformats.org/officeDocument/2006/relationships/hyperlink" Target="https://www.jivi.com.ar/ficha.php?id=719" TargetMode="External"/><Relationship Id="rId375" Type="http://schemas.openxmlformats.org/officeDocument/2006/relationships/hyperlink" Target="https://www.jivi.com.ar/ficha.php?id=1526" TargetMode="External"/><Relationship Id="rId3" Type="http://schemas.openxmlformats.org/officeDocument/2006/relationships/hyperlink" Target="https://www.jivi.com.ar/ficha.php?id=660" TargetMode="External"/><Relationship Id="rId235" Type="http://schemas.openxmlformats.org/officeDocument/2006/relationships/hyperlink" Target="https://www.jivi.com.ar/ficha.php?id=991" TargetMode="External"/><Relationship Id="rId277" Type="http://schemas.openxmlformats.org/officeDocument/2006/relationships/hyperlink" Target="https://www.jivi.com.ar/ficha.php?id=1400" TargetMode="External"/><Relationship Id="rId400" Type="http://schemas.openxmlformats.org/officeDocument/2006/relationships/hyperlink" Target="https://www.jivi.com.ar/ficha.php?id=1558" TargetMode="External"/><Relationship Id="rId442" Type="http://schemas.openxmlformats.org/officeDocument/2006/relationships/hyperlink" Target="https://www.jivi.com.ar/ficha.php?id=1590" TargetMode="External"/><Relationship Id="rId484" Type="http://schemas.openxmlformats.org/officeDocument/2006/relationships/hyperlink" Target="https://www.jivi.com.ar/ficha.php?id=265" TargetMode="External"/><Relationship Id="rId137" Type="http://schemas.openxmlformats.org/officeDocument/2006/relationships/hyperlink" Target="https://www.jivi.com.ar/ficha.php?id=854" TargetMode="External"/><Relationship Id="rId302" Type="http://schemas.openxmlformats.org/officeDocument/2006/relationships/hyperlink" Target="https://www.jivi.com.ar/ficha.php?id=1426" TargetMode="External"/><Relationship Id="rId344" Type="http://schemas.openxmlformats.org/officeDocument/2006/relationships/hyperlink" Target="https://www.jivi.com.ar/ficha.php?id=1479" TargetMode="External"/><Relationship Id="rId41" Type="http://schemas.openxmlformats.org/officeDocument/2006/relationships/hyperlink" Target="https://www.jivi.com.ar/ficha.php?id=399" TargetMode="External"/><Relationship Id="rId83" Type="http://schemas.openxmlformats.org/officeDocument/2006/relationships/hyperlink" Target="https://www.jivi.com.ar/ficha.php?id=142" TargetMode="External"/><Relationship Id="rId179" Type="http://schemas.openxmlformats.org/officeDocument/2006/relationships/hyperlink" Target="https://www.jivi.com.ar/ficha.php?id=1094" TargetMode="External"/><Relationship Id="rId386" Type="http://schemas.openxmlformats.org/officeDocument/2006/relationships/hyperlink" Target="https://www.jivi.com.ar/ficha.php?id=1545" TargetMode="External"/><Relationship Id="rId551" Type="http://schemas.openxmlformats.org/officeDocument/2006/relationships/hyperlink" Target="https://www.jivi.com.ar/ficha.php?id=1744" TargetMode="External"/><Relationship Id="rId190" Type="http://schemas.openxmlformats.org/officeDocument/2006/relationships/hyperlink" Target="https://www.jivi.com.ar/ficha.php?id=1157" TargetMode="External"/><Relationship Id="rId204" Type="http://schemas.openxmlformats.org/officeDocument/2006/relationships/hyperlink" Target="https://www.jivi.com.ar/ficha.php?id=1183" TargetMode="External"/><Relationship Id="rId246" Type="http://schemas.openxmlformats.org/officeDocument/2006/relationships/hyperlink" Target="https://www.jivi.com.ar/ficha.php?id=1336" TargetMode="External"/><Relationship Id="rId288" Type="http://schemas.openxmlformats.org/officeDocument/2006/relationships/hyperlink" Target="https://www.jivi.com.ar/ficha.php?id=1413" TargetMode="External"/><Relationship Id="rId411" Type="http://schemas.openxmlformats.org/officeDocument/2006/relationships/hyperlink" Target="https://www.jivi.com.ar/ficha.php?id=1408" TargetMode="External"/><Relationship Id="rId453" Type="http://schemas.openxmlformats.org/officeDocument/2006/relationships/hyperlink" Target="https://www.jivi.com.ar/ficha.php?id=1224" TargetMode="External"/><Relationship Id="rId509" Type="http://schemas.openxmlformats.org/officeDocument/2006/relationships/hyperlink" Target="https://www.jivi.com.ar/ficha.php?id=1672" TargetMode="External"/><Relationship Id="rId106" Type="http://schemas.openxmlformats.org/officeDocument/2006/relationships/hyperlink" Target="https://www.jivi.com.ar/ficha.php?id=473" TargetMode="External"/><Relationship Id="rId313" Type="http://schemas.openxmlformats.org/officeDocument/2006/relationships/hyperlink" Target="https://www.jivi.com.ar/ficha.php?id=216" TargetMode="External"/><Relationship Id="rId495" Type="http://schemas.openxmlformats.org/officeDocument/2006/relationships/hyperlink" Target="https://www.jivi.com.ar/ficha.php?id=1655" TargetMode="External"/><Relationship Id="rId10" Type="http://schemas.openxmlformats.org/officeDocument/2006/relationships/hyperlink" Target="https://www.jivi.com.ar/ficha.php?id=718" TargetMode="External"/><Relationship Id="rId52" Type="http://schemas.openxmlformats.org/officeDocument/2006/relationships/hyperlink" Target="https://www.jivi.com.ar/ficha.php?id=407" TargetMode="External"/><Relationship Id="rId94" Type="http://schemas.openxmlformats.org/officeDocument/2006/relationships/hyperlink" Target="https://www.jivi.com.ar/ficha.php?id=169" TargetMode="External"/><Relationship Id="rId148" Type="http://schemas.openxmlformats.org/officeDocument/2006/relationships/hyperlink" Target="https://www.jivi.com.ar/ficha.php?id=247" TargetMode="External"/><Relationship Id="rId355" Type="http://schemas.openxmlformats.org/officeDocument/2006/relationships/hyperlink" Target="https://www.jivi.com.ar/ficha.php?id=1497" TargetMode="External"/><Relationship Id="rId397" Type="http://schemas.openxmlformats.org/officeDocument/2006/relationships/hyperlink" Target="https://www.jivi.com.ar/ficha.php?id=1397" TargetMode="External"/><Relationship Id="rId520" Type="http://schemas.openxmlformats.org/officeDocument/2006/relationships/hyperlink" Target="https://www.jivi.com.ar/ficha.php?id=1510" TargetMode="External"/><Relationship Id="rId562" Type="http://schemas.openxmlformats.org/officeDocument/2006/relationships/printerSettings" Target="../printerSettings/printerSettings1.bin"/><Relationship Id="rId215" Type="http://schemas.openxmlformats.org/officeDocument/2006/relationships/hyperlink" Target="https://www.jivi.com.ar/ficha.php?id=1223" TargetMode="External"/><Relationship Id="rId257" Type="http://schemas.openxmlformats.org/officeDocument/2006/relationships/hyperlink" Target="https://www.jivi.com.ar/ficha.php?id=864" TargetMode="External"/><Relationship Id="rId422" Type="http://schemas.openxmlformats.org/officeDocument/2006/relationships/hyperlink" Target="https://www.jivi.com.ar/ficha.php?id=1572" TargetMode="External"/><Relationship Id="rId464" Type="http://schemas.openxmlformats.org/officeDocument/2006/relationships/hyperlink" Target="https://www.jivi.com.ar/ficha.php?id=1396" TargetMode="External"/><Relationship Id="rId299" Type="http://schemas.openxmlformats.org/officeDocument/2006/relationships/hyperlink" Target="https://www.jivi.com.ar/ficha.php?id=1422" TargetMode="External"/><Relationship Id="rId63" Type="http://schemas.openxmlformats.org/officeDocument/2006/relationships/hyperlink" Target="https://www.jivi.com.ar/ficha.php?id=187" TargetMode="External"/><Relationship Id="rId159" Type="http://schemas.openxmlformats.org/officeDocument/2006/relationships/hyperlink" Target="https://www.jivi.com.ar/ficha.php?id=251" TargetMode="External"/><Relationship Id="rId366" Type="http://schemas.openxmlformats.org/officeDocument/2006/relationships/hyperlink" Target="https://www.jivi.com.ar/ficha.php?id=1509" TargetMode="External"/><Relationship Id="rId226" Type="http://schemas.openxmlformats.org/officeDocument/2006/relationships/hyperlink" Target="https://www.jivi.com.ar/ficha.php?id=1248" TargetMode="External"/><Relationship Id="rId433" Type="http://schemas.openxmlformats.org/officeDocument/2006/relationships/hyperlink" Target="https://www.jivi.com.ar/ficha.php?id=1581" TargetMode="External"/><Relationship Id="rId74" Type="http://schemas.openxmlformats.org/officeDocument/2006/relationships/hyperlink" Target="https://www.jivi.com.ar/ficha.php?id=211" TargetMode="External"/><Relationship Id="rId377" Type="http://schemas.openxmlformats.org/officeDocument/2006/relationships/hyperlink" Target="https://www.jivi.com.ar/ficha.php?id=1532" TargetMode="External"/><Relationship Id="rId500" Type="http://schemas.openxmlformats.org/officeDocument/2006/relationships/hyperlink" Target="https://www.jivi.com.ar/ficha.php?id=1660" TargetMode="External"/><Relationship Id="rId5" Type="http://schemas.openxmlformats.org/officeDocument/2006/relationships/hyperlink" Target="https://www.jivi.com.ar/ficha.php?id=725" TargetMode="External"/><Relationship Id="rId237" Type="http://schemas.openxmlformats.org/officeDocument/2006/relationships/hyperlink" Target="https://www.jivi.com.ar/ficha.php?id=1607" TargetMode="External"/><Relationship Id="rId444" Type="http://schemas.openxmlformats.org/officeDocument/2006/relationships/hyperlink" Target="https://www.jivi.com.ar/ficha.php?id=1592" TargetMode="External"/><Relationship Id="rId290" Type="http://schemas.openxmlformats.org/officeDocument/2006/relationships/hyperlink" Target="https://www.jivi.com.ar/ficha.php?id=1415" TargetMode="External"/><Relationship Id="rId304" Type="http://schemas.openxmlformats.org/officeDocument/2006/relationships/hyperlink" Target="https://www.jivi.com.ar/ficha.php?id=1431" TargetMode="External"/><Relationship Id="rId388" Type="http://schemas.openxmlformats.org/officeDocument/2006/relationships/hyperlink" Target="https://www.jivi.com.ar/ficha.php?id=1547" TargetMode="External"/><Relationship Id="rId511" Type="http://schemas.openxmlformats.org/officeDocument/2006/relationships/hyperlink" Target="https://www.jivi.com.ar/ficha.php?id=1691" TargetMode="External"/><Relationship Id="rId85" Type="http://schemas.openxmlformats.org/officeDocument/2006/relationships/hyperlink" Target="https://www.jivi.com.ar/ficha.php?id=393" TargetMode="External"/><Relationship Id="rId150" Type="http://schemas.openxmlformats.org/officeDocument/2006/relationships/hyperlink" Target="https://www.jivi.com.ar/ficha.php?id=954" TargetMode="External"/><Relationship Id="rId248" Type="http://schemas.openxmlformats.org/officeDocument/2006/relationships/hyperlink" Target="https://www.jivi.com.ar/ficha.php?id=1333" TargetMode="External"/><Relationship Id="rId455" Type="http://schemas.openxmlformats.org/officeDocument/2006/relationships/hyperlink" Target="https://www.jivi.com.ar/ficha.php?id=1606" TargetMode="External"/><Relationship Id="rId12" Type="http://schemas.openxmlformats.org/officeDocument/2006/relationships/hyperlink" Target="https://www.jivi.com.ar/ficha.php?id=42" TargetMode="External"/><Relationship Id="rId108" Type="http://schemas.openxmlformats.org/officeDocument/2006/relationships/hyperlink" Target="https://www.jivi.com.ar/ficha.php?id=252" TargetMode="External"/><Relationship Id="rId315" Type="http://schemas.openxmlformats.org/officeDocument/2006/relationships/hyperlink" Target="https://www.jivi.com.ar/ficha.php?id=1334" TargetMode="External"/><Relationship Id="rId522" Type="http://schemas.openxmlformats.org/officeDocument/2006/relationships/hyperlink" Target="https://www.jivi.com.ar/ficha.php?id=1531" TargetMode="External"/><Relationship Id="rId96" Type="http://schemas.openxmlformats.org/officeDocument/2006/relationships/hyperlink" Target="https://www.jivi.com.ar/ficha.php?id=158" TargetMode="External"/><Relationship Id="rId161" Type="http://schemas.openxmlformats.org/officeDocument/2006/relationships/hyperlink" Target="https://www.jivi.com.ar/ficha.php?id=1023" TargetMode="External"/><Relationship Id="rId399" Type="http://schemas.openxmlformats.org/officeDocument/2006/relationships/hyperlink" Target="https://www.jivi.com.ar/ficha.php?id=1557" TargetMode="External"/><Relationship Id="rId259" Type="http://schemas.openxmlformats.org/officeDocument/2006/relationships/hyperlink" Target="https://www.jivi.com.ar/ficha.php?id=1378" TargetMode="External"/><Relationship Id="rId466" Type="http://schemas.openxmlformats.org/officeDocument/2006/relationships/hyperlink" Target="https://www.jivi.com.ar/ficha.php?id=1612" TargetMode="External"/><Relationship Id="rId23" Type="http://schemas.openxmlformats.org/officeDocument/2006/relationships/hyperlink" Target="https://www.jivi.com.ar/ficha.php?id=100" TargetMode="External"/><Relationship Id="rId119" Type="http://schemas.openxmlformats.org/officeDocument/2006/relationships/hyperlink" Target="https://www.jivi.com.ar/ficha.php?id=534" TargetMode="External"/><Relationship Id="rId326" Type="http://schemas.openxmlformats.org/officeDocument/2006/relationships/hyperlink" Target="https://www.jivi.com.ar/ficha.php?id=1064" TargetMode="External"/><Relationship Id="rId533" Type="http://schemas.openxmlformats.org/officeDocument/2006/relationships/hyperlink" Target="https://www.jivi.com.ar/ficha.php?id=1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Q1531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10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thickBot="1" x14ac:dyDescent="0.25">
      <c r="A1" s="20"/>
      <c r="B1" s="867" t="s">
        <v>0</v>
      </c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  <c r="N1" s="868"/>
      <c r="O1" s="868"/>
      <c r="P1" s="868"/>
      <c r="Q1" s="868"/>
      <c r="R1" s="868"/>
      <c r="S1" s="868"/>
      <c r="T1" s="868"/>
      <c r="U1" s="868"/>
      <c r="V1" s="868"/>
      <c r="W1" s="869"/>
      <c r="X1" s="177">
        <v>1</v>
      </c>
      <c r="Y1" s="847" t="s">
        <v>1</v>
      </c>
      <c r="Z1" s="848"/>
      <c r="AA1" s="848"/>
      <c r="AB1" s="848"/>
      <c r="AC1" s="848"/>
      <c r="AD1" s="849"/>
      <c r="AE1" s="844" t="s">
        <v>2</v>
      </c>
      <c r="AF1" s="845"/>
      <c r="AG1" s="845"/>
      <c r="AH1" s="845"/>
      <c r="AI1" s="846"/>
      <c r="AJ1" s="842" t="s">
        <v>3</v>
      </c>
      <c r="AK1" s="59"/>
      <c r="AL1" s="59"/>
      <c r="AM1" s="57"/>
    </row>
    <row r="2" spans="1:39" ht="14.25" customHeight="1" thickBot="1" x14ac:dyDescent="0.25">
      <c r="A2" s="20"/>
      <c r="B2" s="901" t="s">
        <v>918</v>
      </c>
      <c r="C2" s="902"/>
      <c r="D2" s="902"/>
      <c r="E2" s="902"/>
      <c r="F2" s="902"/>
      <c r="G2" s="902"/>
      <c r="H2" s="902"/>
      <c r="I2" s="902"/>
      <c r="J2" s="902"/>
      <c r="K2" s="902"/>
      <c r="L2" s="902"/>
      <c r="M2" s="902"/>
      <c r="N2" s="902"/>
      <c r="O2" s="902"/>
      <c r="P2" s="902"/>
      <c r="Q2" s="902"/>
      <c r="R2" s="902"/>
      <c r="S2" s="902"/>
      <c r="T2" s="902"/>
      <c r="U2" s="902"/>
      <c r="V2" s="903"/>
      <c r="W2" s="904"/>
      <c r="X2" s="491">
        <v>920</v>
      </c>
      <c r="Y2" s="898" t="s">
        <v>4</v>
      </c>
      <c r="Z2" s="898"/>
      <c r="AA2" s="898"/>
      <c r="AB2" s="898"/>
      <c r="AC2" s="898"/>
      <c r="AD2" s="899"/>
      <c r="AE2" s="853" t="s">
        <v>5</v>
      </c>
      <c r="AF2" s="854"/>
      <c r="AG2" s="854"/>
      <c r="AH2" s="548"/>
      <c r="AI2" s="549"/>
      <c r="AJ2" s="843"/>
      <c r="AK2" s="188"/>
      <c r="AL2" s="188"/>
      <c r="AM2" s="57"/>
    </row>
    <row r="3" spans="1:39" ht="15.75" customHeight="1" thickBot="1" x14ac:dyDescent="0.25">
      <c r="A3" s="20"/>
      <c r="B3" s="870"/>
      <c r="C3" s="871"/>
      <c r="D3" s="872"/>
      <c r="E3" s="891" t="s">
        <v>6</v>
      </c>
      <c r="F3" s="892"/>
      <c r="G3" s="892"/>
      <c r="H3" s="892"/>
      <c r="I3" s="892"/>
      <c r="J3" s="892"/>
      <c r="K3" s="892"/>
      <c r="L3" s="892"/>
      <c r="M3" s="892"/>
      <c r="N3" s="892"/>
      <c r="O3" s="892"/>
      <c r="P3" s="892"/>
      <c r="Q3" s="892"/>
      <c r="R3" s="892"/>
      <c r="S3" s="892"/>
      <c r="T3" s="892"/>
      <c r="U3" s="892"/>
      <c r="V3" s="893"/>
      <c r="W3" s="894"/>
      <c r="X3" s="880" t="s">
        <v>441</v>
      </c>
      <c r="Y3" s="881"/>
      <c r="Z3" s="881"/>
      <c r="AA3" s="881"/>
      <c r="AB3" s="881"/>
      <c r="AC3" s="881"/>
      <c r="AD3" s="882"/>
      <c r="AE3" s="851"/>
      <c r="AF3" s="852"/>
      <c r="AG3" s="852"/>
      <c r="AH3" s="852"/>
      <c r="AI3" s="852"/>
      <c r="AJ3" s="15"/>
      <c r="AK3" s="15"/>
      <c r="AL3" s="15"/>
      <c r="AM3" s="58"/>
    </row>
    <row r="4" spans="1:39" ht="21.75" customHeight="1" thickBot="1" x14ac:dyDescent="0.25">
      <c r="A4" s="20"/>
      <c r="B4" s="873"/>
      <c r="C4" s="871"/>
      <c r="D4" s="872"/>
      <c r="E4" s="895" t="s">
        <v>7</v>
      </c>
      <c r="F4" s="896"/>
      <c r="G4" s="896"/>
      <c r="H4" s="896"/>
      <c r="I4" s="896"/>
      <c r="J4" s="896"/>
      <c r="K4" s="896"/>
      <c r="L4" s="896"/>
      <c r="M4" s="896"/>
      <c r="N4" s="896"/>
      <c r="O4" s="896"/>
      <c r="P4" s="896"/>
      <c r="Q4" s="896"/>
      <c r="R4" s="896"/>
      <c r="S4" s="896"/>
      <c r="T4" s="896"/>
      <c r="U4" s="896"/>
      <c r="V4" s="896"/>
      <c r="W4" s="897"/>
      <c r="X4" s="883"/>
      <c r="Y4" s="884"/>
      <c r="Z4" s="884"/>
      <c r="AA4" s="884"/>
      <c r="AB4" s="884"/>
      <c r="AC4" s="884"/>
      <c r="AD4" s="885"/>
      <c r="AE4" s="852"/>
      <c r="AF4" s="852"/>
      <c r="AG4" s="852"/>
      <c r="AH4" s="852"/>
      <c r="AI4" s="852"/>
      <c r="AJ4" s="15"/>
      <c r="AK4" s="15"/>
      <c r="AL4" s="15"/>
      <c r="AM4" s="58"/>
    </row>
    <row r="5" spans="1:39" ht="23.25" customHeight="1" thickBot="1" x14ac:dyDescent="0.25">
      <c r="A5" s="20"/>
      <c r="B5" s="874"/>
      <c r="C5" s="875"/>
      <c r="D5" s="876"/>
      <c r="E5" s="877" t="s">
        <v>8</v>
      </c>
      <c r="F5" s="878"/>
      <c r="G5" s="878"/>
      <c r="H5" s="878"/>
      <c r="I5" s="878"/>
      <c r="J5" s="878"/>
      <c r="K5" s="878"/>
      <c r="L5" s="878"/>
      <c r="M5" s="878"/>
      <c r="N5" s="878"/>
      <c r="O5" s="878"/>
      <c r="P5" s="878"/>
      <c r="Q5" s="878"/>
      <c r="R5" s="878"/>
      <c r="S5" s="878"/>
      <c r="T5" s="878"/>
      <c r="U5" s="878"/>
      <c r="V5" s="878"/>
      <c r="W5" s="879"/>
      <c r="X5" s="855"/>
      <c r="Y5" s="856"/>
      <c r="Z5" s="856"/>
      <c r="AA5" s="856"/>
      <c r="AB5" s="856"/>
      <c r="AC5" s="856"/>
      <c r="AD5" s="857"/>
      <c r="AE5" s="926"/>
      <c r="AF5" s="926"/>
      <c r="AG5" s="926"/>
      <c r="AH5" s="926"/>
      <c r="AI5" s="926"/>
      <c r="AJ5" s="15"/>
      <c r="AK5" s="15"/>
      <c r="AL5" s="15"/>
      <c r="AM5" s="58"/>
    </row>
    <row r="6" spans="1:39" ht="12" customHeight="1" thickBot="1" x14ac:dyDescent="0.25">
      <c r="A6" s="20"/>
      <c r="B6" s="940" t="s">
        <v>9</v>
      </c>
      <c r="C6" s="941"/>
      <c r="D6" s="941"/>
      <c r="E6" s="941"/>
      <c r="F6" s="941"/>
      <c r="G6" s="941"/>
      <c r="H6" s="941"/>
      <c r="I6" s="941"/>
      <c r="J6" s="941"/>
      <c r="K6" s="941"/>
      <c r="L6" s="941"/>
      <c r="M6" s="941"/>
      <c r="N6" s="941"/>
      <c r="O6" s="941"/>
      <c r="P6" s="941"/>
      <c r="Q6" s="941"/>
      <c r="R6" s="941"/>
      <c r="S6" s="941"/>
      <c r="T6" s="941"/>
      <c r="U6" s="941"/>
      <c r="V6" s="941"/>
      <c r="W6" s="942"/>
      <c r="X6" s="858"/>
      <c r="Y6" s="859"/>
      <c r="Z6" s="859"/>
      <c r="AA6" s="859"/>
      <c r="AB6" s="859"/>
      <c r="AC6" s="859"/>
      <c r="AD6" s="860"/>
      <c r="AE6" s="926"/>
      <c r="AF6" s="926"/>
      <c r="AG6" s="926"/>
      <c r="AH6" s="926"/>
      <c r="AI6" s="926"/>
      <c r="AJ6" s="15"/>
      <c r="AK6" s="15"/>
      <c r="AL6" s="15"/>
      <c r="AM6" s="58"/>
    </row>
    <row r="7" spans="1:39" ht="13.5" customHeight="1" thickBot="1" x14ac:dyDescent="0.25">
      <c r="A7" s="20"/>
      <c r="B7" s="923" t="s">
        <v>10</v>
      </c>
      <c r="C7" s="924"/>
      <c r="D7" s="924"/>
      <c r="E7" s="924"/>
      <c r="F7" s="924"/>
      <c r="G7" s="924"/>
      <c r="H7" s="924"/>
      <c r="I7" s="924"/>
      <c r="J7" s="924"/>
      <c r="K7" s="924"/>
      <c r="L7" s="924"/>
      <c r="M7" s="924"/>
      <c r="N7" s="924"/>
      <c r="O7" s="924"/>
      <c r="P7" s="924"/>
      <c r="Q7" s="924"/>
      <c r="R7" s="924"/>
      <c r="S7" s="924"/>
      <c r="T7" s="924"/>
      <c r="U7" s="924"/>
      <c r="V7" s="924"/>
      <c r="W7" s="925"/>
      <c r="X7" s="861"/>
      <c r="Y7" s="862"/>
      <c r="Z7" s="862"/>
      <c r="AA7" s="862"/>
      <c r="AB7" s="862"/>
      <c r="AC7" s="863"/>
      <c r="AD7" s="864"/>
      <c r="AE7" s="926"/>
      <c r="AF7" s="926"/>
      <c r="AG7" s="926"/>
      <c r="AH7" s="926"/>
      <c r="AI7" s="926"/>
    </row>
    <row r="8" spans="1:39" ht="14.25" customHeight="1" x14ac:dyDescent="0.2">
      <c r="A8" s="20"/>
      <c r="B8" s="912" t="s">
        <v>11</v>
      </c>
      <c r="C8" s="745" t="s">
        <v>12</v>
      </c>
      <c r="D8" s="746"/>
      <c r="E8" s="746"/>
      <c r="F8" s="817" t="s">
        <v>13</v>
      </c>
      <c r="G8" s="817" t="s">
        <v>13</v>
      </c>
      <c r="H8" s="765" t="s">
        <v>14</v>
      </c>
      <c r="I8" s="765"/>
      <c r="J8" s="766"/>
      <c r="K8" s="766"/>
      <c r="L8" s="766"/>
      <c r="M8" s="766"/>
      <c r="N8" s="766"/>
      <c r="O8" s="766"/>
      <c r="P8" s="766"/>
      <c r="Q8" s="766"/>
      <c r="R8" s="766"/>
      <c r="S8" s="766"/>
      <c r="T8" s="766"/>
      <c r="U8" s="766"/>
      <c r="V8" s="766"/>
      <c r="W8" s="767"/>
      <c r="X8" s="756" t="s">
        <v>15</v>
      </c>
      <c r="Y8" s="757"/>
      <c r="Z8" s="757"/>
      <c r="AA8" s="886"/>
      <c r="AB8" s="865" t="s">
        <v>16</v>
      </c>
      <c r="AC8" s="927" t="s">
        <v>17</v>
      </c>
      <c r="AD8" s="928"/>
      <c r="AE8" s="928"/>
      <c r="AF8" s="928"/>
      <c r="AG8" s="928"/>
      <c r="AH8" s="928"/>
      <c r="AI8" s="929"/>
    </row>
    <row r="9" spans="1:39" ht="11.25" customHeight="1" thickBot="1" x14ac:dyDescent="0.25">
      <c r="A9" s="20"/>
      <c r="B9" s="913"/>
      <c r="C9" s="747"/>
      <c r="D9" s="747"/>
      <c r="E9" s="747"/>
      <c r="F9" s="818"/>
      <c r="G9" s="818"/>
      <c r="H9" s="297"/>
      <c r="I9" s="293" t="s">
        <v>311</v>
      </c>
      <c r="J9" s="297"/>
      <c r="K9" s="293" t="s">
        <v>18</v>
      </c>
      <c r="L9" s="298"/>
      <c r="M9" s="298" t="s">
        <v>19</v>
      </c>
      <c r="N9" s="298"/>
      <c r="O9" s="293" t="s">
        <v>20</v>
      </c>
      <c r="P9" s="298"/>
      <c r="Q9" s="298" t="s">
        <v>313</v>
      </c>
      <c r="R9" s="298"/>
      <c r="S9" s="298" t="s">
        <v>21</v>
      </c>
      <c r="T9" s="298"/>
      <c r="U9" s="298" t="s">
        <v>22</v>
      </c>
      <c r="V9" s="298"/>
      <c r="W9" s="300" t="s">
        <v>23</v>
      </c>
      <c r="X9" s="758"/>
      <c r="Y9" s="759"/>
      <c r="Z9" s="759"/>
      <c r="AA9" s="887"/>
      <c r="AB9" s="866"/>
      <c r="AC9" s="930"/>
      <c r="AD9" s="931"/>
      <c r="AE9" s="931"/>
      <c r="AF9" s="931"/>
      <c r="AG9" s="931"/>
      <c r="AH9" s="931"/>
      <c r="AI9" s="932"/>
    </row>
    <row r="10" spans="1:39" ht="12.6" customHeight="1" x14ac:dyDescent="0.2">
      <c r="A10" s="20"/>
      <c r="B10" s="911" t="s">
        <v>490</v>
      </c>
      <c r="C10" s="800"/>
      <c r="D10" s="800"/>
      <c r="E10" s="800"/>
      <c r="F10" s="388"/>
      <c r="G10" s="378"/>
      <c r="H10" s="363"/>
      <c r="I10" s="467"/>
      <c r="J10" s="107"/>
      <c r="K10" s="371"/>
      <c r="L10" s="107"/>
      <c r="M10" s="371"/>
      <c r="N10" s="107"/>
      <c r="O10" s="388"/>
      <c r="P10" s="363"/>
      <c r="Q10" s="467"/>
      <c r="R10" s="107"/>
      <c r="S10" s="388"/>
      <c r="T10" s="107"/>
      <c r="U10" s="388"/>
      <c r="V10" s="107"/>
      <c r="W10" s="388"/>
      <c r="X10" s="141"/>
      <c r="Y10" s="141"/>
      <c r="Z10" s="141"/>
      <c r="AA10" s="141"/>
      <c r="AB10" s="535">
        <v>11</v>
      </c>
      <c r="AE10" s="65"/>
      <c r="AF10" s="850" t="s">
        <v>489</v>
      </c>
      <c r="AG10" s="850"/>
      <c r="AH10" s="850"/>
    </row>
    <row r="11" spans="1:39" ht="12.6" customHeight="1" x14ac:dyDescent="0.2">
      <c r="A11" s="20"/>
      <c r="B11" s="933" t="s">
        <v>839</v>
      </c>
      <c r="C11" s="934"/>
      <c r="D11" s="934"/>
      <c r="E11" s="935"/>
      <c r="F11" s="401">
        <v>557</v>
      </c>
      <c r="G11" s="379">
        <f t="shared" ref="G11" si="0">+F11*$X$1</f>
        <v>557</v>
      </c>
      <c r="H11" s="336"/>
      <c r="I11" s="420"/>
      <c r="J11" s="75">
        <f>F11+120</f>
        <v>677</v>
      </c>
      <c r="K11" s="345"/>
      <c r="L11" s="383"/>
      <c r="M11" s="345"/>
      <c r="N11" s="383">
        <f>F11+46</f>
        <v>603</v>
      </c>
      <c r="O11" s="345">
        <f t="shared" ref="O11" si="1">+N11*$X$1</f>
        <v>603</v>
      </c>
      <c r="P11" s="383">
        <f>F11+42</f>
        <v>599</v>
      </c>
      <c r="Q11" s="345">
        <f t="shared" ref="Q11" si="2">+P11*$X$1</f>
        <v>599</v>
      </c>
      <c r="R11" s="383">
        <f>F11+35</f>
        <v>592</v>
      </c>
      <c r="S11" s="345">
        <f t="shared" ref="S11" si="3">+R11*$X$1</f>
        <v>592</v>
      </c>
      <c r="T11" s="383">
        <f>F11+29</f>
        <v>586</v>
      </c>
      <c r="U11" s="345">
        <f t="shared" ref="U11" si="4">+T11*$X$1</f>
        <v>586</v>
      </c>
      <c r="V11" s="383">
        <f>F11+24</f>
        <v>581</v>
      </c>
      <c r="W11" s="345">
        <f t="shared" ref="W11" si="5">+V11*$X$1</f>
        <v>581</v>
      </c>
      <c r="X11" s="141"/>
      <c r="Y11" s="141"/>
      <c r="Z11" s="141"/>
      <c r="AA11" s="141"/>
      <c r="AB11" s="535">
        <v>13</v>
      </c>
      <c r="AE11" s="65"/>
      <c r="AF11" s="850" t="s">
        <v>24</v>
      </c>
      <c r="AG11" s="850"/>
      <c r="AH11" s="850"/>
    </row>
    <row r="12" spans="1:39" ht="12.6" customHeight="1" x14ac:dyDescent="0.2">
      <c r="A12" s="20"/>
      <c r="B12" s="742" t="s">
        <v>840</v>
      </c>
      <c r="C12" s="775"/>
      <c r="D12" s="775"/>
      <c r="E12" s="776"/>
      <c r="F12" s="400">
        <v>639</v>
      </c>
      <c r="G12" s="378">
        <f t="shared" ref="G12" si="6">+F12*$X$1</f>
        <v>639</v>
      </c>
      <c r="H12" s="335"/>
      <c r="I12" s="421"/>
      <c r="J12" s="93">
        <f>F12+120</f>
        <v>759</v>
      </c>
      <c r="K12" s="346"/>
      <c r="L12" s="627"/>
      <c r="M12" s="346"/>
      <c r="N12" s="627">
        <f>F12+46</f>
        <v>685</v>
      </c>
      <c r="O12" s="346">
        <f t="shared" ref="O12" si="7">+N12*$X$1</f>
        <v>685</v>
      </c>
      <c r="P12" s="627">
        <f>F12+42</f>
        <v>681</v>
      </c>
      <c r="Q12" s="346">
        <f t="shared" ref="Q12" si="8">+P12*$X$1</f>
        <v>681</v>
      </c>
      <c r="R12" s="627">
        <f>F12+35</f>
        <v>674</v>
      </c>
      <c r="S12" s="346">
        <f t="shared" ref="S12" si="9">+R12*$X$1</f>
        <v>674</v>
      </c>
      <c r="T12" s="627">
        <f>F12+29</f>
        <v>668</v>
      </c>
      <c r="U12" s="346">
        <f t="shared" ref="U12" si="10">+T12*$X$1</f>
        <v>668</v>
      </c>
      <c r="V12" s="627">
        <f>F12+24</f>
        <v>663</v>
      </c>
      <c r="W12" s="346">
        <f t="shared" ref="W12" si="11">+V12*$X$1</f>
        <v>663</v>
      </c>
      <c r="X12" s="141"/>
      <c r="Y12" s="141"/>
      <c r="Z12" s="141"/>
      <c r="AA12" s="141"/>
      <c r="AB12" s="37"/>
      <c r="AE12" s="65"/>
      <c r="AF12" s="850" t="s">
        <v>488</v>
      </c>
      <c r="AG12" s="850"/>
      <c r="AH12" s="850"/>
    </row>
    <row r="13" spans="1:39" ht="12.6" customHeight="1" x14ac:dyDescent="0.2">
      <c r="A13" s="20"/>
      <c r="B13" s="748" t="s">
        <v>838</v>
      </c>
      <c r="C13" s="720"/>
      <c r="D13" s="720"/>
      <c r="E13" s="720"/>
      <c r="F13" s="401">
        <v>960</v>
      </c>
      <c r="G13" s="379">
        <f t="shared" ref="G13:G14" si="12">+F13*$X$1</f>
        <v>960</v>
      </c>
      <c r="H13" s="336"/>
      <c r="I13" s="420"/>
      <c r="J13" s="587"/>
      <c r="K13" s="345"/>
      <c r="L13" s="383"/>
      <c r="M13" s="345"/>
      <c r="N13" s="383">
        <f>F13+46</f>
        <v>1006</v>
      </c>
      <c r="O13" s="345">
        <f t="shared" ref="O13" si="13">+N13*$X$1</f>
        <v>1006</v>
      </c>
      <c r="P13" s="383">
        <f>F13+42</f>
        <v>1002</v>
      </c>
      <c r="Q13" s="345">
        <f t="shared" ref="Q13" si="14">+P13*$X$1</f>
        <v>1002</v>
      </c>
      <c r="R13" s="383">
        <f>F13+35</f>
        <v>995</v>
      </c>
      <c r="S13" s="345">
        <f t="shared" ref="S13" si="15">+R13*$X$1</f>
        <v>995</v>
      </c>
      <c r="T13" s="383">
        <f>F13+29</f>
        <v>989</v>
      </c>
      <c r="U13" s="345">
        <f t="shared" ref="U13" si="16">+T13*$X$1</f>
        <v>989</v>
      </c>
      <c r="V13" s="383">
        <f>F13+24</f>
        <v>984</v>
      </c>
      <c r="W13" s="345">
        <f t="shared" ref="W13" si="17">+V13*$X$1</f>
        <v>984</v>
      </c>
      <c r="X13" s="141"/>
      <c r="Y13" s="141"/>
      <c r="Z13" s="141"/>
      <c r="AA13" s="141"/>
      <c r="AB13" s="535">
        <v>15</v>
      </c>
      <c r="AE13" s="65"/>
      <c r="AF13" s="850" t="s">
        <v>430</v>
      </c>
      <c r="AG13" s="850"/>
      <c r="AH13" s="850"/>
      <c r="AI13" s="65"/>
      <c r="AK13" s="1123"/>
      <c r="AL13" s="1123"/>
      <c r="AM13" s="1123"/>
    </row>
    <row r="14" spans="1:39" ht="12.6" customHeight="1" x14ac:dyDescent="0.2">
      <c r="A14" s="20"/>
      <c r="B14" s="742" t="s">
        <v>494</v>
      </c>
      <c r="C14" s="775"/>
      <c r="D14" s="775"/>
      <c r="E14" s="776"/>
      <c r="F14" s="346">
        <v>490</v>
      </c>
      <c r="G14" s="378">
        <f t="shared" si="12"/>
        <v>490</v>
      </c>
      <c r="H14" s="335"/>
      <c r="I14" s="421"/>
      <c r="J14" s="627">
        <f>F14+65</f>
        <v>555</v>
      </c>
      <c r="K14" s="346">
        <f t="shared" ref="K14:K15" si="18">+J14*$X$1</f>
        <v>555</v>
      </c>
      <c r="L14" s="627">
        <f>F14+50</f>
        <v>540</v>
      </c>
      <c r="M14" s="346">
        <f t="shared" ref="M14:M15" si="19">+L14*$X$1</f>
        <v>540</v>
      </c>
      <c r="N14" s="627">
        <f>F14+36</f>
        <v>526</v>
      </c>
      <c r="O14" s="346">
        <f t="shared" ref="O14:O15" si="20">+N14*$X$1</f>
        <v>526</v>
      </c>
      <c r="P14" s="627">
        <f>F14+33</f>
        <v>523</v>
      </c>
      <c r="Q14" s="346">
        <f t="shared" ref="Q14:Q15" si="21">+P14*$X$1</f>
        <v>523</v>
      </c>
      <c r="R14" s="627">
        <f>F14+30</f>
        <v>520</v>
      </c>
      <c r="S14" s="346">
        <f t="shared" ref="S14:S15" si="22">+R14*$X$1</f>
        <v>520</v>
      </c>
      <c r="T14" s="627">
        <f>F14+26</f>
        <v>516</v>
      </c>
      <c r="U14" s="346">
        <f t="shared" ref="U14:U15" si="23">+T14*$X$1</f>
        <v>516</v>
      </c>
      <c r="V14" s="627"/>
      <c r="W14" s="346"/>
      <c r="X14" s="141"/>
      <c r="Y14" s="141"/>
      <c r="Z14" s="141"/>
      <c r="AA14" s="141"/>
      <c r="AB14" s="535">
        <v>17</v>
      </c>
      <c r="AE14" s="65"/>
      <c r="AF14" s="850" t="s">
        <v>431</v>
      </c>
      <c r="AG14" s="850"/>
      <c r="AH14" s="850"/>
      <c r="AI14" s="65"/>
      <c r="AK14" s="228"/>
      <c r="AL14" s="228"/>
      <c r="AM14" s="228"/>
    </row>
    <row r="15" spans="1:39" ht="12.6" customHeight="1" x14ac:dyDescent="0.2">
      <c r="A15" s="20"/>
      <c r="B15" s="694" t="s">
        <v>857</v>
      </c>
      <c r="C15" s="777"/>
      <c r="D15" s="777"/>
      <c r="E15" s="778"/>
      <c r="F15" s="487">
        <f>34*X2</f>
        <v>31280</v>
      </c>
      <c r="G15" s="379">
        <f>+F15*$X$1</f>
        <v>31280</v>
      </c>
      <c r="H15" s="397">
        <f>F15+220</f>
        <v>31500</v>
      </c>
      <c r="I15" s="345">
        <f t="shared" ref="I15" si="24">+H15*$X$1</f>
        <v>31500</v>
      </c>
      <c r="J15" s="383">
        <f>F15+81</f>
        <v>31361</v>
      </c>
      <c r="K15" s="345">
        <f t="shared" si="18"/>
        <v>31361</v>
      </c>
      <c r="L15" s="383">
        <f>F15+70</f>
        <v>31350</v>
      </c>
      <c r="M15" s="345">
        <f t="shared" si="19"/>
        <v>31350</v>
      </c>
      <c r="N15" s="383">
        <f>F15+57</f>
        <v>31337</v>
      </c>
      <c r="O15" s="345">
        <f t="shared" si="20"/>
        <v>31337</v>
      </c>
      <c r="P15" s="383">
        <f>F15+55</f>
        <v>31335</v>
      </c>
      <c r="Q15" s="345">
        <f t="shared" si="21"/>
        <v>31335</v>
      </c>
      <c r="R15" s="383">
        <f>F15+51</f>
        <v>31331</v>
      </c>
      <c r="S15" s="345">
        <f t="shared" si="22"/>
        <v>31331</v>
      </c>
      <c r="T15" s="383">
        <f>F15+46</f>
        <v>31326</v>
      </c>
      <c r="U15" s="345">
        <f t="shared" si="23"/>
        <v>31326</v>
      </c>
      <c r="V15" s="383"/>
      <c r="W15" s="345"/>
      <c r="X15" s="735"/>
      <c r="Y15" s="705"/>
      <c r="Z15" s="705"/>
      <c r="AA15" s="706"/>
      <c r="AB15" s="535">
        <v>18</v>
      </c>
      <c r="AE15" s="76"/>
      <c r="AF15" s="697" t="s">
        <v>25</v>
      </c>
      <c r="AG15" s="697"/>
      <c r="AH15" s="697"/>
      <c r="AI15" s="697"/>
      <c r="AJ15" s="77"/>
    </row>
    <row r="16" spans="1:39" ht="12.6" customHeight="1" x14ac:dyDescent="0.2">
      <c r="A16" s="20"/>
      <c r="B16" s="742" t="s">
        <v>493</v>
      </c>
      <c r="C16" s="775"/>
      <c r="D16" s="775"/>
      <c r="E16" s="776"/>
      <c r="F16" s="486"/>
      <c r="G16" s="346"/>
      <c r="H16" s="335"/>
      <c r="I16" s="421"/>
      <c r="J16" s="477"/>
      <c r="K16" s="346"/>
      <c r="L16" s="477"/>
      <c r="M16" s="346"/>
      <c r="N16" s="477"/>
      <c r="O16" s="346"/>
      <c r="P16" s="477"/>
      <c r="Q16" s="346"/>
      <c r="R16" s="477"/>
      <c r="S16" s="346"/>
      <c r="T16" s="477"/>
      <c r="U16" s="346"/>
      <c r="V16" s="477"/>
      <c r="W16" s="346"/>
      <c r="X16" s="735"/>
      <c r="Y16" s="811"/>
      <c r="Z16" s="811"/>
      <c r="AA16" s="812"/>
      <c r="AB16" s="535">
        <v>22</v>
      </c>
      <c r="AF16" s="850" t="s">
        <v>26</v>
      </c>
      <c r="AG16" s="850"/>
      <c r="AH16" s="850"/>
    </row>
    <row r="17" spans="1:37" ht="12.6" customHeight="1" x14ac:dyDescent="0.2">
      <c r="A17" s="101"/>
      <c r="B17" s="922" t="s">
        <v>27</v>
      </c>
      <c r="C17" s="717"/>
      <c r="D17" s="717"/>
      <c r="E17" s="718"/>
      <c r="F17" s="487">
        <f>4.1*X2</f>
        <v>3771.9999999999995</v>
      </c>
      <c r="G17" s="379">
        <f>+F17*$X$1</f>
        <v>3771.9999999999995</v>
      </c>
      <c r="H17" s="397">
        <f>F17+220</f>
        <v>3991.9999999999995</v>
      </c>
      <c r="I17" s="345">
        <f t="shared" ref="I17:I18" si="25">+H17*$X$1</f>
        <v>3991.9999999999995</v>
      </c>
      <c r="J17" s="383"/>
      <c r="K17" s="347"/>
      <c r="L17" s="383"/>
      <c r="M17" s="345"/>
      <c r="N17" s="383"/>
      <c r="O17" s="345"/>
      <c r="P17" s="108"/>
      <c r="Q17" s="905" t="s">
        <v>155</v>
      </c>
      <c r="R17" s="906"/>
      <c r="S17" s="906"/>
      <c r="T17" s="906"/>
      <c r="U17" s="906"/>
      <c r="V17" s="906"/>
      <c r="W17" s="907"/>
      <c r="X17" s="735"/>
      <c r="Y17" s="705"/>
      <c r="Z17" s="705"/>
      <c r="AA17" s="706"/>
      <c r="AB17" s="535">
        <v>24</v>
      </c>
      <c r="AE17" s="76"/>
      <c r="AI17" s="102"/>
      <c r="AJ17" s="103"/>
    </row>
    <row r="18" spans="1:37" ht="12.6" customHeight="1" x14ac:dyDescent="0.2">
      <c r="A18" s="136"/>
      <c r="B18" s="742" t="s">
        <v>655</v>
      </c>
      <c r="C18" s="743"/>
      <c r="D18" s="743"/>
      <c r="E18" s="744"/>
      <c r="F18" s="486">
        <f>4.1*X2</f>
        <v>3771.9999999999995</v>
      </c>
      <c r="G18" s="378">
        <f>+F18*$X$1</f>
        <v>3771.9999999999995</v>
      </c>
      <c r="H18" s="397">
        <f>F18+220</f>
        <v>3991.9999999999995</v>
      </c>
      <c r="I18" s="346">
        <f t="shared" si="25"/>
        <v>3991.9999999999995</v>
      </c>
      <c r="J18" s="396"/>
      <c r="K18" s="348"/>
      <c r="L18" s="99"/>
      <c r="M18" s="348"/>
      <c r="N18" s="99">
        <f>F18+40</f>
        <v>3811.9999999999995</v>
      </c>
      <c r="O18" s="346"/>
      <c r="P18" s="335"/>
      <c r="Q18" s="888" t="s">
        <v>155</v>
      </c>
      <c r="R18" s="889"/>
      <c r="S18" s="889"/>
      <c r="T18" s="889"/>
      <c r="U18" s="889"/>
      <c r="V18" s="889"/>
      <c r="W18" s="890"/>
      <c r="X18" s="277"/>
      <c r="Y18" s="207"/>
      <c r="Z18" s="207"/>
      <c r="AA18" s="206"/>
      <c r="AB18" s="535">
        <v>25</v>
      </c>
      <c r="AE18" s="76"/>
      <c r="AI18" s="102"/>
      <c r="AJ18" s="103"/>
    </row>
    <row r="19" spans="1:37" ht="12.6" customHeight="1" x14ac:dyDescent="0.2">
      <c r="A19" s="101"/>
      <c r="B19" s="748" t="s">
        <v>486</v>
      </c>
      <c r="C19" s="900"/>
      <c r="D19" s="900"/>
      <c r="E19" s="900"/>
      <c r="F19" s="372"/>
      <c r="G19" s="373"/>
      <c r="H19" s="341"/>
      <c r="I19" s="425"/>
      <c r="J19" s="339"/>
      <c r="K19" s="347"/>
      <c r="L19" s="120"/>
      <c r="M19" s="347"/>
      <c r="N19" s="120"/>
      <c r="O19" s="345"/>
      <c r="P19" s="341"/>
      <c r="Q19" s="425"/>
      <c r="R19" s="339"/>
      <c r="S19" s="345"/>
      <c r="T19" s="120"/>
      <c r="U19" s="347"/>
      <c r="V19" s="120"/>
      <c r="W19" s="345"/>
      <c r="X19" s="277"/>
      <c r="Y19" s="253"/>
      <c r="Z19" s="253"/>
      <c r="AA19" s="252"/>
      <c r="AB19" s="535">
        <v>28</v>
      </c>
      <c r="AE19" s="76"/>
      <c r="AF19" s="697" t="s">
        <v>500</v>
      </c>
      <c r="AG19" s="697"/>
      <c r="AH19" s="697"/>
      <c r="AI19" s="908"/>
      <c r="AJ19" s="908"/>
    </row>
    <row r="20" spans="1:37" ht="12.6" customHeight="1" x14ac:dyDescent="0.2">
      <c r="A20" s="135"/>
      <c r="B20" s="742" t="s">
        <v>28</v>
      </c>
      <c r="C20" s="775"/>
      <c r="D20" s="775"/>
      <c r="E20" s="776"/>
      <c r="F20" s="346"/>
      <c r="G20" s="413"/>
      <c r="H20" s="335"/>
      <c r="I20" s="421"/>
      <c r="J20" s="97"/>
      <c r="K20" s="348"/>
      <c r="L20" s="97"/>
      <c r="M20" s="346"/>
      <c r="N20" s="97"/>
      <c r="O20" s="346"/>
      <c r="P20" s="107"/>
      <c r="Q20" s="346"/>
      <c r="R20" s="97"/>
      <c r="S20" s="346"/>
      <c r="T20" s="97"/>
      <c r="U20" s="346"/>
      <c r="V20" s="99"/>
      <c r="W20" s="346"/>
      <c r="X20" s="735"/>
      <c r="Y20" s="705"/>
      <c r="Z20" s="705"/>
      <c r="AA20" s="706"/>
      <c r="AB20" s="37"/>
      <c r="AF20" s="697" t="s">
        <v>447</v>
      </c>
      <c r="AG20" s="697"/>
      <c r="AH20" s="697"/>
      <c r="AI20" s="908"/>
      <c r="AJ20" s="908"/>
    </row>
    <row r="21" spans="1:37" ht="12.6" customHeight="1" x14ac:dyDescent="0.2">
      <c r="A21" s="20"/>
      <c r="B21" s="922" t="s">
        <v>29</v>
      </c>
      <c r="C21" s="717"/>
      <c r="D21" s="717"/>
      <c r="E21" s="718"/>
      <c r="F21" s="345">
        <v>2900</v>
      </c>
      <c r="G21" s="379">
        <f t="shared" ref="G21:G27" si="26">+F21*$X$1</f>
        <v>2900</v>
      </c>
      <c r="H21" s="397">
        <f>F21+220</f>
        <v>3120</v>
      </c>
      <c r="I21" s="345">
        <f t="shared" ref="I21:I22" si="27">+H21*$X$1</f>
        <v>3120</v>
      </c>
      <c r="J21" s="383">
        <f>F21+81</f>
        <v>2981</v>
      </c>
      <c r="K21" s="345">
        <f t="shared" ref="K21" si="28">+J21*$X$1</f>
        <v>2981</v>
      </c>
      <c r="L21" s="383">
        <f>F21+70</f>
        <v>2970</v>
      </c>
      <c r="M21" s="345">
        <f t="shared" ref="M21" si="29">+L21*$X$1</f>
        <v>2970</v>
      </c>
      <c r="N21" s="383">
        <f>F21+57</f>
        <v>2957</v>
      </c>
      <c r="O21" s="345">
        <f t="shared" ref="O21" si="30">+N21*$X$1</f>
        <v>2957</v>
      </c>
      <c r="P21" s="383">
        <f>F21+55</f>
        <v>2955</v>
      </c>
      <c r="Q21" s="345">
        <f t="shared" ref="Q21" si="31">+P21*$X$1</f>
        <v>2955</v>
      </c>
      <c r="R21" s="383">
        <f>F21+51</f>
        <v>2951</v>
      </c>
      <c r="S21" s="345">
        <f t="shared" ref="S21" si="32">+R21*$X$1</f>
        <v>2951</v>
      </c>
      <c r="T21" s="383">
        <f>F21+46</f>
        <v>2946</v>
      </c>
      <c r="U21" s="345">
        <f t="shared" ref="U21" si="33">+T21*$X$1</f>
        <v>2946</v>
      </c>
      <c r="V21" s="383"/>
      <c r="W21" s="345"/>
      <c r="X21" s="735"/>
      <c r="Y21" s="705"/>
      <c r="Z21" s="705"/>
      <c r="AA21" s="706"/>
      <c r="AB21" s="535" t="s">
        <v>30</v>
      </c>
      <c r="AE21" s="76"/>
      <c r="AF21" s="697" t="s">
        <v>448</v>
      </c>
      <c r="AG21" s="697"/>
      <c r="AH21" s="697"/>
      <c r="AI21" s="697"/>
      <c r="AJ21" s="77"/>
    </row>
    <row r="22" spans="1:37" ht="12.6" customHeight="1" x14ac:dyDescent="0.2">
      <c r="A22" s="20"/>
      <c r="B22" s="698" t="s">
        <v>31</v>
      </c>
      <c r="C22" s="699"/>
      <c r="D22" s="699"/>
      <c r="E22" s="699"/>
      <c r="F22" s="346">
        <v>2900</v>
      </c>
      <c r="G22" s="378">
        <f t="shared" ref="G22" si="34">+F22*$X$1</f>
        <v>2900</v>
      </c>
      <c r="H22" s="397">
        <f>F22+220</f>
        <v>3120</v>
      </c>
      <c r="I22" s="346">
        <f t="shared" si="27"/>
        <v>3120</v>
      </c>
      <c r="J22" s="477">
        <f>F22+81</f>
        <v>2981</v>
      </c>
      <c r="K22" s="346">
        <f t="shared" ref="K22" si="35">+J22*$X$1</f>
        <v>2981</v>
      </c>
      <c r="L22" s="477">
        <f>F22+70</f>
        <v>2970</v>
      </c>
      <c r="M22" s="346">
        <f t="shared" ref="M22" si="36">+L22*$X$1</f>
        <v>2970</v>
      </c>
      <c r="N22" s="477">
        <f>F22+57</f>
        <v>2957</v>
      </c>
      <c r="O22" s="346">
        <f t="shared" ref="O22" si="37">+N22*$X$1</f>
        <v>2957</v>
      </c>
      <c r="P22" s="477">
        <f>F22+55</f>
        <v>2955</v>
      </c>
      <c r="Q22" s="346">
        <f t="shared" ref="Q22" si="38">+P22*$X$1</f>
        <v>2955</v>
      </c>
      <c r="R22" s="477">
        <f>F22+51</f>
        <v>2951</v>
      </c>
      <c r="S22" s="346">
        <f t="shared" ref="S22" si="39">+R22*$X$1</f>
        <v>2951</v>
      </c>
      <c r="T22" s="477">
        <f>F22+46</f>
        <v>2946</v>
      </c>
      <c r="U22" s="346">
        <f t="shared" ref="U22" si="40">+T22*$X$1</f>
        <v>2946</v>
      </c>
      <c r="V22" s="477"/>
      <c r="W22" s="346"/>
      <c r="X22" s="735"/>
      <c r="Y22" s="705"/>
      <c r="Z22" s="705"/>
      <c r="AA22" s="706"/>
      <c r="AB22" s="535" t="s">
        <v>32</v>
      </c>
      <c r="AE22" s="76"/>
      <c r="AF22" s="697" t="s">
        <v>470</v>
      </c>
      <c r="AG22" s="697"/>
      <c r="AH22" s="697"/>
      <c r="AI22" s="697"/>
      <c r="AJ22" s="908"/>
    </row>
    <row r="23" spans="1:37" ht="12.6" customHeight="1" x14ac:dyDescent="0.2">
      <c r="A23" s="20"/>
      <c r="B23" s="748" t="s">
        <v>401</v>
      </c>
      <c r="C23" s="720"/>
      <c r="D23" s="720"/>
      <c r="E23" s="720"/>
      <c r="F23" s="345">
        <v>595</v>
      </c>
      <c r="G23" s="431">
        <f t="shared" si="26"/>
        <v>595</v>
      </c>
      <c r="H23" s="341"/>
      <c r="I23" s="452"/>
      <c r="J23" s="224"/>
      <c r="K23" s="347"/>
      <c r="L23" s="120"/>
      <c r="M23" s="347"/>
      <c r="N23" s="120"/>
      <c r="O23" s="345"/>
      <c r="P23" s="336"/>
      <c r="Q23" s="420"/>
      <c r="R23" s="383"/>
      <c r="S23" s="345"/>
      <c r="T23" s="383"/>
      <c r="U23" s="345"/>
      <c r="V23" s="383"/>
      <c r="W23" s="345"/>
      <c r="X23" s="141"/>
      <c r="Y23" s="141"/>
      <c r="Z23" s="141"/>
      <c r="AA23" s="141"/>
      <c r="AB23" s="535">
        <v>35</v>
      </c>
      <c r="AE23" s="76"/>
      <c r="AF23" s="697" t="s">
        <v>402</v>
      </c>
      <c r="AG23" s="908"/>
      <c r="AH23" s="908"/>
      <c r="AI23" s="908"/>
      <c r="AJ23" s="77"/>
    </row>
    <row r="24" spans="1:37" ht="12.6" customHeight="1" x14ac:dyDescent="0.2">
      <c r="A24" s="20"/>
      <c r="B24" s="698" t="s">
        <v>400</v>
      </c>
      <c r="C24" s="699"/>
      <c r="D24" s="699"/>
      <c r="E24" s="699"/>
      <c r="F24" s="346">
        <v>1930</v>
      </c>
      <c r="G24" s="413">
        <f t="shared" si="26"/>
        <v>1930</v>
      </c>
      <c r="H24" s="335"/>
      <c r="I24" s="421"/>
      <c r="J24" s="130"/>
      <c r="K24" s="346"/>
      <c r="L24" s="477"/>
      <c r="M24" s="346"/>
      <c r="N24" s="477"/>
      <c r="O24" s="346"/>
      <c r="P24" s="335"/>
      <c r="Q24" s="421"/>
      <c r="R24" s="477"/>
      <c r="S24" s="453"/>
      <c r="T24" s="107"/>
      <c r="U24" s="388"/>
      <c r="V24" s="107"/>
      <c r="W24" s="346"/>
      <c r="X24" s="141"/>
      <c r="Y24" s="141"/>
      <c r="Z24" s="141"/>
      <c r="AA24" s="141"/>
      <c r="AB24" s="535">
        <v>36</v>
      </c>
      <c r="AE24" s="76"/>
      <c r="AF24" s="697" t="s">
        <v>591</v>
      </c>
      <c r="AG24" s="697"/>
      <c r="AH24" s="697"/>
      <c r="AI24" s="697"/>
      <c r="AJ24" s="77"/>
    </row>
    <row r="25" spans="1:37" ht="12.6" customHeight="1" x14ac:dyDescent="0.2">
      <c r="A25" s="20"/>
      <c r="B25" s="748" t="s">
        <v>33</v>
      </c>
      <c r="C25" s="720"/>
      <c r="D25" s="720"/>
      <c r="E25" s="720"/>
      <c r="F25" s="345">
        <v>1930</v>
      </c>
      <c r="G25" s="373">
        <f t="shared" si="26"/>
        <v>1930</v>
      </c>
      <c r="H25" s="341"/>
      <c r="I25" s="425"/>
      <c r="J25" s="131"/>
      <c r="K25" s="345"/>
      <c r="L25" s="383"/>
      <c r="M25" s="345"/>
      <c r="N25" s="383"/>
      <c r="O25" s="345"/>
      <c r="P25" s="341"/>
      <c r="Q25" s="425"/>
      <c r="R25" s="383"/>
      <c r="S25" s="392"/>
      <c r="T25" s="383"/>
      <c r="U25" s="345"/>
      <c r="V25" s="383"/>
      <c r="W25" s="345"/>
      <c r="X25" s="141"/>
      <c r="Y25" s="141"/>
      <c r="Z25" s="141"/>
      <c r="AA25" s="141"/>
      <c r="AB25" s="535" t="s">
        <v>34</v>
      </c>
      <c r="AE25" s="76"/>
      <c r="AF25" s="697" t="s">
        <v>35</v>
      </c>
      <c r="AG25" s="697"/>
      <c r="AH25" s="697"/>
      <c r="AI25" s="697"/>
      <c r="AJ25" s="77"/>
    </row>
    <row r="26" spans="1:37" ht="12.6" customHeight="1" x14ac:dyDescent="0.2">
      <c r="A26" s="20"/>
      <c r="B26" s="698" t="s">
        <v>36</v>
      </c>
      <c r="C26" s="699"/>
      <c r="D26" s="699"/>
      <c r="E26" s="699"/>
      <c r="F26" s="346"/>
      <c r="G26" s="413"/>
      <c r="H26" s="335"/>
      <c r="I26" s="421"/>
      <c r="J26" s="130"/>
      <c r="K26" s="346"/>
      <c r="L26" s="477"/>
      <c r="M26" s="346"/>
      <c r="N26" s="477"/>
      <c r="O26" s="346"/>
      <c r="P26" s="477"/>
      <c r="Q26" s="346"/>
      <c r="R26" s="477"/>
      <c r="S26" s="480"/>
      <c r="T26" s="477"/>
      <c r="U26" s="371"/>
      <c r="V26" s="477"/>
      <c r="W26" s="346"/>
      <c r="X26" s="141"/>
      <c r="Y26" s="141"/>
      <c r="Z26" s="141"/>
      <c r="AA26" s="141"/>
      <c r="AB26" s="535" t="s">
        <v>37</v>
      </c>
      <c r="AD26" s="25"/>
      <c r="AE26" s="78"/>
      <c r="AF26" s="697" t="s">
        <v>38</v>
      </c>
      <c r="AG26" s="908"/>
      <c r="AH26" s="908"/>
      <c r="AI26" s="908"/>
      <c r="AJ26" s="77"/>
    </row>
    <row r="27" spans="1:37" ht="12.6" customHeight="1" x14ac:dyDescent="0.2">
      <c r="A27" s="20"/>
      <c r="B27" s="922" t="s">
        <v>39</v>
      </c>
      <c r="C27" s="717"/>
      <c r="D27" s="717"/>
      <c r="E27" s="718"/>
      <c r="F27" s="481">
        <f>5.8*X2</f>
        <v>5336</v>
      </c>
      <c r="G27" s="345">
        <f t="shared" si="26"/>
        <v>5336</v>
      </c>
      <c r="H27" s="336"/>
      <c r="I27" s="420"/>
      <c r="J27" s="383">
        <f>F27+50</f>
        <v>5386</v>
      </c>
      <c r="K27" s="345"/>
      <c r="L27" s="383">
        <f>F27+70</f>
        <v>5406</v>
      </c>
      <c r="M27" s="345">
        <f t="shared" ref="M27" si="41">+L27*$X$1</f>
        <v>5406</v>
      </c>
      <c r="N27" s="383">
        <f>F27+57</f>
        <v>5393</v>
      </c>
      <c r="O27" s="345">
        <f t="shared" ref="O27" si="42">+N27*$X$1</f>
        <v>5393</v>
      </c>
      <c r="P27" s="383">
        <f>F27+55</f>
        <v>5391</v>
      </c>
      <c r="Q27" s="345">
        <f t="shared" ref="Q27" si="43">+P27*$X$1</f>
        <v>5391</v>
      </c>
      <c r="R27" s="383">
        <f>F27+51</f>
        <v>5387</v>
      </c>
      <c r="S27" s="345">
        <f t="shared" ref="S27" si="44">+R27*$X$1</f>
        <v>5387</v>
      </c>
      <c r="T27" s="383">
        <f>F27+46</f>
        <v>5382</v>
      </c>
      <c r="U27" s="345">
        <f t="shared" ref="U27" si="45">+T27*$X$1</f>
        <v>5382</v>
      </c>
      <c r="V27" s="383"/>
      <c r="W27" s="345"/>
      <c r="X27" s="735"/>
      <c r="Y27" s="785"/>
      <c r="Z27" s="785"/>
      <c r="AA27" s="786"/>
      <c r="AB27" s="535">
        <v>39</v>
      </c>
      <c r="AE27" s="76"/>
      <c r="AF27" s="697" t="s">
        <v>903</v>
      </c>
      <c r="AG27" s="697"/>
      <c r="AH27" s="697"/>
      <c r="AI27" s="908"/>
      <c r="AJ27" s="908"/>
    </row>
    <row r="28" spans="1:37" ht="12.6" customHeight="1" x14ac:dyDescent="0.2">
      <c r="A28" s="20"/>
      <c r="B28" s="1108" t="s">
        <v>40</v>
      </c>
      <c r="C28" s="1109"/>
      <c r="D28" s="1109"/>
      <c r="E28" s="1110"/>
      <c r="F28" s="348"/>
      <c r="G28" s="346"/>
      <c r="H28" s="335"/>
      <c r="I28" s="421"/>
      <c r="J28" s="130"/>
      <c r="K28" s="346"/>
      <c r="L28" s="477">
        <f>6.421*X2</f>
        <v>5907.3200000000006</v>
      </c>
      <c r="M28" s="346">
        <f t="shared" ref="M28:M31" si="46">+L28*$X$1</f>
        <v>5907.3200000000006</v>
      </c>
      <c r="N28" s="477">
        <f>6.147*X2</f>
        <v>5655.24</v>
      </c>
      <c r="O28" s="346">
        <f t="shared" ref="O28" si="47">+N28*$X$1</f>
        <v>5655.24</v>
      </c>
      <c r="P28" s="337">
        <f>6.01*X2</f>
        <v>5529.2</v>
      </c>
      <c r="Q28" s="346">
        <f t="shared" ref="Q28:Q31" si="48">+P28*$X$1</f>
        <v>5529.2</v>
      </c>
      <c r="R28" s="477">
        <f>5.875*X2</f>
        <v>5405</v>
      </c>
      <c r="S28" s="391">
        <f t="shared" ref="S28" si="49">+R28*$X$1</f>
        <v>5405</v>
      </c>
      <c r="T28" s="99">
        <f>5.793*X2</f>
        <v>5329.56</v>
      </c>
      <c r="U28" s="427">
        <f t="shared" ref="U28" si="50">+T28*$X$1</f>
        <v>5329.56</v>
      </c>
      <c r="V28" s="99"/>
      <c r="W28" s="346"/>
      <c r="X28" s="140"/>
      <c r="Y28" s="141"/>
      <c r="Z28" s="141"/>
      <c r="AA28" s="141"/>
      <c r="AB28" s="535" t="s">
        <v>41</v>
      </c>
      <c r="AE28" s="76"/>
      <c r="AF28" s="697" t="s">
        <v>42</v>
      </c>
      <c r="AG28" s="697"/>
      <c r="AH28" s="697"/>
      <c r="AI28" s="697"/>
      <c r="AJ28" s="77"/>
    </row>
    <row r="29" spans="1:37" ht="12.6" customHeight="1" x14ac:dyDescent="0.2">
      <c r="A29" s="20"/>
      <c r="B29" s="748" t="s">
        <v>43</v>
      </c>
      <c r="C29" s="720"/>
      <c r="D29" s="720"/>
      <c r="E29" s="720"/>
      <c r="F29" s="481">
        <f>4.1*X2</f>
        <v>3771.9999999999995</v>
      </c>
      <c r="G29" s="345">
        <f>+F29*$X$1</f>
        <v>3771.9999999999995</v>
      </c>
      <c r="H29" s="336"/>
      <c r="I29" s="420"/>
      <c r="J29" s="131"/>
      <c r="K29" s="345"/>
      <c r="L29" s="383">
        <f>F29+200</f>
        <v>3971.9999999999995</v>
      </c>
      <c r="M29" s="345">
        <f t="shared" si="46"/>
        <v>3971.9999999999995</v>
      </c>
      <c r="N29" s="383">
        <f>F29+160</f>
        <v>3931.9999999999995</v>
      </c>
      <c r="O29" s="345">
        <f>+N29*$X$1</f>
        <v>3931.9999999999995</v>
      </c>
      <c r="P29" s="108">
        <f>F29+120</f>
        <v>3891.9999999999995</v>
      </c>
      <c r="Q29" s="345">
        <f t="shared" si="48"/>
        <v>3891.9999999999995</v>
      </c>
      <c r="R29" s="383">
        <f>F29+100</f>
        <v>3871.9999999999995</v>
      </c>
      <c r="S29" s="392">
        <f t="shared" ref="S29:S31" si="51">+R29*$X$1</f>
        <v>3871.9999999999995</v>
      </c>
      <c r="T29" s="383">
        <f>F29+75</f>
        <v>3846.9999999999995</v>
      </c>
      <c r="U29" s="345">
        <f t="shared" ref="U29:U31" si="52">+T29*$X$1</f>
        <v>3846.9999999999995</v>
      </c>
      <c r="V29" s="383"/>
      <c r="W29" s="345"/>
      <c r="X29" s="1096"/>
      <c r="Y29" s="785"/>
      <c r="Z29" s="785"/>
      <c r="AA29" s="786"/>
      <c r="AB29" s="535">
        <v>40</v>
      </c>
      <c r="AE29" s="76"/>
      <c r="AF29" s="697" t="s">
        <v>44</v>
      </c>
      <c r="AG29" s="697"/>
      <c r="AH29" s="697"/>
      <c r="AI29" s="697"/>
      <c r="AJ29" s="908"/>
    </row>
    <row r="30" spans="1:37" ht="12.6" customHeight="1" x14ac:dyDescent="0.2">
      <c r="A30" s="20"/>
      <c r="B30" s="742" t="s">
        <v>418</v>
      </c>
      <c r="C30" s="775"/>
      <c r="D30" s="775"/>
      <c r="E30" s="776"/>
      <c r="F30" s="486">
        <f>6.7*X2</f>
        <v>6164</v>
      </c>
      <c r="G30" s="346">
        <f>+F30*$X$1</f>
        <v>6164</v>
      </c>
      <c r="H30" s="335"/>
      <c r="I30" s="421"/>
      <c r="J30" s="586">
        <f>F30+81</f>
        <v>6245</v>
      </c>
      <c r="K30" s="346">
        <f t="shared" ref="K30" si="53">+J30*$X$1</f>
        <v>6245</v>
      </c>
      <c r="L30" s="586">
        <f>F30+70</f>
        <v>6234</v>
      </c>
      <c r="M30" s="346">
        <f t="shared" si="46"/>
        <v>6234</v>
      </c>
      <c r="N30" s="586">
        <f>F30+57</f>
        <v>6221</v>
      </c>
      <c r="O30" s="346">
        <f t="shared" ref="O30:O31" si="54">+N30*$X$1</f>
        <v>6221</v>
      </c>
      <c r="P30" s="586">
        <f>F30+55</f>
        <v>6219</v>
      </c>
      <c r="Q30" s="346">
        <f t="shared" si="48"/>
        <v>6219</v>
      </c>
      <c r="R30" s="586">
        <f>F30+51</f>
        <v>6215</v>
      </c>
      <c r="S30" s="346">
        <f t="shared" si="51"/>
        <v>6215</v>
      </c>
      <c r="T30" s="586">
        <f>F30+46</f>
        <v>6210</v>
      </c>
      <c r="U30" s="346">
        <f t="shared" si="52"/>
        <v>6210</v>
      </c>
      <c r="V30" s="586"/>
      <c r="W30" s="346"/>
      <c r="X30" s="230"/>
      <c r="Y30" s="178"/>
      <c r="Z30" s="178"/>
      <c r="AA30" s="179"/>
      <c r="AB30" s="535">
        <v>44</v>
      </c>
      <c r="AE30" s="76"/>
      <c r="AF30" s="697" t="s">
        <v>403</v>
      </c>
      <c r="AG30" s="697"/>
      <c r="AH30" s="697"/>
      <c r="AI30" s="697"/>
      <c r="AJ30" s="697"/>
      <c r="AK30" s="69"/>
    </row>
    <row r="31" spans="1:37" ht="12.6" customHeight="1" x14ac:dyDescent="0.2">
      <c r="A31" s="20"/>
      <c r="B31" s="700" t="s">
        <v>811</v>
      </c>
      <c r="C31" s="701"/>
      <c r="D31" s="701"/>
      <c r="E31" s="701"/>
      <c r="F31" s="481">
        <f>0.485*X2</f>
        <v>446.2</v>
      </c>
      <c r="G31" s="345">
        <f>+F31*$X$1</f>
        <v>446.2</v>
      </c>
      <c r="H31" s="336"/>
      <c r="I31" s="420"/>
      <c r="J31" s="587"/>
      <c r="K31" s="345"/>
      <c r="L31" s="383">
        <f>F31+74</f>
        <v>520.20000000000005</v>
      </c>
      <c r="M31" s="345">
        <f t="shared" si="46"/>
        <v>520.20000000000005</v>
      </c>
      <c r="N31" s="383">
        <f>F31+46</f>
        <v>492.2</v>
      </c>
      <c r="O31" s="345">
        <f t="shared" si="54"/>
        <v>492.2</v>
      </c>
      <c r="P31" s="383">
        <f>F31+42</f>
        <v>488.2</v>
      </c>
      <c r="Q31" s="345">
        <f t="shared" si="48"/>
        <v>488.2</v>
      </c>
      <c r="R31" s="383">
        <f>F31+35</f>
        <v>481.2</v>
      </c>
      <c r="S31" s="345">
        <f t="shared" si="51"/>
        <v>481.2</v>
      </c>
      <c r="T31" s="383">
        <f>F31+29</f>
        <v>475.2</v>
      </c>
      <c r="U31" s="345">
        <f t="shared" si="52"/>
        <v>475.2</v>
      </c>
      <c r="V31" s="383">
        <f>F31+24</f>
        <v>470.2</v>
      </c>
      <c r="W31" s="345">
        <f t="shared" ref="W31" si="55">+V31*$X$1</f>
        <v>470.2</v>
      </c>
      <c r="X31" s="141"/>
      <c r="Y31" s="141"/>
      <c r="Z31" s="141"/>
      <c r="AA31" s="141"/>
      <c r="AB31" s="535">
        <v>45</v>
      </c>
      <c r="AF31" s="697" t="s">
        <v>902</v>
      </c>
      <c r="AG31" s="697"/>
      <c r="AH31" s="697"/>
      <c r="AI31" s="697"/>
      <c r="AJ31" s="697"/>
    </row>
    <row r="32" spans="1:37" ht="12.6" customHeight="1" x14ac:dyDescent="0.2">
      <c r="A32" s="20"/>
      <c r="B32" s="698" t="s">
        <v>45</v>
      </c>
      <c r="C32" s="699"/>
      <c r="D32" s="699"/>
      <c r="E32" s="699"/>
      <c r="F32" s="346">
        <v>456</v>
      </c>
      <c r="G32" s="378">
        <f t="shared" ref="G32:G40" si="56">+F32*$X$1</f>
        <v>456</v>
      </c>
      <c r="H32" s="1088" t="s">
        <v>46</v>
      </c>
      <c r="I32" s="1088"/>
      <c r="J32" s="1089"/>
      <c r="K32" s="1090"/>
      <c r="L32" s="335"/>
      <c r="M32" s="421"/>
      <c r="N32" s="94">
        <v>1375</v>
      </c>
      <c r="O32" s="378">
        <f t="shared" ref="O32:O43" si="57">+N32*$X$1</f>
        <v>1375</v>
      </c>
      <c r="P32" s="337">
        <v>1265</v>
      </c>
      <c r="Q32" s="496">
        <f t="shared" ref="Q32:S56" si="58">+P32*$X$1</f>
        <v>1265</v>
      </c>
      <c r="R32" s="107">
        <v>1174</v>
      </c>
      <c r="S32" s="371">
        <f t="shared" si="58"/>
        <v>1174</v>
      </c>
      <c r="T32" s="624">
        <v>1086</v>
      </c>
      <c r="U32" s="371">
        <f t="shared" ref="U32:U49" si="59">+T32*$X$1</f>
        <v>1086</v>
      </c>
      <c r="V32" s="624">
        <v>1055</v>
      </c>
      <c r="W32" s="346">
        <f t="shared" ref="W32:W49" si="60">+V32*$X$1</f>
        <v>1055</v>
      </c>
      <c r="X32" s="735"/>
      <c r="Y32" s="785"/>
      <c r="Z32" s="785"/>
      <c r="AA32" s="786"/>
      <c r="AB32" s="535" t="s">
        <v>47</v>
      </c>
      <c r="AE32" s="76"/>
      <c r="AF32" s="697" t="s">
        <v>697</v>
      </c>
      <c r="AG32" s="697"/>
      <c r="AH32" s="697"/>
      <c r="AI32" s="697"/>
      <c r="AJ32" s="697"/>
    </row>
    <row r="33" spans="1:28" ht="12.6" customHeight="1" x14ac:dyDescent="0.2">
      <c r="A33" s="20"/>
      <c r="B33" s="748" t="s">
        <v>48</v>
      </c>
      <c r="C33" s="720"/>
      <c r="D33" s="720"/>
      <c r="E33" s="720"/>
      <c r="F33" s="345">
        <v>456</v>
      </c>
      <c r="G33" s="379">
        <f t="shared" si="56"/>
        <v>456</v>
      </c>
      <c r="H33" s="1097" t="s">
        <v>46</v>
      </c>
      <c r="I33" s="1097"/>
      <c r="J33" s="1098"/>
      <c r="K33" s="1099"/>
      <c r="L33" s="336"/>
      <c r="M33" s="420"/>
      <c r="N33" s="90">
        <v>1375</v>
      </c>
      <c r="O33" s="379">
        <f t="shared" ref="O33:O36" si="61">+N33*$X$1</f>
        <v>1375</v>
      </c>
      <c r="P33" s="390">
        <v>1265</v>
      </c>
      <c r="Q33" s="497">
        <f t="shared" ref="Q33:Q36" si="62">+P33*$X$1</f>
        <v>1265</v>
      </c>
      <c r="R33" s="108">
        <v>1174</v>
      </c>
      <c r="S33" s="304">
        <f t="shared" ref="S33:S36" si="63">+R33*$X$1</f>
        <v>1174</v>
      </c>
      <c r="T33" s="383">
        <v>1086</v>
      </c>
      <c r="U33" s="304">
        <f t="shared" ref="U33:U36" si="64">+T33*$X$1</f>
        <v>1086</v>
      </c>
      <c r="V33" s="383">
        <v>1055</v>
      </c>
      <c r="W33" s="345">
        <f t="shared" ref="W33:W36" si="65">+V33*$X$1</f>
        <v>1055</v>
      </c>
      <c r="X33" s="735"/>
      <c r="Y33" s="785"/>
      <c r="Z33" s="785"/>
      <c r="AA33" s="786"/>
      <c r="AB33" s="535" t="s">
        <v>49</v>
      </c>
    </row>
    <row r="34" spans="1:28" ht="12.6" customHeight="1" x14ac:dyDescent="0.2">
      <c r="A34" s="20"/>
      <c r="B34" s="698" t="s">
        <v>50</v>
      </c>
      <c r="C34" s="699"/>
      <c r="D34" s="699"/>
      <c r="E34" s="699"/>
      <c r="F34" s="346">
        <v>456</v>
      </c>
      <c r="G34" s="378">
        <f t="shared" si="56"/>
        <v>456</v>
      </c>
      <c r="H34" s="839" t="s">
        <v>46</v>
      </c>
      <c r="I34" s="839"/>
      <c r="J34" s="840"/>
      <c r="K34" s="841"/>
      <c r="L34" s="335"/>
      <c r="M34" s="421"/>
      <c r="N34" s="94">
        <v>1375</v>
      </c>
      <c r="O34" s="378">
        <f t="shared" si="61"/>
        <v>1375</v>
      </c>
      <c r="P34" s="337">
        <v>1265</v>
      </c>
      <c r="Q34" s="496">
        <f t="shared" si="62"/>
        <v>1265</v>
      </c>
      <c r="R34" s="107">
        <v>1174</v>
      </c>
      <c r="S34" s="371">
        <f t="shared" si="63"/>
        <v>1174</v>
      </c>
      <c r="T34" s="624">
        <v>1086</v>
      </c>
      <c r="U34" s="371">
        <f t="shared" si="64"/>
        <v>1086</v>
      </c>
      <c r="V34" s="624">
        <v>1055</v>
      </c>
      <c r="W34" s="346">
        <f t="shared" si="65"/>
        <v>1055</v>
      </c>
      <c r="X34" s="735"/>
      <c r="Y34" s="785"/>
      <c r="Z34" s="785"/>
      <c r="AA34" s="786"/>
      <c r="AB34" s="535" t="s">
        <v>51</v>
      </c>
    </row>
    <row r="35" spans="1:28" ht="12.6" customHeight="1" x14ac:dyDescent="0.2">
      <c r="A35" s="20"/>
      <c r="B35" s="748" t="s">
        <v>52</v>
      </c>
      <c r="C35" s="720"/>
      <c r="D35" s="720"/>
      <c r="E35" s="720"/>
      <c r="F35" s="345">
        <v>456</v>
      </c>
      <c r="G35" s="379">
        <f t="shared" si="56"/>
        <v>456</v>
      </c>
      <c r="H35" s="1097" t="s">
        <v>46</v>
      </c>
      <c r="I35" s="1097"/>
      <c r="J35" s="1098"/>
      <c r="K35" s="1099"/>
      <c r="L35" s="336"/>
      <c r="M35" s="420"/>
      <c r="N35" s="90">
        <v>1375</v>
      </c>
      <c r="O35" s="379">
        <f t="shared" si="61"/>
        <v>1375</v>
      </c>
      <c r="P35" s="390">
        <v>1265</v>
      </c>
      <c r="Q35" s="497">
        <f t="shared" si="62"/>
        <v>1265</v>
      </c>
      <c r="R35" s="108">
        <v>1174</v>
      </c>
      <c r="S35" s="304">
        <f t="shared" si="63"/>
        <v>1174</v>
      </c>
      <c r="T35" s="383">
        <v>1086</v>
      </c>
      <c r="U35" s="304">
        <f t="shared" si="64"/>
        <v>1086</v>
      </c>
      <c r="V35" s="383">
        <v>1055</v>
      </c>
      <c r="W35" s="345">
        <f t="shared" si="65"/>
        <v>1055</v>
      </c>
      <c r="X35" s="735"/>
      <c r="Y35" s="785"/>
      <c r="Z35" s="785"/>
      <c r="AA35" s="786"/>
      <c r="AB35" s="535" t="s">
        <v>53</v>
      </c>
    </row>
    <row r="36" spans="1:28" ht="12.6" customHeight="1" x14ac:dyDescent="0.2">
      <c r="A36" s="20"/>
      <c r="B36" s="698" t="s">
        <v>54</v>
      </c>
      <c r="C36" s="699"/>
      <c r="D36" s="699"/>
      <c r="E36" s="699"/>
      <c r="F36" s="346">
        <v>456</v>
      </c>
      <c r="G36" s="378">
        <f t="shared" si="56"/>
        <v>456</v>
      </c>
      <c r="H36" s="839" t="s">
        <v>46</v>
      </c>
      <c r="I36" s="839"/>
      <c r="J36" s="840"/>
      <c r="K36" s="841"/>
      <c r="L36" s="335"/>
      <c r="M36" s="421"/>
      <c r="N36" s="94">
        <v>1375</v>
      </c>
      <c r="O36" s="378">
        <f t="shared" si="61"/>
        <v>1375</v>
      </c>
      <c r="P36" s="337">
        <v>1265</v>
      </c>
      <c r="Q36" s="496">
        <f t="shared" si="62"/>
        <v>1265</v>
      </c>
      <c r="R36" s="107">
        <v>1174</v>
      </c>
      <c r="S36" s="371">
        <f t="shared" si="63"/>
        <v>1174</v>
      </c>
      <c r="T36" s="624">
        <v>1086</v>
      </c>
      <c r="U36" s="371">
        <f t="shared" si="64"/>
        <v>1086</v>
      </c>
      <c r="V36" s="624">
        <v>1055</v>
      </c>
      <c r="W36" s="346">
        <f t="shared" si="65"/>
        <v>1055</v>
      </c>
      <c r="X36" s="735"/>
      <c r="Y36" s="785"/>
      <c r="Z36" s="785"/>
      <c r="AA36" s="786"/>
      <c r="AB36" s="535" t="s">
        <v>55</v>
      </c>
    </row>
    <row r="37" spans="1:28" ht="12.6" customHeight="1" x14ac:dyDescent="0.25">
      <c r="A37" s="20"/>
      <c r="B37" s="748" t="s">
        <v>56</v>
      </c>
      <c r="C37" s="720"/>
      <c r="D37" s="720"/>
      <c r="E37" s="720"/>
      <c r="F37" s="345">
        <v>456</v>
      </c>
      <c r="G37" s="379">
        <f t="shared" si="56"/>
        <v>456</v>
      </c>
      <c r="H37" s="1097" t="s">
        <v>46</v>
      </c>
      <c r="I37" s="1097"/>
      <c r="J37" s="1098"/>
      <c r="K37" s="1099"/>
      <c r="L37" s="336"/>
      <c r="M37" s="420"/>
      <c r="N37" s="90">
        <v>1190</v>
      </c>
      <c r="O37" s="379">
        <f t="shared" si="57"/>
        <v>1190</v>
      </c>
      <c r="P37" s="390">
        <v>1093</v>
      </c>
      <c r="Q37" s="497">
        <f t="shared" si="58"/>
        <v>1093</v>
      </c>
      <c r="R37" s="383">
        <v>1007</v>
      </c>
      <c r="S37" s="304">
        <f t="shared" si="58"/>
        <v>1007</v>
      </c>
      <c r="T37" s="383">
        <v>939</v>
      </c>
      <c r="U37" s="304">
        <f t="shared" si="59"/>
        <v>939</v>
      </c>
      <c r="V37" s="383">
        <v>897</v>
      </c>
      <c r="W37" s="345">
        <f t="shared" si="60"/>
        <v>897</v>
      </c>
      <c r="X37" s="735"/>
      <c r="Y37" s="811"/>
      <c r="Z37" s="811"/>
      <c r="AA37" s="812"/>
      <c r="AB37" s="535" t="s">
        <v>543</v>
      </c>
    </row>
    <row r="38" spans="1:28" ht="12.6" customHeight="1" x14ac:dyDescent="0.2">
      <c r="A38" s="20"/>
      <c r="B38" s="698" t="s">
        <v>57</v>
      </c>
      <c r="C38" s="699"/>
      <c r="D38" s="699"/>
      <c r="E38" s="699"/>
      <c r="F38" s="346">
        <v>456</v>
      </c>
      <c r="G38" s="378">
        <f t="shared" si="56"/>
        <v>456</v>
      </c>
      <c r="H38" s="839" t="s">
        <v>46</v>
      </c>
      <c r="I38" s="839"/>
      <c r="J38" s="840"/>
      <c r="K38" s="841"/>
      <c r="L38" s="335"/>
      <c r="M38" s="421"/>
      <c r="N38" s="94">
        <v>1046</v>
      </c>
      <c r="O38" s="378">
        <f t="shared" ref="O38" si="66">+N38*$X$1</f>
        <v>1046</v>
      </c>
      <c r="P38" s="337">
        <v>960</v>
      </c>
      <c r="Q38" s="496">
        <f t="shared" ref="Q38" si="67">+P38*$X$1</f>
        <v>960</v>
      </c>
      <c r="R38" s="107">
        <v>881</v>
      </c>
      <c r="S38" s="371">
        <f t="shared" ref="S38" si="68">+R38*$X$1</f>
        <v>881</v>
      </c>
      <c r="T38" s="624">
        <v>811</v>
      </c>
      <c r="U38" s="371">
        <f t="shared" ref="U38" si="69">+T38*$X$1</f>
        <v>811</v>
      </c>
      <c r="V38" s="624">
        <v>732</v>
      </c>
      <c r="W38" s="346">
        <f t="shared" ref="W38" si="70">+V38*$X$1</f>
        <v>732</v>
      </c>
      <c r="X38" s="735"/>
      <c r="Y38" s="811"/>
      <c r="Z38" s="811"/>
      <c r="AA38" s="812"/>
      <c r="AB38" s="535" t="s">
        <v>541</v>
      </c>
    </row>
    <row r="39" spans="1:28" ht="12.6" customHeight="1" x14ac:dyDescent="0.25">
      <c r="A39" s="20"/>
      <c r="B39" s="748" t="s">
        <v>58</v>
      </c>
      <c r="C39" s="720"/>
      <c r="D39" s="720"/>
      <c r="E39" s="720"/>
      <c r="F39" s="345">
        <v>456</v>
      </c>
      <c r="G39" s="379">
        <f t="shared" si="56"/>
        <v>456</v>
      </c>
      <c r="H39" s="1097" t="s">
        <v>46</v>
      </c>
      <c r="I39" s="1097"/>
      <c r="J39" s="1098"/>
      <c r="K39" s="1099"/>
      <c r="L39" s="336"/>
      <c r="M39" s="420"/>
      <c r="N39" s="90">
        <v>1046</v>
      </c>
      <c r="O39" s="379">
        <f t="shared" ref="O39" si="71">+N39*$X$1</f>
        <v>1046</v>
      </c>
      <c r="P39" s="390">
        <v>960</v>
      </c>
      <c r="Q39" s="497">
        <f t="shared" ref="Q39" si="72">+P39*$X$1</f>
        <v>960</v>
      </c>
      <c r="R39" s="108">
        <v>881</v>
      </c>
      <c r="S39" s="304">
        <f t="shared" ref="S39" si="73">+R39*$X$1</f>
        <v>881</v>
      </c>
      <c r="T39" s="383">
        <v>811</v>
      </c>
      <c r="U39" s="304">
        <f t="shared" ref="U39" si="74">+T39*$X$1</f>
        <v>811</v>
      </c>
      <c r="V39" s="383">
        <v>732</v>
      </c>
      <c r="W39" s="345">
        <f t="shared" ref="W39" si="75">+V39*$X$1</f>
        <v>732</v>
      </c>
      <c r="X39" s="735"/>
      <c r="Y39" s="811"/>
      <c r="Z39" s="811"/>
      <c r="AA39" s="812"/>
      <c r="AB39" s="535" t="s">
        <v>544</v>
      </c>
    </row>
    <row r="40" spans="1:28" ht="12.6" customHeight="1" x14ac:dyDescent="0.25">
      <c r="A40" s="20"/>
      <c r="B40" s="698" t="s">
        <v>59</v>
      </c>
      <c r="C40" s="699"/>
      <c r="D40" s="699"/>
      <c r="E40" s="699"/>
      <c r="F40" s="346">
        <v>456</v>
      </c>
      <c r="G40" s="378">
        <f t="shared" si="56"/>
        <v>456</v>
      </c>
      <c r="H40" s="839" t="s">
        <v>46</v>
      </c>
      <c r="I40" s="839"/>
      <c r="J40" s="840"/>
      <c r="K40" s="841"/>
      <c r="L40" s="335"/>
      <c r="M40" s="421"/>
      <c r="N40" s="94">
        <v>1422</v>
      </c>
      <c r="O40" s="378">
        <f t="shared" si="57"/>
        <v>1422</v>
      </c>
      <c r="P40" s="337">
        <v>1314</v>
      </c>
      <c r="Q40" s="496">
        <f t="shared" si="58"/>
        <v>1314</v>
      </c>
      <c r="R40" s="624">
        <v>1314</v>
      </c>
      <c r="S40" s="371">
        <f t="shared" si="58"/>
        <v>1314</v>
      </c>
      <c r="T40" s="624">
        <v>1227</v>
      </c>
      <c r="U40" s="371">
        <f t="shared" si="59"/>
        <v>1227</v>
      </c>
      <c r="V40" s="624">
        <v>1176</v>
      </c>
      <c r="W40" s="346">
        <f t="shared" si="60"/>
        <v>1176</v>
      </c>
      <c r="X40" s="735"/>
      <c r="Y40" s="811"/>
      <c r="Z40" s="811"/>
      <c r="AA40" s="812"/>
      <c r="AB40" s="535" t="s">
        <v>542</v>
      </c>
    </row>
    <row r="41" spans="1:28" ht="12.6" customHeight="1" x14ac:dyDescent="0.2">
      <c r="A41" s="20"/>
      <c r="B41" s="748" t="s">
        <v>545</v>
      </c>
      <c r="C41" s="720"/>
      <c r="D41" s="720"/>
      <c r="E41" s="720"/>
      <c r="F41" s="345">
        <v>456</v>
      </c>
      <c r="G41" s="379">
        <f t="shared" ref="G41" si="76">+F41*$X$1</f>
        <v>456</v>
      </c>
      <c r="H41" s="1097" t="s">
        <v>46</v>
      </c>
      <c r="I41" s="1097"/>
      <c r="J41" s="1098"/>
      <c r="K41" s="1099"/>
      <c r="L41" s="336"/>
      <c r="M41" s="420"/>
      <c r="N41" s="90">
        <v>1397</v>
      </c>
      <c r="O41" s="379">
        <f t="shared" ref="O41:O42" si="77">+N41*$X$1</f>
        <v>1397</v>
      </c>
      <c r="P41" s="390">
        <v>1292</v>
      </c>
      <c r="Q41" s="497">
        <f t="shared" si="58"/>
        <v>1292</v>
      </c>
      <c r="R41" s="383">
        <v>1197</v>
      </c>
      <c r="S41" s="304">
        <f t="shared" si="58"/>
        <v>1197</v>
      </c>
      <c r="T41" s="383">
        <v>1132</v>
      </c>
      <c r="U41" s="304">
        <f t="shared" si="59"/>
        <v>1132</v>
      </c>
      <c r="V41" s="383">
        <v>1072</v>
      </c>
      <c r="W41" s="345">
        <f t="shared" si="60"/>
        <v>1072</v>
      </c>
      <c r="X41" s="735"/>
      <c r="Y41" s="811"/>
      <c r="Z41" s="811"/>
      <c r="AA41" s="812"/>
      <c r="AB41" s="535" t="s">
        <v>547</v>
      </c>
    </row>
    <row r="42" spans="1:28" ht="12.6" customHeight="1" x14ac:dyDescent="0.2">
      <c r="A42" s="20"/>
      <c r="B42" s="698" t="s">
        <v>546</v>
      </c>
      <c r="C42" s="699"/>
      <c r="D42" s="699"/>
      <c r="E42" s="699"/>
      <c r="F42" s="346">
        <v>456</v>
      </c>
      <c r="G42" s="378">
        <f t="shared" ref="G42" si="78">+F42*$X$1</f>
        <v>456</v>
      </c>
      <c r="H42" s="839" t="s">
        <v>46</v>
      </c>
      <c r="I42" s="839"/>
      <c r="J42" s="840"/>
      <c r="K42" s="841"/>
      <c r="L42" s="335"/>
      <c r="M42" s="421"/>
      <c r="N42" s="94">
        <v>1190</v>
      </c>
      <c r="O42" s="378">
        <f t="shared" si="77"/>
        <v>1190</v>
      </c>
      <c r="P42" s="337">
        <v>1093</v>
      </c>
      <c r="Q42" s="496">
        <f t="shared" ref="Q42" si="79">+P42*$X$1</f>
        <v>1093</v>
      </c>
      <c r="R42" s="624">
        <v>1007</v>
      </c>
      <c r="S42" s="371">
        <f t="shared" ref="S42" si="80">+R42*$X$1</f>
        <v>1007</v>
      </c>
      <c r="T42" s="624">
        <v>939</v>
      </c>
      <c r="U42" s="371">
        <f t="shared" ref="U42" si="81">+T42*$X$1</f>
        <v>939</v>
      </c>
      <c r="V42" s="624">
        <v>897</v>
      </c>
      <c r="W42" s="346">
        <f t="shared" ref="W42" si="82">+V42*$X$1</f>
        <v>897</v>
      </c>
      <c r="X42" s="735"/>
      <c r="Y42" s="811"/>
      <c r="Z42" s="811"/>
      <c r="AA42" s="812"/>
      <c r="AB42" s="535" t="s">
        <v>548</v>
      </c>
    </row>
    <row r="43" spans="1:28" ht="12.6" customHeight="1" x14ac:dyDescent="0.2">
      <c r="A43" s="20"/>
      <c r="B43" s="748" t="s">
        <v>60</v>
      </c>
      <c r="C43" s="720"/>
      <c r="D43" s="720"/>
      <c r="E43" s="720"/>
      <c r="F43" s="345">
        <v>785</v>
      </c>
      <c r="G43" s="379">
        <f t="shared" ref="G43:G51" si="83">+F43*$X$1</f>
        <v>785</v>
      </c>
      <c r="H43" s="1111" t="s">
        <v>61</v>
      </c>
      <c r="I43" s="1111"/>
      <c r="J43" s="1112"/>
      <c r="K43" s="1113"/>
      <c r="L43" s="336"/>
      <c r="M43" s="420"/>
      <c r="N43" s="90">
        <v>1490</v>
      </c>
      <c r="O43" s="379">
        <f t="shared" si="57"/>
        <v>1490</v>
      </c>
      <c r="P43" s="390">
        <v>1381</v>
      </c>
      <c r="Q43" s="497">
        <f t="shared" si="58"/>
        <v>1381</v>
      </c>
      <c r="R43" s="383">
        <v>1276</v>
      </c>
      <c r="S43" s="304">
        <f t="shared" si="58"/>
        <v>1276</v>
      </c>
      <c r="T43" s="383">
        <v>1190</v>
      </c>
      <c r="U43" s="304">
        <f t="shared" si="59"/>
        <v>1190</v>
      </c>
      <c r="V43" s="383">
        <v>1146</v>
      </c>
      <c r="W43" s="345">
        <f t="shared" si="60"/>
        <v>1146</v>
      </c>
      <c r="X43" s="735"/>
      <c r="Y43" s="811"/>
      <c r="Z43" s="811"/>
      <c r="AA43" s="812"/>
      <c r="AB43" s="536" t="s">
        <v>62</v>
      </c>
    </row>
    <row r="44" spans="1:28" ht="12.6" customHeight="1" x14ac:dyDescent="0.2">
      <c r="A44" s="20"/>
      <c r="B44" s="698" t="s">
        <v>63</v>
      </c>
      <c r="C44" s="699"/>
      <c r="D44" s="699"/>
      <c r="E44" s="699"/>
      <c r="F44" s="346">
        <v>785</v>
      </c>
      <c r="G44" s="378">
        <f t="shared" si="83"/>
        <v>785</v>
      </c>
      <c r="H44" s="1124" t="s">
        <v>61</v>
      </c>
      <c r="I44" s="1124"/>
      <c r="J44" s="1125"/>
      <c r="K44" s="1126"/>
      <c r="L44" s="335"/>
      <c r="M44" s="421"/>
      <c r="N44" s="94">
        <v>1490</v>
      </c>
      <c r="O44" s="378">
        <f t="shared" ref="O44:O45" si="84">+N44*$X$1</f>
        <v>1490</v>
      </c>
      <c r="P44" s="337">
        <v>1381</v>
      </c>
      <c r="Q44" s="496">
        <f t="shared" ref="Q44:Q45" si="85">+P44*$X$1</f>
        <v>1381</v>
      </c>
      <c r="R44" s="624">
        <v>1276</v>
      </c>
      <c r="S44" s="371">
        <f t="shared" ref="S44:S45" si="86">+R44*$X$1</f>
        <v>1276</v>
      </c>
      <c r="T44" s="624">
        <v>1190</v>
      </c>
      <c r="U44" s="371">
        <f t="shared" ref="U44:U45" si="87">+T44*$X$1</f>
        <v>1190</v>
      </c>
      <c r="V44" s="624">
        <v>1146</v>
      </c>
      <c r="W44" s="346">
        <f t="shared" ref="W44:W45" si="88">+V44*$X$1</f>
        <v>1146</v>
      </c>
      <c r="X44" s="735"/>
      <c r="Y44" s="811"/>
      <c r="Z44" s="811"/>
      <c r="AA44" s="812"/>
      <c r="AB44" s="536" t="s">
        <v>64</v>
      </c>
    </row>
    <row r="45" spans="1:28" ht="12.6" customHeight="1" x14ac:dyDescent="0.2">
      <c r="A45" s="20"/>
      <c r="B45" s="748" t="s">
        <v>65</v>
      </c>
      <c r="C45" s="720"/>
      <c r="D45" s="720"/>
      <c r="E45" s="720"/>
      <c r="F45" s="345">
        <v>785</v>
      </c>
      <c r="G45" s="379">
        <f t="shared" si="83"/>
        <v>785</v>
      </c>
      <c r="H45" s="1097" t="s">
        <v>61</v>
      </c>
      <c r="I45" s="1097"/>
      <c r="J45" s="1098"/>
      <c r="K45" s="1099"/>
      <c r="L45" s="336"/>
      <c r="M45" s="420"/>
      <c r="N45" s="90">
        <v>1490</v>
      </c>
      <c r="O45" s="379">
        <f t="shared" si="84"/>
        <v>1490</v>
      </c>
      <c r="P45" s="390">
        <v>1381</v>
      </c>
      <c r="Q45" s="497">
        <f t="shared" si="85"/>
        <v>1381</v>
      </c>
      <c r="R45" s="383">
        <v>1276</v>
      </c>
      <c r="S45" s="304">
        <f t="shared" si="86"/>
        <v>1276</v>
      </c>
      <c r="T45" s="383">
        <v>1190</v>
      </c>
      <c r="U45" s="304">
        <f t="shared" si="87"/>
        <v>1190</v>
      </c>
      <c r="V45" s="383">
        <v>1146</v>
      </c>
      <c r="W45" s="345">
        <f t="shared" si="88"/>
        <v>1146</v>
      </c>
      <c r="X45" s="735"/>
      <c r="Y45" s="811"/>
      <c r="Z45" s="811"/>
      <c r="AA45" s="812"/>
      <c r="AB45" s="536" t="s">
        <v>66</v>
      </c>
    </row>
    <row r="46" spans="1:28" ht="12.6" customHeight="1" x14ac:dyDescent="0.2">
      <c r="A46" s="20"/>
      <c r="B46" s="970" t="s">
        <v>652</v>
      </c>
      <c r="C46" s="725"/>
      <c r="D46" s="725"/>
      <c r="E46" s="725"/>
      <c r="F46" s="346">
        <v>859</v>
      </c>
      <c r="G46" s="378">
        <f t="shared" ref="G46" si="89">+F46*$X$1</f>
        <v>859</v>
      </c>
      <c r="H46" s="1088" t="s">
        <v>61</v>
      </c>
      <c r="I46" s="1088"/>
      <c r="J46" s="1089"/>
      <c r="K46" s="1090"/>
      <c r="L46" s="335"/>
      <c r="M46" s="421"/>
      <c r="N46" s="94">
        <v>1576</v>
      </c>
      <c r="O46" s="378">
        <f t="shared" ref="O46" si="90">+N46*$X$1</f>
        <v>1576</v>
      </c>
      <c r="P46" s="337">
        <v>1471</v>
      </c>
      <c r="Q46" s="496">
        <f t="shared" ref="Q46" si="91">+P46*$X$1</f>
        <v>1471</v>
      </c>
      <c r="R46" s="624">
        <v>1350</v>
      </c>
      <c r="S46" s="371">
        <f t="shared" ref="S46" si="92">+R46*$X$1</f>
        <v>1350</v>
      </c>
      <c r="T46" s="624">
        <v>1267</v>
      </c>
      <c r="U46" s="371">
        <f t="shared" ref="U46" si="93">+T46*$X$1</f>
        <v>1267</v>
      </c>
      <c r="V46" s="624">
        <v>1146</v>
      </c>
      <c r="W46" s="346">
        <f t="shared" ref="W46" si="94">+V46*$X$1</f>
        <v>1146</v>
      </c>
      <c r="X46" s="735"/>
      <c r="Y46" s="811"/>
      <c r="Z46" s="811"/>
      <c r="AA46" s="812"/>
      <c r="AB46" s="537" t="s">
        <v>664</v>
      </c>
    </row>
    <row r="47" spans="1:28" ht="12.6" customHeight="1" x14ac:dyDescent="0.2">
      <c r="A47" s="20"/>
      <c r="B47" s="970" t="s">
        <v>653</v>
      </c>
      <c r="C47" s="725"/>
      <c r="D47" s="725"/>
      <c r="E47" s="725"/>
      <c r="F47" s="345">
        <v>859</v>
      </c>
      <c r="G47" s="379">
        <f t="shared" ref="G47" si="95">+F47*$X$1</f>
        <v>859</v>
      </c>
      <c r="H47" s="1111" t="s">
        <v>61</v>
      </c>
      <c r="I47" s="1111"/>
      <c r="J47" s="1112"/>
      <c r="K47" s="1113"/>
      <c r="L47" s="336"/>
      <c r="M47" s="420"/>
      <c r="N47" s="90">
        <v>1576</v>
      </c>
      <c r="O47" s="379">
        <f t="shared" ref="O47:O48" si="96">+N47*$X$1</f>
        <v>1576</v>
      </c>
      <c r="P47" s="390">
        <v>1471</v>
      </c>
      <c r="Q47" s="497">
        <f t="shared" ref="Q47:Q48" si="97">+P47*$X$1</f>
        <v>1471</v>
      </c>
      <c r="R47" s="383">
        <v>1350</v>
      </c>
      <c r="S47" s="304">
        <f t="shared" ref="S47:S48" si="98">+R47*$X$1</f>
        <v>1350</v>
      </c>
      <c r="T47" s="383">
        <v>1267</v>
      </c>
      <c r="U47" s="304">
        <f t="shared" ref="U47:U48" si="99">+T47*$X$1</f>
        <v>1267</v>
      </c>
      <c r="V47" s="383">
        <v>1146</v>
      </c>
      <c r="W47" s="345">
        <f t="shared" ref="W47:W48" si="100">+V47*$X$1</f>
        <v>1146</v>
      </c>
      <c r="X47" s="735"/>
      <c r="Y47" s="811"/>
      <c r="Z47" s="811"/>
      <c r="AA47" s="812"/>
      <c r="AB47" s="537" t="s">
        <v>665</v>
      </c>
    </row>
    <row r="48" spans="1:28" ht="12.6" customHeight="1" x14ac:dyDescent="0.2">
      <c r="A48" s="20"/>
      <c r="B48" s="970" t="s">
        <v>654</v>
      </c>
      <c r="C48" s="725"/>
      <c r="D48" s="725"/>
      <c r="E48" s="725"/>
      <c r="F48" s="346">
        <v>859</v>
      </c>
      <c r="G48" s="378">
        <f t="shared" ref="G48" si="101">+F48*$X$1</f>
        <v>859</v>
      </c>
      <c r="H48" s="1088" t="s">
        <v>61</v>
      </c>
      <c r="I48" s="1088"/>
      <c r="J48" s="1089"/>
      <c r="K48" s="1090"/>
      <c r="L48" s="335"/>
      <c r="M48" s="421"/>
      <c r="N48" s="94">
        <v>1576</v>
      </c>
      <c r="O48" s="378">
        <f t="shared" si="96"/>
        <v>1576</v>
      </c>
      <c r="P48" s="337">
        <v>1471</v>
      </c>
      <c r="Q48" s="496">
        <f t="shared" si="97"/>
        <v>1471</v>
      </c>
      <c r="R48" s="624">
        <v>1350</v>
      </c>
      <c r="S48" s="371">
        <f t="shared" si="98"/>
        <v>1350</v>
      </c>
      <c r="T48" s="624">
        <v>1267</v>
      </c>
      <c r="U48" s="371">
        <f t="shared" si="99"/>
        <v>1267</v>
      </c>
      <c r="V48" s="624">
        <v>1146</v>
      </c>
      <c r="W48" s="346">
        <f t="shared" si="100"/>
        <v>1146</v>
      </c>
      <c r="X48" s="735"/>
      <c r="Y48" s="811"/>
      <c r="Z48" s="811"/>
      <c r="AA48" s="812"/>
      <c r="AB48" s="537" t="s">
        <v>666</v>
      </c>
    </row>
    <row r="49" spans="1:35" ht="12.6" customHeight="1" x14ac:dyDescent="0.2">
      <c r="A49" s="20"/>
      <c r="B49" s="748" t="s">
        <v>67</v>
      </c>
      <c r="C49" s="720"/>
      <c r="D49" s="720"/>
      <c r="E49" s="720"/>
      <c r="F49" s="345">
        <v>1078</v>
      </c>
      <c r="G49" s="379">
        <f t="shared" si="83"/>
        <v>1078</v>
      </c>
      <c r="H49" s="1097" t="s">
        <v>61</v>
      </c>
      <c r="I49" s="1097"/>
      <c r="J49" s="1098"/>
      <c r="K49" s="1099"/>
      <c r="L49" s="336"/>
      <c r="M49" s="420"/>
      <c r="N49" s="75">
        <v>2100</v>
      </c>
      <c r="O49" s="373">
        <f t="shared" ref="O49" si="102">+N49*$X$1</f>
        <v>2100</v>
      </c>
      <c r="P49" s="390">
        <v>1920</v>
      </c>
      <c r="Q49" s="392">
        <f t="shared" si="58"/>
        <v>1920</v>
      </c>
      <c r="R49" s="383">
        <v>1778</v>
      </c>
      <c r="S49" s="345">
        <f t="shared" si="58"/>
        <v>1778</v>
      </c>
      <c r="T49" s="383">
        <v>1653</v>
      </c>
      <c r="U49" s="345">
        <f t="shared" si="59"/>
        <v>1653</v>
      </c>
      <c r="V49" s="383">
        <v>1602</v>
      </c>
      <c r="W49" s="345">
        <f t="shared" si="60"/>
        <v>1602</v>
      </c>
      <c r="X49" s="735"/>
      <c r="Y49" s="811"/>
      <c r="Z49" s="811"/>
      <c r="AA49" s="812"/>
      <c r="AB49" s="537" t="s">
        <v>68</v>
      </c>
    </row>
    <row r="50" spans="1:35" ht="12.6" customHeight="1" x14ac:dyDescent="0.2">
      <c r="A50" s="20"/>
      <c r="B50" s="698" t="s">
        <v>69</v>
      </c>
      <c r="C50" s="699"/>
      <c r="D50" s="699"/>
      <c r="E50" s="699"/>
      <c r="F50" s="346">
        <v>1078</v>
      </c>
      <c r="G50" s="378">
        <f t="shared" si="83"/>
        <v>1078</v>
      </c>
      <c r="H50" s="1088" t="s">
        <v>61</v>
      </c>
      <c r="I50" s="1088"/>
      <c r="J50" s="1089"/>
      <c r="K50" s="1090"/>
      <c r="L50" s="335"/>
      <c r="M50" s="421"/>
      <c r="N50" s="93">
        <v>2100</v>
      </c>
      <c r="O50" s="413">
        <f t="shared" ref="O50:O51" si="103">+N50*$X$1</f>
        <v>2100</v>
      </c>
      <c r="P50" s="337">
        <v>1920</v>
      </c>
      <c r="Q50" s="391">
        <f t="shared" ref="Q50:Q51" si="104">+P50*$X$1</f>
        <v>1920</v>
      </c>
      <c r="R50" s="624">
        <v>1778</v>
      </c>
      <c r="S50" s="346">
        <f t="shared" ref="S50:S51" si="105">+R50*$X$1</f>
        <v>1778</v>
      </c>
      <c r="T50" s="624">
        <v>1653</v>
      </c>
      <c r="U50" s="346">
        <f t="shared" ref="U50:U51" si="106">+T50*$X$1</f>
        <v>1653</v>
      </c>
      <c r="V50" s="624">
        <v>1602</v>
      </c>
      <c r="W50" s="346">
        <f t="shared" ref="W50:W51" si="107">+V50*$X$1</f>
        <v>1602</v>
      </c>
      <c r="X50" s="735"/>
      <c r="Y50" s="811"/>
      <c r="Z50" s="811"/>
      <c r="AA50" s="812"/>
      <c r="AB50" s="537" t="s">
        <v>70</v>
      </c>
    </row>
    <row r="51" spans="1:35" ht="12.6" customHeight="1" x14ac:dyDescent="0.2">
      <c r="A51" s="20"/>
      <c r="B51" s="748" t="s">
        <v>71</v>
      </c>
      <c r="C51" s="720"/>
      <c r="D51" s="720"/>
      <c r="E51" s="720"/>
      <c r="F51" s="345">
        <v>1078</v>
      </c>
      <c r="G51" s="412">
        <f t="shared" si="83"/>
        <v>1078</v>
      </c>
      <c r="H51" s="1097" t="s">
        <v>61</v>
      </c>
      <c r="I51" s="1097"/>
      <c r="J51" s="1098"/>
      <c r="K51" s="1114"/>
      <c r="L51" s="336"/>
      <c r="M51" s="420"/>
      <c r="N51" s="75">
        <v>2100</v>
      </c>
      <c r="O51" s="373">
        <f t="shared" si="103"/>
        <v>2100</v>
      </c>
      <c r="P51" s="390">
        <v>1920</v>
      </c>
      <c r="Q51" s="392">
        <f t="shared" si="104"/>
        <v>1920</v>
      </c>
      <c r="R51" s="383">
        <v>1778</v>
      </c>
      <c r="S51" s="345">
        <f t="shared" si="105"/>
        <v>1778</v>
      </c>
      <c r="T51" s="383">
        <v>1653</v>
      </c>
      <c r="U51" s="345">
        <f t="shared" si="106"/>
        <v>1653</v>
      </c>
      <c r="V51" s="383">
        <v>1602</v>
      </c>
      <c r="W51" s="345">
        <f t="shared" si="107"/>
        <v>1602</v>
      </c>
      <c r="X51" s="735"/>
      <c r="Y51" s="811"/>
      <c r="Z51" s="811"/>
      <c r="AA51" s="812"/>
      <c r="AB51" s="537" t="s">
        <v>72</v>
      </c>
    </row>
    <row r="52" spans="1:35" ht="12.6" customHeight="1" x14ac:dyDescent="0.2">
      <c r="A52" s="20"/>
      <c r="B52" s="698" t="s">
        <v>73</v>
      </c>
      <c r="C52" s="699"/>
      <c r="D52" s="699"/>
      <c r="E52" s="771"/>
      <c r="F52" s="1100" t="s">
        <v>497</v>
      </c>
      <c r="G52" s="1098"/>
      <c r="H52" s="1098"/>
      <c r="I52" s="1098"/>
      <c r="J52" s="310"/>
      <c r="K52" s="492"/>
      <c r="L52" s="493"/>
      <c r="M52" s="346"/>
      <c r="N52" s="498"/>
      <c r="O52" s="378"/>
      <c r="P52" s="335"/>
      <c r="Q52" s="391"/>
      <c r="R52" s="107"/>
      <c r="S52" s="371"/>
      <c r="T52" s="107"/>
      <c r="U52" s="371"/>
      <c r="V52" s="107"/>
      <c r="W52" s="346"/>
      <c r="X52" s="141"/>
      <c r="Y52" s="141"/>
      <c r="Z52" s="141"/>
      <c r="AA52" s="141"/>
      <c r="AB52" s="535" t="s">
        <v>74</v>
      </c>
    </row>
    <row r="53" spans="1:35" ht="12.6" customHeight="1" x14ac:dyDescent="0.2">
      <c r="A53" s="20"/>
      <c r="B53" s="748" t="s">
        <v>75</v>
      </c>
      <c r="C53" s="720"/>
      <c r="D53" s="720"/>
      <c r="E53" s="772"/>
      <c r="F53" s="1098"/>
      <c r="G53" s="1098"/>
      <c r="H53" s="1098"/>
      <c r="I53" s="1098"/>
      <c r="J53" s="19"/>
      <c r="K53" s="341"/>
      <c r="L53" s="312"/>
      <c r="M53" s="345"/>
      <c r="N53" s="229"/>
      <c r="O53" s="379"/>
      <c r="P53" s="341"/>
      <c r="Q53" s="392"/>
      <c r="R53" s="383"/>
      <c r="S53" s="304"/>
      <c r="T53" s="383"/>
      <c r="U53" s="304"/>
      <c r="V53" s="383"/>
      <c r="W53" s="345"/>
      <c r="X53" s="141"/>
      <c r="Y53" s="141"/>
      <c r="Z53" s="141"/>
      <c r="AA53" s="141"/>
      <c r="AB53" s="535" t="s">
        <v>76</v>
      </c>
    </row>
    <row r="54" spans="1:35" ht="12.6" customHeight="1" x14ac:dyDescent="0.2">
      <c r="A54" s="20"/>
      <c r="B54" s="698" t="s">
        <v>519</v>
      </c>
      <c r="C54" s="699"/>
      <c r="D54" s="699"/>
      <c r="E54" s="771"/>
      <c r="F54" s="1098"/>
      <c r="G54" s="1098"/>
      <c r="H54" s="1098"/>
      <c r="I54" s="1098"/>
      <c r="J54" s="310"/>
      <c r="K54" s="335"/>
      <c r="L54" s="365"/>
      <c r="M54" s="346"/>
      <c r="N54" s="366"/>
      <c r="O54" s="434"/>
      <c r="P54" s="335"/>
      <c r="Q54" s="391"/>
      <c r="R54" s="99"/>
      <c r="S54" s="427"/>
      <c r="T54" s="99"/>
      <c r="U54" s="427"/>
      <c r="V54" s="99"/>
      <c r="W54" s="346"/>
      <c r="X54" s="141"/>
      <c r="Y54" s="141"/>
      <c r="Z54" s="141"/>
      <c r="AA54" s="141"/>
      <c r="AB54" s="38">
        <v>48</v>
      </c>
      <c r="AC54" s="538" t="s">
        <v>77</v>
      </c>
      <c r="AD54" s="538" t="s">
        <v>78</v>
      </c>
      <c r="AE54" s="538" t="s">
        <v>79</v>
      </c>
    </row>
    <row r="55" spans="1:35" ht="12.6" customHeight="1" x14ac:dyDescent="0.2">
      <c r="A55" s="20"/>
      <c r="B55" s="1091" t="s">
        <v>80</v>
      </c>
      <c r="C55" s="1092"/>
      <c r="D55" s="1092"/>
      <c r="E55" s="1092"/>
      <c r="F55" s="1098"/>
      <c r="G55" s="1098"/>
      <c r="H55" s="1098"/>
      <c r="I55" s="1098"/>
      <c r="J55" s="19"/>
      <c r="K55" s="19"/>
      <c r="L55" s="312"/>
      <c r="M55" s="308"/>
      <c r="N55" s="229"/>
      <c r="O55" s="266"/>
      <c r="P55" s="126"/>
      <c r="Q55" s="314"/>
      <c r="R55" s="266"/>
      <c r="S55" s="266"/>
      <c r="T55" s="266"/>
      <c r="U55" s="266"/>
      <c r="V55" s="96"/>
      <c r="W55" s="96"/>
      <c r="X55" s="180"/>
      <c r="Y55" s="180"/>
      <c r="Z55" s="180"/>
      <c r="AA55" s="180"/>
      <c r="AB55" s="208">
        <v>54</v>
      </c>
    </row>
    <row r="56" spans="1:35" ht="12.6" customHeight="1" x14ac:dyDescent="0.2">
      <c r="A56" s="20"/>
      <c r="B56" s="698" t="s">
        <v>81</v>
      </c>
      <c r="C56" s="699"/>
      <c r="D56" s="699"/>
      <c r="E56" s="699"/>
      <c r="F56" s="346">
        <v>780</v>
      </c>
      <c r="G56" s="371">
        <f t="shared" ref="G56:G59" si="108">+F56*$X$1</f>
        <v>780</v>
      </c>
      <c r="H56" s="133"/>
      <c r="I56" s="346"/>
      <c r="J56" s="600">
        <f>F56+120</f>
        <v>900</v>
      </c>
      <c r="K56" s="346">
        <f t="shared" ref="K56" si="109">+J56*$X$1</f>
        <v>900</v>
      </c>
      <c r="L56" s="600">
        <f>F56+90</f>
        <v>870</v>
      </c>
      <c r="M56" s="346">
        <f t="shared" ref="M56" si="110">+L56*$X$1</f>
        <v>870</v>
      </c>
      <c r="N56" s="107">
        <f>F56+60</f>
        <v>840</v>
      </c>
      <c r="O56" s="371">
        <f t="shared" ref="O56" si="111">+N56*$X$1</f>
        <v>840</v>
      </c>
      <c r="P56" s="107">
        <f>F56+50</f>
        <v>830</v>
      </c>
      <c r="Q56" s="346">
        <f t="shared" si="58"/>
        <v>830</v>
      </c>
      <c r="R56" s="107">
        <f>F56+40</f>
        <v>820</v>
      </c>
      <c r="S56" s="371">
        <f t="shared" ref="S56" si="112">+R56*$X$1</f>
        <v>820</v>
      </c>
      <c r="T56" s="107">
        <f>F56+36</f>
        <v>816</v>
      </c>
      <c r="U56" s="371">
        <f t="shared" ref="U56" si="113">+T56*$X$1</f>
        <v>816</v>
      </c>
      <c r="V56" s="107">
        <f>F56+33</f>
        <v>813</v>
      </c>
      <c r="W56" s="346">
        <f t="shared" ref="W56" si="114">+V56*$X$1</f>
        <v>813</v>
      </c>
      <c r="X56" s="140"/>
      <c r="Y56" s="141"/>
      <c r="Z56" s="141"/>
      <c r="AA56" s="141"/>
      <c r="AB56" s="535">
        <v>60</v>
      </c>
    </row>
    <row r="57" spans="1:35" ht="12.6" customHeight="1" x14ac:dyDescent="0.2">
      <c r="A57" s="20"/>
      <c r="B57" s="748" t="s">
        <v>630</v>
      </c>
      <c r="C57" s="720"/>
      <c r="D57" s="720"/>
      <c r="E57" s="720"/>
      <c r="F57" s="345">
        <v>840</v>
      </c>
      <c r="G57" s="304">
        <f t="shared" si="108"/>
        <v>840</v>
      </c>
      <c r="H57" s="132"/>
      <c r="I57" s="345"/>
      <c r="J57" s="383">
        <f>F57+120</f>
        <v>960</v>
      </c>
      <c r="K57" s="345">
        <f t="shared" ref="K57:K59" si="115">+J57*$X$1</f>
        <v>960</v>
      </c>
      <c r="L57" s="383">
        <f>F57+90</f>
        <v>930</v>
      </c>
      <c r="M57" s="345">
        <f t="shared" ref="M57:M59" si="116">+L57*$X$1</f>
        <v>930</v>
      </c>
      <c r="N57" s="108">
        <f>F57+60</f>
        <v>900</v>
      </c>
      <c r="O57" s="304">
        <f t="shared" ref="O57:O59" si="117">+N57*$X$1</f>
        <v>900</v>
      </c>
      <c r="P57" s="108">
        <f>F57+50</f>
        <v>890</v>
      </c>
      <c r="Q57" s="345">
        <f t="shared" ref="Q57:Q59" si="118">+P57*$X$1</f>
        <v>890</v>
      </c>
      <c r="R57" s="108">
        <f>F57+40</f>
        <v>880</v>
      </c>
      <c r="S57" s="304">
        <f t="shared" ref="S57:S59" si="119">+R57*$X$1</f>
        <v>880</v>
      </c>
      <c r="T57" s="108">
        <f>F57+36</f>
        <v>876</v>
      </c>
      <c r="U57" s="304">
        <f t="shared" ref="U57:U59" si="120">+T57*$X$1</f>
        <v>876</v>
      </c>
      <c r="V57" s="108">
        <f>F57+33</f>
        <v>873</v>
      </c>
      <c r="W57" s="345">
        <f t="shared" ref="W57:W59" si="121">+V57*$X$1</f>
        <v>873</v>
      </c>
      <c r="X57" s="140"/>
      <c r="Y57" s="141"/>
      <c r="Z57" s="141"/>
      <c r="AA57" s="141"/>
      <c r="AB57" s="535">
        <v>61</v>
      </c>
    </row>
    <row r="58" spans="1:35" ht="12.6" customHeight="1" x14ac:dyDescent="0.2">
      <c r="A58" s="20"/>
      <c r="B58" s="938" t="s">
        <v>82</v>
      </c>
      <c r="C58" s="939"/>
      <c r="D58" s="939"/>
      <c r="E58" s="939"/>
      <c r="F58" s="348">
        <v>800</v>
      </c>
      <c r="G58" s="427">
        <f t="shared" si="108"/>
        <v>800</v>
      </c>
      <c r="H58" s="577"/>
      <c r="I58" s="346"/>
      <c r="J58" s="600">
        <f>F58+120</f>
        <v>920</v>
      </c>
      <c r="K58" s="346">
        <f t="shared" si="115"/>
        <v>920</v>
      </c>
      <c r="L58" s="600">
        <f>F58+90</f>
        <v>890</v>
      </c>
      <c r="M58" s="346">
        <f t="shared" si="116"/>
        <v>890</v>
      </c>
      <c r="N58" s="107">
        <f>F58+60</f>
        <v>860</v>
      </c>
      <c r="O58" s="371">
        <f t="shared" si="117"/>
        <v>860</v>
      </c>
      <c r="P58" s="107">
        <f>F58+50</f>
        <v>850</v>
      </c>
      <c r="Q58" s="346">
        <f t="shared" si="118"/>
        <v>850</v>
      </c>
      <c r="R58" s="107">
        <f>F58+40</f>
        <v>840</v>
      </c>
      <c r="S58" s="371">
        <f t="shared" si="119"/>
        <v>840</v>
      </c>
      <c r="T58" s="107">
        <f>F58+36</f>
        <v>836</v>
      </c>
      <c r="U58" s="371">
        <f t="shared" si="120"/>
        <v>836</v>
      </c>
      <c r="V58" s="107">
        <f>F58+33</f>
        <v>833</v>
      </c>
      <c r="W58" s="346">
        <f t="shared" si="121"/>
        <v>833</v>
      </c>
      <c r="X58" s="140"/>
      <c r="Y58" s="141"/>
      <c r="Z58" s="141"/>
      <c r="AA58" s="141"/>
      <c r="AB58" s="535">
        <v>62</v>
      </c>
    </row>
    <row r="59" spans="1:35" ht="12.6" customHeight="1" x14ac:dyDescent="0.2">
      <c r="A59" s="20"/>
      <c r="B59" s="748" t="s">
        <v>83</v>
      </c>
      <c r="C59" s="762"/>
      <c r="D59" s="762"/>
      <c r="E59" s="762"/>
      <c r="F59" s="345">
        <v>860</v>
      </c>
      <c r="G59" s="345">
        <f t="shared" si="108"/>
        <v>860</v>
      </c>
      <c r="H59" s="132"/>
      <c r="I59" s="345"/>
      <c r="J59" s="383">
        <f>F59+120</f>
        <v>980</v>
      </c>
      <c r="K59" s="345">
        <f t="shared" si="115"/>
        <v>980</v>
      </c>
      <c r="L59" s="383">
        <f>F59+90</f>
        <v>950</v>
      </c>
      <c r="M59" s="345">
        <f t="shared" si="116"/>
        <v>950</v>
      </c>
      <c r="N59" s="108">
        <f>F59+60</f>
        <v>920</v>
      </c>
      <c r="O59" s="304">
        <f t="shared" si="117"/>
        <v>920</v>
      </c>
      <c r="P59" s="108">
        <f>F59+50</f>
        <v>910</v>
      </c>
      <c r="Q59" s="345">
        <f t="shared" si="118"/>
        <v>910</v>
      </c>
      <c r="R59" s="108">
        <f>F59+40</f>
        <v>900</v>
      </c>
      <c r="S59" s="304">
        <f t="shared" si="119"/>
        <v>900</v>
      </c>
      <c r="T59" s="108">
        <f>F59+36</f>
        <v>896</v>
      </c>
      <c r="U59" s="304">
        <f t="shared" si="120"/>
        <v>896</v>
      </c>
      <c r="V59" s="108">
        <f>F59+33</f>
        <v>893</v>
      </c>
      <c r="W59" s="345">
        <f t="shared" si="121"/>
        <v>893</v>
      </c>
      <c r="X59" s="140"/>
      <c r="Y59" s="141"/>
      <c r="Z59" s="141"/>
      <c r="AA59" s="141"/>
      <c r="AB59" s="535">
        <v>63</v>
      </c>
      <c r="AD59" s="4"/>
      <c r="AE59" s="4"/>
      <c r="AF59" s="4"/>
      <c r="AG59" s="4"/>
      <c r="AH59" s="4"/>
      <c r="AI59" s="4"/>
    </row>
    <row r="60" spans="1:35" ht="12.6" customHeight="1" x14ac:dyDescent="0.2">
      <c r="A60" s="20"/>
      <c r="B60" s="698" t="s">
        <v>625</v>
      </c>
      <c r="C60" s="699"/>
      <c r="D60" s="699"/>
      <c r="E60" s="699"/>
      <c r="F60" s="346">
        <v>910</v>
      </c>
      <c r="G60" s="346">
        <f t="shared" ref="G60" si="122">+F60*$X$1</f>
        <v>910</v>
      </c>
      <c r="H60" s="133"/>
      <c r="I60" s="346"/>
      <c r="J60" s="600">
        <f>F60+270</f>
        <v>1180</v>
      </c>
      <c r="K60" s="346">
        <f t="shared" ref="K60" si="123">+J60*$X$1</f>
        <v>1180</v>
      </c>
      <c r="L60" s="600">
        <f>F60+170</f>
        <v>1080</v>
      </c>
      <c r="M60" s="346">
        <f t="shared" ref="M60" si="124">+L60*$X$1</f>
        <v>1080</v>
      </c>
      <c r="N60" s="107">
        <f>F60+110</f>
        <v>1020</v>
      </c>
      <c r="O60" s="371">
        <f t="shared" ref="O60:O61" si="125">+N60*$X$1</f>
        <v>1020</v>
      </c>
      <c r="P60" s="107">
        <f>F60+95</f>
        <v>1005</v>
      </c>
      <c r="Q60" s="346">
        <f t="shared" ref="Q60:Q61" si="126">+P60*$X$1</f>
        <v>1005</v>
      </c>
      <c r="R60" s="107">
        <f>F60+85</f>
        <v>995</v>
      </c>
      <c r="S60" s="371">
        <f t="shared" ref="S60:S61" si="127">+R60*$X$1</f>
        <v>995</v>
      </c>
      <c r="T60" s="107">
        <f>F60+79</f>
        <v>989</v>
      </c>
      <c r="U60" s="371">
        <f t="shared" ref="U60:U61" si="128">+T60*$X$1</f>
        <v>989</v>
      </c>
      <c r="V60" s="107">
        <f>F60+75</f>
        <v>985</v>
      </c>
      <c r="W60" s="346">
        <f t="shared" ref="W60:W61" si="129">+V60*$X$1</f>
        <v>985</v>
      </c>
      <c r="X60" s="140"/>
      <c r="Y60" s="141"/>
      <c r="Z60" s="141"/>
      <c r="AA60" s="141"/>
      <c r="AB60" s="535">
        <v>64</v>
      </c>
    </row>
    <row r="61" spans="1:35" ht="12.6" customHeight="1" x14ac:dyDescent="0.2">
      <c r="A61" s="20"/>
      <c r="B61" s="951" t="s">
        <v>849</v>
      </c>
      <c r="C61" s="952"/>
      <c r="D61" s="952"/>
      <c r="E61" s="952"/>
      <c r="F61" s="411">
        <v>230</v>
      </c>
      <c r="G61" s="411">
        <f t="shared" ref="G61:G69" si="130">+F61*$X$1</f>
        <v>230</v>
      </c>
      <c r="H61" s="342"/>
      <c r="I61" s="419"/>
      <c r="J61" s="605"/>
      <c r="K61" s="411"/>
      <c r="L61" s="122"/>
      <c r="M61" s="411"/>
      <c r="N61" s="601">
        <f t="shared" ref="N61:N66" si="131">F61+46</f>
        <v>276</v>
      </c>
      <c r="O61" s="410">
        <f t="shared" si="125"/>
        <v>276</v>
      </c>
      <c r="P61" s="601">
        <f t="shared" ref="P61:P66" si="132">F61+42</f>
        <v>272</v>
      </c>
      <c r="Q61" s="410">
        <f t="shared" si="126"/>
        <v>272</v>
      </c>
      <c r="R61" s="601">
        <f t="shared" ref="R61:R66" si="133">F61+35</f>
        <v>265</v>
      </c>
      <c r="S61" s="410">
        <f t="shared" si="127"/>
        <v>265</v>
      </c>
      <c r="T61" s="601">
        <f t="shared" ref="T61:T66" si="134">F61+29</f>
        <v>259</v>
      </c>
      <c r="U61" s="410">
        <f t="shared" si="128"/>
        <v>259</v>
      </c>
      <c r="V61" s="601">
        <f t="shared" ref="V61:V66" si="135">F61+24</f>
        <v>254</v>
      </c>
      <c r="W61" s="410">
        <f t="shared" si="129"/>
        <v>254</v>
      </c>
      <c r="X61" s="141"/>
      <c r="Y61" s="141"/>
      <c r="Z61" s="141"/>
      <c r="AA61" s="141"/>
      <c r="AB61" s="535">
        <v>85</v>
      </c>
    </row>
    <row r="62" spans="1:35" ht="12.6" customHeight="1" x14ac:dyDescent="0.2">
      <c r="A62" s="20"/>
      <c r="B62" s="702" t="s">
        <v>711</v>
      </c>
      <c r="C62" s="703"/>
      <c r="D62" s="703"/>
      <c r="E62" s="703"/>
      <c r="F62" s="372">
        <v>650</v>
      </c>
      <c r="G62" s="412">
        <f t="shared" si="130"/>
        <v>650</v>
      </c>
      <c r="H62" s="341"/>
      <c r="I62" s="425"/>
      <c r="J62" s="606"/>
      <c r="K62" s="372"/>
      <c r="L62" s="108"/>
      <c r="M62" s="372"/>
      <c r="N62" s="383">
        <f t="shared" si="131"/>
        <v>696</v>
      </c>
      <c r="O62" s="345">
        <f t="shared" ref="O62" si="136">+N62*$X$1</f>
        <v>696</v>
      </c>
      <c r="P62" s="383">
        <f t="shared" si="132"/>
        <v>692</v>
      </c>
      <c r="Q62" s="345">
        <f t="shared" ref="Q62" si="137">+P62*$X$1</f>
        <v>692</v>
      </c>
      <c r="R62" s="383">
        <f t="shared" si="133"/>
        <v>685</v>
      </c>
      <c r="S62" s="345">
        <f t="shared" ref="S62" si="138">+R62*$X$1</f>
        <v>685</v>
      </c>
      <c r="T62" s="383">
        <f t="shared" si="134"/>
        <v>679</v>
      </c>
      <c r="U62" s="345">
        <f t="shared" ref="U62" si="139">+T62*$X$1</f>
        <v>679</v>
      </c>
      <c r="V62" s="383">
        <f t="shared" si="135"/>
        <v>674</v>
      </c>
      <c r="W62" s="345">
        <f t="shared" ref="W62" si="140">+V62*$X$1</f>
        <v>674</v>
      </c>
      <c r="X62" s="141"/>
      <c r="Y62" s="141"/>
      <c r="Z62" s="141"/>
      <c r="AA62" s="141"/>
      <c r="AB62" s="535" t="s">
        <v>84</v>
      </c>
    </row>
    <row r="63" spans="1:35" ht="12.6" customHeight="1" x14ac:dyDescent="0.2">
      <c r="A63" s="20"/>
      <c r="B63" s="911" t="s">
        <v>710</v>
      </c>
      <c r="C63" s="800"/>
      <c r="D63" s="800"/>
      <c r="E63" s="800"/>
      <c r="F63" s="388">
        <v>575</v>
      </c>
      <c r="G63" s="414">
        <f t="shared" ref="G63" si="141">+F63*$X$1</f>
        <v>575</v>
      </c>
      <c r="H63" s="335"/>
      <c r="I63" s="421"/>
      <c r="J63" s="607"/>
      <c r="K63" s="388"/>
      <c r="L63" s="107"/>
      <c r="M63" s="388"/>
      <c r="N63" s="600">
        <f t="shared" si="131"/>
        <v>621</v>
      </c>
      <c r="O63" s="346">
        <f t="shared" ref="O63" si="142">+N63*$X$1</f>
        <v>621</v>
      </c>
      <c r="P63" s="600">
        <f t="shared" si="132"/>
        <v>617</v>
      </c>
      <c r="Q63" s="346">
        <f t="shared" ref="Q63" si="143">+P63*$X$1</f>
        <v>617</v>
      </c>
      <c r="R63" s="600">
        <f t="shared" si="133"/>
        <v>610</v>
      </c>
      <c r="S63" s="346">
        <f t="shared" ref="S63" si="144">+R63*$X$1</f>
        <v>610</v>
      </c>
      <c r="T63" s="600">
        <f t="shared" si="134"/>
        <v>604</v>
      </c>
      <c r="U63" s="346">
        <f t="shared" ref="U63" si="145">+T63*$X$1</f>
        <v>604</v>
      </c>
      <c r="V63" s="600">
        <f t="shared" si="135"/>
        <v>599</v>
      </c>
      <c r="W63" s="346">
        <f t="shared" ref="W63" si="146">+V63*$X$1</f>
        <v>599</v>
      </c>
      <c r="X63" s="141"/>
      <c r="Y63" s="141"/>
      <c r="Z63" s="141"/>
      <c r="AA63" s="141"/>
      <c r="AB63" s="535" t="s">
        <v>84</v>
      </c>
    </row>
    <row r="64" spans="1:35" ht="12.6" customHeight="1" x14ac:dyDescent="0.2">
      <c r="A64" s="20"/>
      <c r="B64" s="702" t="s">
        <v>482</v>
      </c>
      <c r="C64" s="703"/>
      <c r="D64" s="703"/>
      <c r="E64" s="703"/>
      <c r="F64" s="372">
        <v>890</v>
      </c>
      <c r="G64" s="412">
        <f t="shared" si="130"/>
        <v>890</v>
      </c>
      <c r="H64" s="336"/>
      <c r="I64" s="420"/>
      <c r="J64" s="75">
        <f>F64+120</f>
        <v>1010</v>
      </c>
      <c r="K64" s="345">
        <f t="shared" ref="K64" si="147">+J64*$X$1</f>
        <v>1010</v>
      </c>
      <c r="L64" s="383">
        <f>F64+90</f>
        <v>980</v>
      </c>
      <c r="M64" s="345">
        <f t="shared" ref="M64" si="148">+L64*$X$1</f>
        <v>980</v>
      </c>
      <c r="N64" s="383">
        <f>F64+60</f>
        <v>950</v>
      </c>
      <c r="O64" s="345">
        <f t="shared" ref="O64" si="149">+N64*$X$1</f>
        <v>950</v>
      </c>
      <c r="P64" s="383">
        <f>F64+50</f>
        <v>940</v>
      </c>
      <c r="Q64" s="345">
        <f t="shared" ref="Q64" si="150">+P64*$X$1</f>
        <v>940</v>
      </c>
      <c r="R64" s="383">
        <f>F64+40</f>
        <v>930</v>
      </c>
      <c r="S64" s="345">
        <f t="shared" ref="S64" si="151">+R64*$X$1</f>
        <v>930</v>
      </c>
      <c r="T64" s="383">
        <f>F64+34</f>
        <v>924</v>
      </c>
      <c r="U64" s="345">
        <f t="shared" ref="U64" si="152">+T64*$X$1</f>
        <v>924</v>
      </c>
      <c r="V64" s="383">
        <f>F64+30</f>
        <v>920</v>
      </c>
      <c r="W64" s="345">
        <f t="shared" ref="W64" si="153">+V64*$X$1</f>
        <v>920</v>
      </c>
      <c r="X64" s="141"/>
      <c r="Y64" s="141"/>
      <c r="Z64" s="141"/>
      <c r="AA64" s="141"/>
      <c r="AB64" s="535">
        <v>89</v>
      </c>
    </row>
    <row r="65" spans="1:38" ht="12.6" customHeight="1" x14ac:dyDescent="0.2">
      <c r="A65" s="20"/>
      <c r="B65" s="698" t="s">
        <v>600</v>
      </c>
      <c r="C65" s="699"/>
      <c r="D65" s="699"/>
      <c r="E65" s="699"/>
      <c r="F65" s="346">
        <v>452</v>
      </c>
      <c r="G65" s="414">
        <f t="shared" si="130"/>
        <v>452</v>
      </c>
      <c r="H65" s="335"/>
      <c r="I65" s="421"/>
      <c r="J65" s="93"/>
      <c r="K65" s="371"/>
      <c r="L65" s="600"/>
      <c r="M65" s="371"/>
      <c r="N65" s="600">
        <f t="shared" si="131"/>
        <v>498</v>
      </c>
      <c r="O65" s="346">
        <f t="shared" ref="O65:O66" si="154">+N65*$X$1</f>
        <v>498</v>
      </c>
      <c r="P65" s="600">
        <f t="shared" si="132"/>
        <v>494</v>
      </c>
      <c r="Q65" s="346">
        <f t="shared" ref="Q65:Q66" si="155">+P65*$X$1</f>
        <v>494</v>
      </c>
      <c r="R65" s="600">
        <f t="shared" si="133"/>
        <v>487</v>
      </c>
      <c r="S65" s="346">
        <f t="shared" ref="S65:S66" si="156">+R65*$X$1</f>
        <v>487</v>
      </c>
      <c r="T65" s="600">
        <f t="shared" si="134"/>
        <v>481</v>
      </c>
      <c r="U65" s="346">
        <f t="shared" ref="U65:U66" si="157">+T65*$X$1</f>
        <v>481</v>
      </c>
      <c r="V65" s="600">
        <f t="shared" si="135"/>
        <v>476</v>
      </c>
      <c r="W65" s="346">
        <f t="shared" ref="W65:W66" si="158">+V65*$X$1</f>
        <v>476</v>
      </c>
      <c r="X65" s="157"/>
      <c r="Y65" s="157"/>
      <c r="Z65" s="157" t="s">
        <v>85</v>
      </c>
      <c r="AA65" s="141"/>
      <c r="AB65" s="535">
        <v>91</v>
      </c>
    </row>
    <row r="66" spans="1:38" ht="12.6" customHeight="1" x14ac:dyDescent="0.2">
      <c r="A66" s="20"/>
      <c r="B66" s="1091" t="s">
        <v>86</v>
      </c>
      <c r="C66" s="1092"/>
      <c r="D66" s="1092"/>
      <c r="E66" s="1093"/>
      <c r="F66" s="345">
        <v>215</v>
      </c>
      <c r="G66" s="379">
        <f t="shared" si="130"/>
        <v>215</v>
      </c>
      <c r="H66" s="336"/>
      <c r="I66" s="420"/>
      <c r="J66" s="75"/>
      <c r="K66" s="304"/>
      <c r="L66" s="383"/>
      <c r="M66" s="304"/>
      <c r="N66" s="383">
        <f t="shared" si="131"/>
        <v>261</v>
      </c>
      <c r="O66" s="345">
        <f t="shared" si="154"/>
        <v>261</v>
      </c>
      <c r="P66" s="383">
        <f t="shared" si="132"/>
        <v>257</v>
      </c>
      <c r="Q66" s="345">
        <f t="shared" si="155"/>
        <v>257</v>
      </c>
      <c r="R66" s="383">
        <f t="shared" si="133"/>
        <v>250</v>
      </c>
      <c r="S66" s="345">
        <f t="shared" si="156"/>
        <v>250</v>
      </c>
      <c r="T66" s="383">
        <f t="shared" si="134"/>
        <v>244</v>
      </c>
      <c r="U66" s="345">
        <f t="shared" si="157"/>
        <v>244</v>
      </c>
      <c r="V66" s="383">
        <f t="shared" si="135"/>
        <v>239</v>
      </c>
      <c r="W66" s="345">
        <f t="shared" si="158"/>
        <v>239</v>
      </c>
      <c r="X66" s="157"/>
      <c r="Y66" s="157"/>
      <c r="Z66" s="157"/>
      <c r="AA66" s="141"/>
      <c r="AB66" s="535" t="s">
        <v>87</v>
      </c>
    </row>
    <row r="67" spans="1:38" ht="12.6" customHeight="1" x14ac:dyDescent="0.2">
      <c r="A67" s="20"/>
      <c r="B67" s="1101" t="s">
        <v>397</v>
      </c>
      <c r="C67" s="1102"/>
      <c r="D67" s="1102"/>
      <c r="E67" s="1103"/>
      <c r="F67" s="346"/>
      <c r="G67" s="378"/>
      <c r="H67" s="335"/>
      <c r="I67" s="335"/>
      <c r="J67" s="93"/>
      <c r="K67" s="98"/>
      <c r="L67" s="476"/>
      <c r="M67" s="371"/>
      <c r="N67" s="107"/>
      <c r="O67" s="371"/>
      <c r="P67" s="107"/>
      <c r="Q67" s="346"/>
      <c r="R67" s="107"/>
      <c r="S67" s="371"/>
      <c r="T67" s="107"/>
      <c r="U67" s="371"/>
      <c r="V67" s="107"/>
      <c r="W67" s="346"/>
      <c r="X67" s="157"/>
      <c r="Y67" s="157"/>
      <c r="Z67" s="157"/>
      <c r="AA67" s="141"/>
      <c r="AB67" s="37"/>
    </row>
    <row r="68" spans="1:38" ht="12.6" customHeight="1" x14ac:dyDescent="0.2">
      <c r="A68" s="20"/>
      <c r="B68" s="1091" t="s">
        <v>398</v>
      </c>
      <c r="C68" s="1092"/>
      <c r="D68" s="1092"/>
      <c r="E68" s="1093"/>
      <c r="F68" s="345"/>
      <c r="G68" s="379"/>
      <c r="H68" s="336"/>
      <c r="I68" s="336"/>
      <c r="J68" s="75"/>
      <c r="K68" s="100"/>
      <c r="L68" s="383"/>
      <c r="M68" s="304"/>
      <c r="N68" s="108"/>
      <c r="O68" s="304"/>
      <c r="P68" s="108"/>
      <c r="Q68" s="345"/>
      <c r="R68" s="108"/>
      <c r="S68" s="304"/>
      <c r="T68" s="108"/>
      <c r="U68" s="304"/>
      <c r="V68" s="108"/>
      <c r="W68" s="345"/>
      <c r="X68" s="157"/>
      <c r="Y68" s="157"/>
      <c r="Z68" s="157"/>
      <c r="AA68" s="141"/>
      <c r="AB68" s="37"/>
    </row>
    <row r="69" spans="1:38" ht="12.6" customHeight="1" x14ac:dyDescent="0.2">
      <c r="A69" s="20"/>
      <c r="B69" s="698" t="s">
        <v>88</v>
      </c>
      <c r="C69" s="699"/>
      <c r="D69" s="699"/>
      <c r="E69" s="699"/>
      <c r="F69" s="346">
        <v>4195</v>
      </c>
      <c r="G69" s="378">
        <f t="shared" si="130"/>
        <v>4195</v>
      </c>
      <c r="H69" s="93">
        <f>F69+290</f>
        <v>4485</v>
      </c>
      <c r="I69" s="346">
        <f>+H69*$X$1</f>
        <v>4485</v>
      </c>
      <c r="J69" s="93">
        <f>F69+120</f>
        <v>4315</v>
      </c>
      <c r="K69" s="346">
        <f t="shared" ref="K69" si="159">+J69*$X$1</f>
        <v>4315</v>
      </c>
      <c r="L69" s="600">
        <f>F69+74</f>
        <v>4269</v>
      </c>
      <c r="M69" s="346">
        <f t="shared" ref="M69" si="160">+L69*$X$1</f>
        <v>4269</v>
      </c>
      <c r="N69" s="600">
        <f>F69+46</f>
        <v>4241</v>
      </c>
      <c r="O69" s="346">
        <f t="shared" ref="O69" si="161">+N69*$X$1</f>
        <v>4241</v>
      </c>
      <c r="P69" s="600">
        <f>F69+42</f>
        <v>4237</v>
      </c>
      <c r="Q69" s="346">
        <f t="shared" ref="Q69" si="162">+P69*$X$1</f>
        <v>4237</v>
      </c>
      <c r="R69" s="600">
        <f>F69+35</f>
        <v>4230</v>
      </c>
      <c r="S69" s="346">
        <f t="shared" ref="S69" si="163">+R69*$X$1</f>
        <v>4230</v>
      </c>
      <c r="T69" s="600">
        <f>F69+29</f>
        <v>4224</v>
      </c>
      <c r="U69" s="346">
        <f t="shared" ref="U69" si="164">+T69*$X$1</f>
        <v>4224</v>
      </c>
      <c r="V69" s="600">
        <f>F69+24</f>
        <v>4219</v>
      </c>
      <c r="W69" s="346">
        <f t="shared" ref="W69" si="165">+V69*$X$1</f>
        <v>4219</v>
      </c>
      <c r="X69" s="144"/>
      <c r="Y69" s="141"/>
      <c r="Z69" s="141"/>
      <c r="AA69" s="141"/>
      <c r="AB69" s="535">
        <v>92</v>
      </c>
    </row>
    <row r="70" spans="1:38" ht="12.6" customHeight="1" x14ac:dyDescent="0.25">
      <c r="A70" s="61"/>
      <c r="B70" s="748" t="s">
        <v>559</v>
      </c>
      <c r="C70" s="762"/>
      <c r="D70" s="762"/>
      <c r="E70" s="762"/>
      <c r="F70" s="345"/>
      <c r="G70" s="304"/>
      <c r="H70" s="113"/>
      <c r="I70" s="822" t="s">
        <v>568</v>
      </c>
      <c r="J70" s="823"/>
      <c r="K70" s="823"/>
      <c r="L70" s="824"/>
      <c r="M70" s="825"/>
      <c r="N70" s="383">
        <v>864</v>
      </c>
      <c r="O70" s="379">
        <f>+N70*$X$1</f>
        <v>864</v>
      </c>
      <c r="P70" s="390">
        <v>860</v>
      </c>
      <c r="Q70" s="373">
        <f>+P70*$X$1</f>
        <v>860</v>
      </c>
      <c r="R70" s="383">
        <v>815</v>
      </c>
      <c r="S70" s="304">
        <f>+R70*$X$1</f>
        <v>815</v>
      </c>
      <c r="T70" s="383">
        <v>778</v>
      </c>
      <c r="U70" s="345">
        <f>+T70*$X$1</f>
        <v>778</v>
      </c>
      <c r="V70" s="383">
        <v>708</v>
      </c>
      <c r="W70" s="345">
        <f>+V70*$X$1</f>
        <v>708</v>
      </c>
      <c r="X70" s="816"/>
      <c r="Y70" s="816"/>
      <c r="Z70" s="816"/>
      <c r="AA70" s="816"/>
      <c r="AB70" s="208" t="s">
        <v>560</v>
      </c>
    </row>
    <row r="71" spans="1:38" ht="12.6" customHeight="1" x14ac:dyDescent="0.25">
      <c r="A71" s="61"/>
      <c r="B71" s="698" t="s">
        <v>387</v>
      </c>
      <c r="C71" s="713"/>
      <c r="D71" s="713"/>
      <c r="E71" s="713"/>
      <c r="F71" s="346"/>
      <c r="G71" s="371"/>
      <c r="H71" s="283"/>
      <c r="I71" s="1104" t="s">
        <v>568</v>
      </c>
      <c r="J71" s="1105"/>
      <c r="K71" s="1105"/>
      <c r="L71" s="1106"/>
      <c r="M71" s="1107"/>
      <c r="N71" s="576">
        <v>930</v>
      </c>
      <c r="O71" s="378">
        <f>+N71*$X$1</f>
        <v>930</v>
      </c>
      <c r="P71" s="359">
        <v>926</v>
      </c>
      <c r="Q71" s="413">
        <f>+P71*$X$1</f>
        <v>926</v>
      </c>
      <c r="R71" s="576">
        <v>876</v>
      </c>
      <c r="S71" s="371">
        <f>+R71*$X$1</f>
        <v>876</v>
      </c>
      <c r="T71" s="576">
        <v>852</v>
      </c>
      <c r="U71" s="346">
        <f>+T71*$X$1</f>
        <v>852</v>
      </c>
      <c r="V71" s="576">
        <v>770</v>
      </c>
      <c r="W71" s="346">
        <f>+V71*$X$1</f>
        <v>770</v>
      </c>
      <c r="X71" s="816"/>
      <c r="Y71" s="816"/>
      <c r="Z71" s="816"/>
      <c r="AA71" s="816"/>
      <c r="AB71" s="208" t="s">
        <v>89</v>
      </c>
    </row>
    <row r="72" spans="1:38" ht="12.6" customHeight="1" x14ac:dyDescent="0.25">
      <c r="A72" s="61"/>
      <c r="B72" s="748" t="s">
        <v>561</v>
      </c>
      <c r="C72" s="762"/>
      <c r="D72" s="762"/>
      <c r="E72" s="762"/>
      <c r="F72" s="345"/>
      <c r="G72" s="304"/>
      <c r="H72" s="113"/>
      <c r="I72" s="822" t="s">
        <v>568</v>
      </c>
      <c r="J72" s="823"/>
      <c r="K72" s="823"/>
      <c r="L72" s="824"/>
      <c r="M72" s="825"/>
      <c r="N72" s="383">
        <v>1360</v>
      </c>
      <c r="O72" s="379">
        <f>+N72*$X$1</f>
        <v>1360</v>
      </c>
      <c r="P72" s="360">
        <v>1355</v>
      </c>
      <c r="Q72" s="373">
        <f>+P72*$X$1</f>
        <v>1355</v>
      </c>
      <c r="R72" s="383">
        <v>1305</v>
      </c>
      <c r="S72" s="304">
        <f>+R72*$X$1</f>
        <v>1305</v>
      </c>
      <c r="T72" s="383">
        <v>1281</v>
      </c>
      <c r="U72" s="345">
        <f>+T72*$X$1</f>
        <v>1281</v>
      </c>
      <c r="V72" s="383">
        <v>1199</v>
      </c>
      <c r="W72" s="345">
        <f>+V72*$X$1</f>
        <v>1199</v>
      </c>
      <c r="X72" s="816"/>
      <c r="Y72" s="816"/>
      <c r="Z72" s="816"/>
      <c r="AA72" s="816"/>
      <c r="AB72" s="208" t="s">
        <v>562</v>
      </c>
    </row>
    <row r="73" spans="1:38" ht="12.6" customHeight="1" x14ac:dyDescent="0.25">
      <c r="A73" s="20"/>
      <c r="B73" s="698" t="s">
        <v>388</v>
      </c>
      <c r="C73" s="713"/>
      <c r="D73" s="713"/>
      <c r="E73" s="713"/>
      <c r="F73" s="346"/>
      <c r="G73" s="371"/>
      <c r="H73" s="283"/>
      <c r="I73" s="1074"/>
      <c r="J73" s="1075"/>
      <c r="K73" s="1075"/>
      <c r="L73" s="335"/>
      <c r="M73" s="421"/>
      <c r="N73" s="495"/>
      <c r="O73" s="378"/>
      <c r="P73" s="547"/>
      <c r="Q73" s="346"/>
      <c r="R73" s="547"/>
      <c r="S73" s="371"/>
      <c r="T73" s="547"/>
      <c r="U73" s="346"/>
      <c r="V73" s="99"/>
      <c r="W73" s="346"/>
      <c r="X73" s="816"/>
      <c r="Y73" s="816"/>
      <c r="Z73" s="816"/>
      <c r="AA73" s="816"/>
      <c r="AB73" s="208" t="s">
        <v>90</v>
      </c>
      <c r="AH73" s="4"/>
      <c r="AI73" s="4"/>
      <c r="AJ73" s="4"/>
    </row>
    <row r="74" spans="1:38" s="6" customFormat="1" ht="12.6" customHeight="1" x14ac:dyDescent="0.25">
      <c r="A74" s="61"/>
      <c r="B74" s="773" t="s">
        <v>468</v>
      </c>
      <c r="C74" s="717"/>
      <c r="D74" s="717"/>
      <c r="E74" s="718"/>
      <c r="F74" s="345"/>
      <c r="G74" s="304"/>
      <c r="H74" s="383"/>
      <c r="I74" s="379"/>
      <c r="J74" s="384"/>
      <c r="K74" s="450"/>
      <c r="L74" s="385">
        <v>2326</v>
      </c>
      <c r="M74" s="345">
        <f>+L74*$X$1</f>
        <v>2326</v>
      </c>
      <c r="N74" s="383">
        <v>2193</v>
      </c>
      <c r="O74" s="379">
        <f>+N74*$X$1</f>
        <v>2193</v>
      </c>
      <c r="P74" s="499">
        <v>2020</v>
      </c>
      <c r="Q74" s="373">
        <f>+P74*$X$1</f>
        <v>2020</v>
      </c>
      <c r="R74" s="383">
        <v>1990</v>
      </c>
      <c r="S74" s="304">
        <f>+R74*$X$1</f>
        <v>1990</v>
      </c>
      <c r="T74" s="383">
        <v>1936</v>
      </c>
      <c r="U74" s="345">
        <f>+T74*$X$1</f>
        <v>1936</v>
      </c>
      <c r="V74" s="574"/>
      <c r="W74" s="447"/>
      <c r="X74" s="281"/>
      <c r="Y74" s="282"/>
      <c r="Z74" s="282"/>
      <c r="AA74" s="282"/>
      <c r="AB74" s="208" t="s">
        <v>91</v>
      </c>
      <c r="AC74" s="9"/>
      <c r="AD74" s="9"/>
      <c r="AE74" s="9"/>
      <c r="AF74" s="9"/>
      <c r="AG74" s="9"/>
      <c r="AH74" s="60"/>
      <c r="AI74" s="26"/>
      <c r="AJ74" s="60"/>
      <c r="AK74" s="9"/>
      <c r="AL74" s="9"/>
    </row>
    <row r="75" spans="1:38" s="6" customFormat="1" ht="12.6" customHeight="1" x14ac:dyDescent="0.25">
      <c r="A75" s="61"/>
      <c r="B75" s="813" t="s">
        <v>469</v>
      </c>
      <c r="C75" s="814"/>
      <c r="D75" s="814"/>
      <c r="E75" s="815"/>
      <c r="F75" s="346"/>
      <c r="G75" s="446"/>
      <c r="H75" s="476"/>
      <c r="I75" s="449"/>
      <c r="J75" s="352"/>
      <c r="K75" s="451"/>
      <c r="L75" s="386">
        <v>3270</v>
      </c>
      <c r="M75" s="346">
        <f>+L75*$X$1</f>
        <v>3270</v>
      </c>
      <c r="N75" s="576">
        <v>3070</v>
      </c>
      <c r="O75" s="449">
        <f>+N75*$X$1</f>
        <v>3070</v>
      </c>
      <c r="P75" s="500">
        <v>3003</v>
      </c>
      <c r="Q75" s="413">
        <f>+P75*$X$1</f>
        <v>3003</v>
      </c>
      <c r="R75" s="576">
        <v>2971</v>
      </c>
      <c r="S75" s="446">
        <f>+R75*$X$1</f>
        <v>2971</v>
      </c>
      <c r="T75" s="576">
        <v>2788</v>
      </c>
      <c r="U75" s="346">
        <f>+T75*$X$1</f>
        <v>2788</v>
      </c>
      <c r="V75" s="575"/>
      <c r="W75" s="448"/>
      <c r="X75" s="1086"/>
      <c r="Y75" s="1087"/>
      <c r="Z75" s="1087"/>
      <c r="AA75" s="1087"/>
      <c r="AB75" s="208" t="s">
        <v>92</v>
      </c>
      <c r="AC75" s="9"/>
      <c r="AD75" s="9"/>
      <c r="AE75" s="9"/>
      <c r="AF75" s="9"/>
      <c r="AG75" s="9"/>
      <c r="AH75" s="60"/>
      <c r="AI75" s="60"/>
      <c r="AJ75" s="60"/>
      <c r="AK75" s="9"/>
      <c r="AL75" s="9"/>
    </row>
    <row r="76" spans="1:38" ht="12.6" customHeight="1" x14ac:dyDescent="0.2">
      <c r="A76" s="101"/>
      <c r="B76" s="115"/>
      <c r="C76" s="71"/>
      <c r="D76" s="71"/>
      <c r="E76" s="71"/>
      <c r="F76" s="199"/>
      <c r="G76" s="199"/>
      <c r="H76" s="199"/>
      <c r="I76" s="199"/>
      <c r="J76" s="199"/>
      <c r="K76" s="199"/>
      <c r="L76" s="116"/>
      <c r="M76" s="116"/>
      <c r="N76" s="117"/>
      <c r="O76" s="117"/>
      <c r="P76" s="117"/>
      <c r="Q76" s="118"/>
      <c r="R76" s="92"/>
      <c r="S76" s="67"/>
      <c r="T76" s="67"/>
      <c r="U76" s="67"/>
      <c r="V76" s="67"/>
      <c r="W76" s="67"/>
      <c r="X76" s="80"/>
      <c r="AB76" s="114"/>
    </row>
    <row r="77" spans="1:38" ht="12.6" customHeight="1" x14ac:dyDescent="0.2">
      <c r="A77" s="101"/>
      <c r="B77" s="115"/>
      <c r="C77" s="382"/>
      <c r="D77" s="382"/>
      <c r="E77" s="382"/>
      <c r="F77" s="267"/>
      <c r="G77" s="267"/>
      <c r="H77" s="267"/>
      <c r="I77" s="267"/>
      <c r="J77" s="267"/>
      <c r="K77" s="267"/>
      <c r="L77" s="116"/>
      <c r="M77" s="116"/>
      <c r="N77" s="117"/>
      <c r="O77" s="117"/>
      <c r="P77" s="117"/>
      <c r="Q77" s="118"/>
      <c r="R77" s="92"/>
      <c r="S77" s="67"/>
      <c r="T77" s="67"/>
      <c r="U77" s="67"/>
      <c r="V77" s="67"/>
      <c r="W77" s="67"/>
      <c r="X77" s="80"/>
      <c r="AB77" s="114"/>
    </row>
    <row r="78" spans="1:38" ht="12.6" customHeight="1" thickBot="1" x14ac:dyDescent="0.25">
      <c r="A78" s="101"/>
      <c r="B78" s="115"/>
      <c r="C78" s="268"/>
      <c r="D78" s="268"/>
      <c r="E78" s="268"/>
      <c r="F78" s="267"/>
      <c r="G78" s="267"/>
      <c r="H78" s="267"/>
      <c r="I78" s="267"/>
      <c r="J78" s="267"/>
      <c r="K78" s="267"/>
      <c r="L78" s="116"/>
      <c r="M78" s="116"/>
      <c r="N78" s="117"/>
      <c r="O78" s="117"/>
      <c r="P78" s="117"/>
      <c r="Q78" s="118"/>
      <c r="R78" s="92"/>
      <c r="S78" s="67"/>
      <c r="T78" s="67"/>
      <c r="U78" s="67"/>
      <c r="V78" s="67"/>
      <c r="W78" s="67"/>
      <c r="X78" s="80"/>
      <c r="AB78" s="114"/>
    </row>
    <row r="79" spans="1:38" ht="15.75" customHeight="1" x14ac:dyDescent="0.2">
      <c r="A79" s="20"/>
      <c r="B79" s="912" t="s">
        <v>11</v>
      </c>
      <c r="C79" s="745" t="s">
        <v>12</v>
      </c>
      <c r="D79" s="746"/>
      <c r="E79" s="746"/>
      <c r="F79" s="817" t="s">
        <v>13</v>
      </c>
      <c r="G79" s="817" t="s">
        <v>13</v>
      </c>
      <c r="H79" s="765" t="s">
        <v>14</v>
      </c>
      <c r="I79" s="765"/>
      <c r="J79" s="766"/>
      <c r="K79" s="766"/>
      <c r="L79" s="766"/>
      <c r="M79" s="766"/>
      <c r="N79" s="766"/>
      <c r="O79" s="766"/>
      <c r="P79" s="766"/>
      <c r="Q79" s="766"/>
      <c r="R79" s="766"/>
      <c r="S79" s="766"/>
      <c r="T79" s="766"/>
      <c r="U79" s="766"/>
      <c r="V79" s="766"/>
      <c r="W79" s="767"/>
      <c r="X79" s="757" t="s">
        <v>15</v>
      </c>
      <c r="Y79" s="757"/>
      <c r="Z79" s="757"/>
      <c r="AA79" s="757"/>
      <c r="AB79" s="754" t="s">
        <v>16</v>
      </c>
      <c r="AF79" s="752" t="s">
        <v>3</v>
      </c>
      <c r="AG79" s="753"/>
      <c r="AH79" s="753"/>
    </row>
    <row r="80" spans="1:38" ht="12" customHeight="1" thickBot="1" x14ac:dyDescent="0.25">
      <c r="A80" s="20"/>
      <c r="B80" s="913"/>
      <c r="C80" s="747"/>
      <c r="D80" s="747"/>
      <c r="E80" s="747"/>
      <c r="F80" s="818"/>
      <c r="G80" s="818"/>
      <c r="H80" s="297"/>
      <c r="I80" s="293" t="s">
        <v>311</v>
      </c>
      <c r="J80" s="297"/>
      <c r="K80" s="293" t="s">
        <v>18</v>
      </c>
      <c r="L80" s="298"/>
      <c r="M80" s="298" t="s">
        <v>19</v>
      </c>
      <c r="N80" s="298"/>
      <c r="O80" s="293" t="s">
        <v>20</v>
      </c>
      <c r="P80" s="299"/>
      <c r="Q80" s="298" t="s">
        <v>313</v>
      </c>
      <c r="R80" s="298"/>
      <c r="S80" s="298" t="s">
        <v>21</v>
      </c>
      <c r="T80" s="298"/>
      <c r="U80" s="298" t="s">
        <v>22</v>
      </c>
      <c r="V80" s="298"/>
      <c r="W80" s="300" t="s">
        <v>23</v>
      </c>
      <c r="X80" s="759"/>
      <c r="Y80" s="759"/>
      <c r="Z80" s="759"/>
      <c r="AA80" s="759"/>
      <c r="AB80" s="937"/>
    </row>
    <row r="81" spans="1:34" ht="12.6" customHeight="1" x14ac:dyDescent="0.2">
      <c r="A81" s="20"/>
      <c r="B81" s="712" t="s">
        <v>93</v>
      </c>
      <c r="C81" s="699"/>
      <c r="D81" s="699"/>
      <c r="E81" s="771"/>
      <c r="F81" s="779" t="s">
        <v>806</v>
      </c>
      <c r="G81" s="780"/>
      <c r="H81" s="780"/>
      <c r="I81" s="780"/>
      <c r="J81" s="310"/>
      <c r="K81" s="335"/>
      <c r="L81" s="367"/>
      <c r="M81" s="346"/>
      <c r="N81" s="495"/>
      <c r="O81" s="413"/>
      <c r="P81" s="337"/>
      <c r="Q81" s="413"/>
      <c r="R81" s="495"/>
      <c r="S81" s="346"/>
      <c r="T81" s="495"/>
      <c r="U81" s="346"/>
      <c r="V81" s="495"/>
      <c r="W81" s="346"/>
      <c r="X81" s="141"/>
      <c r="Y81" s="141"/>
      <c r="Z81" s="141"/>
      <c r="AA81" s="141"/>
      <c r="AB81" s="542" t="s">
        <v>94</v>
      </c>
      <c r="AC81" s="538" t="s">
        <v>95</v>
      </c>
      <c r="AD81" s="538" t="s">
        <v>96</v>
      </c>
      <c r="AE81" s="538" t="s">
        <v>97</v>
      </c>
      <c r="AF81" s="538" t="s">
        <v>98</v>
      </c>
      <c r="AG81" s="538" t="s">
        <v>99</v>
      </c>
    </row>
    <row r="82" spans="1:34" ht="12.6" customHeight="1" x14ac:dyDescent="0.2">
      <c r="A82" s="20"/>
      <c r="B82" s="719" t="s">
        <v>100</v>
      </c>
      <c r="C82" s="720"/>
      <c r="D82" s="720"/>
      <c r="E82" s="772"/>
      <c r="F82" s="781"/>
      <c r="G82" s="782"/>
      <c r="H82" s="782"/>
      <c r="I82" s="782"/>
      <c r="J82" s="19"/>
      <c r="K82" s="341"/>
      <c r="L82" s="368"/>
      <c r="M82" s="345"/>
      <c r="N82" s="501"/>
      <c r="O82" s="379"/>
      <c r="P82" s="338"/>
      <c r="Q82" s="373"/>
      <c r="R82" s="501"/>
      <c r="S82" s="304"/>
      <c r="T82" s="501"/>
      <c r="U82" s="345"/>
      <c r="V82" s="119"/>
      <c r="W82" s="345"/>
      <c r="X82" s="145"/>
      <c r="Y82" s="145"/>
      <c r="Z82" s="145"/>
      <c r="AA82" s="145"/>
      <c r="AB82" s="542" t="s">
        <v>101</v>
      </c>
      <c r="AC82" s="538" t="s">
        <v>102</v>
      </c>
      <c r="AD82" s="538" t="s">
        <v>103</v>
      </c>
      <c r="AE82" s="538" t="s">
        <v>104</v>
      </c>
      <c r="AF82" s="538" t="s">
        <v>105</v>
      </c>
      <c r="AG82" s="538" t="s">
        <v>106</v>
      </c>
      <c r="AH82" s="538" t="s">
        <v>107</v>
      </c>
    </row>
    <row r="83" spans="1:34" ht="12.6" customHeight="1" x14ac:dyDescent="0.25">
      <c r="A83" s="20"/>
      <c r="B83" s="712" t="s">
        <v>108</v>
      </c>
      <c r="C83" s="699"/>
      <c r="D83" s="699"/>
      <c r="E83" s="771"/>
      <c r="F83" s="781"/>
      <c r="G83" s="782"/>
      <c r="H83" s="782"/>
      <c r="I83" s="782"/>
      <c r="J83" s="310"/>
      <c r="K83" s="335"/>
      <c r="L83" s="367"/>
      <c r="M83" s="346"/>
      <c r="N83" s="495"/>
      <c r="O83" s="378"/>
      <c r="P83" s="337"/>
      <c r="Q83" s="413"/>
      <c r="R83" s="495"/>
      <c r="S83" s="371"/>
      <c r="T83" s="495"/>
      <c r="U83" s="346"/>
      <c r="V83" s="495"/>
      <c r="W83" s="346"/>
      <c r="X83" s="787"/>
      <c r="Y83" s="788"/>
      <c r="Z83" s="788"/>
      <c r="AA83" s="201">
        <f>190*$X$1</f>
        <v>190</v>
      </c>
      <c r="AB83" s="542" t="s">
        <v>109</v>
      </c>
      <c r="AC83" s="538" t="s">
        <v>110</v>
      </c>
      <c r="AD83" s="538" t="s">
        <v>111</v>
      </c>
      <c r="AE83" s="538" t="s">
        <v>112</v>
      </c>
      <c r="AF83" s="538" t="s">
        <v>113</v>
      </c>
      <c r="AG83" s="543" t="s">
        <v>114</v>
      </c>
      <c r="AH83" s="538" t="s">
        <v>115</v>
      </c>
    </row>
    <row r="84" spans="1:34" ht="12.6" customHeight="1" x14ac:dyDescent="0.25">
      <c r="A84" s="20"/>
      <c r="B84" s="719" t="s">
        <v>116</v>
      </c>
      <c r="C84" s="720"/>
      <c r="D84" s="720"/>
      <c r="E84" s="772"/>
      <c r="F84" s="781"/>
      <c r="G84" s="782"/>
      <c r="H84" s="782"/>
      <c r="I84" s="782"/>
      <c r="J84" s="19"/>
      <c r="K84" s="341"/>
      <c r="L84" s="368"/>
      <c r="M84" s="345"/>
      <c r="N84" s="119"/>
      <c r="O84" s="379"/>
      <c r="P84" s="338"/>
      <c r="Q84" s="373"/>
      <c r="R84" s="119"/>
      <c r="S84" s="304"/>
      <c r="T84" s="119"/>
      <c r="U84" s="345"/>
      <c r="V84" s="119"/>
      <c r="W84" s="345"/>
      <c r="X84" s="787"/>
      <c r="Y84" s="788"/>
      <c r="Z84" s="788"/>
      <c r="AA84" s="201">
        <f>190*$X$1</f>
        <v>190</v>
      </c>
      <c r="AB84" s="542" t="s">
        <v>117</v>
      </c>
      <c r="AC84" s="544" t="s">
        <v>118</v>
      </c>
      <c r="AD84" s="544" t="s">
        <v>119</v>
      </c>
      <c r="AE84" s="544" t="s">
        <v>120</v>
      </c>
      <c r="AF84" s="544" t="s">
        <v>121</v>
      </c>
      <c r="AG84" s="32"/>
    </row>
    <row r="85" spans="1:34" ht="12.6" customHeight="1" x14ac:dyDescent="0.2">
      <c r="A85" s="20"/>
      <c r="B85" s="712" t="s">
        <v>122</v>
      </c>
      <c r="C85" s="699"/>
      <c r="D85" s="699"/>
      <c r="E85" s="771"/>
      <c r="F85" s="781"/>
      <c r="G85" s="782"/>
      <c r="H85" s="782"/>
      <c r="I85" s="782"/>
      <c r="J85" s="310"/>
      <c r="K85" s="335"/>
      <c r="L85" s="367"/>
      <c r="M85" s="346"/>
      <c r="N85" s="495"/>
      <c r="O85" s="378"/>
      <c r="P85" s="337"/>
      <c r="Q85" s="413"/>
      <c r="R85" s="495"/>
      <c r="S85" s="371"/>
      <c r="T85" s="495"/>
      <c r="U85" s="346"/>
      <c r="V85" s="495"/>
      <c r="W85" s="346"/>
      <c r="X85" s="162"/>
      <c r="Y85" s="162"/>
      <c r="Z85" s="162"/>
      <c r="AA85" s="162"/>
      <c r="AB85" s="33" t="s">
        <v>123</v>
      </c>
      <c r="AC85" s="538" t="s">
        <v>124</v>
      </c>
      <c r="AD85" s="538" t="s">
        <v>125</v>
      </c>
      <c r="AE85" s="538" t="s">
        <v>126</v>
      </c>
      <c r="AF85" s="538" t="s">
        <v>127</v>
      </c>
      <c r="AG85" s="538" t="s">
        <v>128</v>
      </c>
    </row>
    <row r="86" spans="1:34" ht="12.6" customHeight="1" x14ac:dyDescent="0.2">
      <c r="A86" s="20"/>
      <c r="B86" s="719" t="s">
        <v>129</v>
      </c>
      <c r="C86" s="720"/>
      <c r="D86" s="720"/>
      <c r="E86" s="772"/>
      <c r="F86" s="781"/>
      <c r="G86" s="782"/>
      <c r="H86" s="782"/>
      <c r="I86" s="782"/>
      <c r="J86" s="19"/>
      <c r="K86" s="341"/>
      <c r="L86" s="368"/>
      <c r="M86" s="345"/>
      <c r="N86" s="119"/>
      <c r="O86" s="379"/>
      <c r="P86" s="338"/>
      <c r="Q86" s="373"/>
      <c r="R86" s="119"/>
      <c r="S86" s="304"/>
      <c r="T86" s="119"/>
      <c r="U86" s="345"/>
      <c r="V86" s="119"/>
      <c r="W86" s="345"/>
      <c r="X86" s="162"/>
      <c r="Y86" s="162"/>
      <c r="Z86" s="162"/>
      <c r="AA86" s="162"/>
      <c r="AB86" s="33" t="s">
        <v>130</v>
      </c>
      <c r="AC86" s="544" t="s">
        <v>131</v>
      </c>
      <c r="AD86" s="544" t="s">
        <v>132</v>
      </c>
      <c r="AE86" s="544" t="s">
        <v>133</v>
      </c>
    </row>
    <row r="87" spans="1:34" ht="12.6" customHeight="1" x14ac:dyDescent="0.25">
      <c r="A87" s="20"/>
      <c r="B87" s="712" t="s">
        <v>134</v>
      </c>
      <c r="C87" s="699"/>
      <c r="D87" s="699"/>
      <c r="E87" s="771"/>
      <c r="F87" s="781"/>
      <c r="G87" s="782"/>
      <c r="H87" s="782"/>
      <c r="I87" s="782"/>
      <c r="J87" s="310"/>
      <c r="K87" s="335"/>
      <c r="L87" s="367"/>
      <c r="M87" s="346"/>
      <c r="N87" s="495"/>
      <c r="O87" s="378"/>
      <c r="P87" s="337"/>
      <c r="Q87" s="413"/>
      <c r="R87" s="495"/>
      <c r="S87" s="371"/>
      <c r="T87" s="495"/>
      <c r="U87" s="346"/>
      <c r="V87" s="495"/>
      <c r="W87" s="346"/>
      <c r="X87" s="787"/>
      <c r="Y87" s="788"/>
      <c r="Z87" s="788"/>
      <c r="AA87" s="201">
        <f>190*$X$1</f>
        <v>190</v>
      </c>
      <c r="AB87" s="33" t="s">
        <v>135</v>
      </c>
      <c r="AC87" s="538" t="s">
        <v>136</v>
      </c>
      <c r="AD87" s="538" t="s">
        <v>137</v>
      </c>
      <c r="AE87" s="538" t="s">
        <v>138</v>
      </c>
      <c r="AF87" s="538" t="s">
        <v>139</v>
      </c>
      <c r="AG87" s="538" t="s">
        <v>140</v>
      </c>
      <c r="AH87" s="538" t="s">
        <v>141</v>
      </c>
    </row>
    <row r="88" spans="1:34" ht="12.6" customHeight="1" x14ac:dyDescent="0.25">
      <c r="A88" s="20"/>
      <c r="B88" s="719" t="s">
        <v>142</v>
      </c>
      <c r="C88" s="720"/>
      <c r="D88" s="720"/>
      <c r="E88" s="772"/>
      <c r="F88" s="781"/>
      <c r="G88" s="782"/>
      <c r="H88" s="782"/>
      <c r="I88" s="782"/>
      <c r="J88" s="19"/>
      <c r="K88" s="341"/>
      <c r="L88" s="368"/>
      <c r="M88" s="345"/>
      <c r="N88" s="119"/>
      <c r="O88" s="379"/>
      <c r="P88" s="338"/>
      <c r="Q88" s="373"/>
      <c r="R88" s="119"/>
      <c r="S88" s="304"/>
      <c r="T88" s="119"/>
      <c r="U88" s="345"/>
      <c r="V88" s="119"/>
      <c r="W88" s="345"/>
      <c r="X88" s="787"/>
      <c r="Y88" s="788"/>
      <c r="Z88" s="788"/>
      <c r="AA88" s="201">
        <f>3600*$X$1</f>
        <v>3600</v>
      </c>
      <c r="AB88" s="540" t="s">
        <v>143</v>
      </c>
      <c r="AC88" s="68"/>
      <c r="AD88" s="68"/>
      <c r="AE88" s="68"/>
      <c r="AF88" s="68"/>
      <c r="AG88" s="68"/>
    </row>
    <row r="89" spans="1:34" ht="12.6" customHeight="1" x14ac:dyDescent="0.2">
      <c r="A89" s="20"/>
      <c r="B89" s="712" t="s">
        <v>144</v>
      </c>
      <c r="C89" s="699"/>
      <c r="D89" s="699"/>
      <c r="E89" s="771"/>
      <c r="F89" s="781"/>
      <c r="G89" s="782"/>
      <c r="H89" s="782"/>
      <c r="I89" s="782"/>
      <c r="J89" s="310"/>
      <c r="K89" s="335"/>
      <c r="L89" s="367"/>
      <c r="M89" s="346"/>
      <c r="N89" s="495"/>
      <c r="O89" s="378"/>
      <c r="P89" s="337"/>
      <c r="Q89" s="413"/>
      <c r="R89" s="495"/>
      <c r="S89" s="371"/>
      <c r="T89" s="495"/>
      <c r="U89" s="346"/>
      <c r="V89" s="495"/>
      <c r="W89" s="346"/>
      <c r="X89" s="161"/>
      <c r="Y89" s="161"/>
      <c r="Z89" s="161"/>
      <c r="AA89" s="161"/>
      <c r="AB89" s="538" t="s">
        <v>145</v>
      </c>
      <c r="AC89" s="68"/>
      <c r="AD89" s="68"/>
      <c r="AE89" s="68"/>
      <c r="AF89" s="68"/>
      <c r="AG89" s="68"/>
    </row>
    <row r="90" spans="1:34" ht="12.6" customHeight="1" x14ac:dyDescent="0.2">
      <c r="A90" s="20"/>
      <c r="B90" s="719" t="s">
        <v>146</v>
      </c>
      <c r="C90" s="720"/>
      <c r="D90" s="720"/>
      <c r="E90" s="772"/>
      <c r="F90" s="781"/>
      <c r="G90" s="782"/>
      <c r="H90" s="782"/>
      <c r="I90" s="782"/>
      <c r="J90" s="19"/>
      <c r="K90" s="341"/>
      <c r="L90" s="368"/>
      <c r="M90" s="345"/>
      <c r="N90" s="119"/>
      <c r="O90" s="379"/>
      <c r="P90" s="338"/>
      <c r="Q90" s="379"/>
      <c r="R90" s="119"/>
      <c r="S90" s="379"/>
      <c r="T90" s="119"/>
      <c r="U90" s="345"/>
      <c r="V90" s="119"/>
      <c r="W90" s="345"/>
      <c r="X90" s="161"/>
      <c r="Y90" s="161"/>
      <c r="Z90" s="161"/>
      <c r="AA90" s="161"/>
      <c r="AB90" s="538" t="s">
        <v>147</v>
      </c>
      <c r="AC90" s="68"/>
      <c r="AD90" s="68"/>
      <c r="AE90" s="68"/>
      <c r="AF90" s="68"/>
      <c r="AG90" s="68"/>
    </row>
    <row r="91" spans="1:34" ht="12.6" customHeight="1" x14ac:dyDescent="0.2">
      <c r="A91" s="20"/>
      <c r="B91" s="712" t="s">
        <v>148</v>
      </c>
      <c r="C91" s="699"/>
      <c r="D91" s="699"/>
      <c r="E91" s="771"/>
      <c r="F91" s="783"/>
      <c r="G91" s="784"/>
      <c r="H91" s="784"/>
      <c r="I91" s="784"/>
      <c r="J91" s="310"/>
      <c r="K91" s="335"/>
      <c r="L91" s="367"/>
      <c r="M91" s="346"/>
      <c r="N91" s="495"/>
      <c r="O91" s="434"/>
      <c r="P91" s="337"/>
      <c r="Q91" s="413"/>
      <c r="R91" s="99"/>
      <c r="S91" s="427"/>
      <c r="T91" s="495"/>
      <c r="U91" s="346"/>
      <c r="V91" s="495"/>
      <c r="W91" s="346"/>
      <c r="X91" s="141"/>
      <c r="Y91" s="141"/>
      <c r="Z91" s="141"/>
      <c r="AA91" s="141"/>
      <c r="AB91" s="541" t="s">
        <v>149</v>
      </c>
      <c r="AC91" s="538" t="s">
        <v>150</v>
      </c>
      <c r="AD91" s="538" t="s">
        <v>151</v>
      </c>
      <c r="AE91" s="538" t="s">
        <v>152</v>
      </c>
      <c r="AF91" s="538" t="s">
        <v>153</v>
      </c>
      <c r="AG91" s="538" t="s">
        <v>154</v>
      </c>
    </row>
    <row r="92" spans="1:34" ht="12.6" customHeight="1" x14ac:dyDescent="0.2">
      <c r="A92" s="20"/>
      <c r="B92" s="719" t="s">
        <v>594</v>
      </c>
      <c r="C92" s="720"/>
      <c r="D92" s="720"/>
      <c r="E92" s="720"/>
      <c r="F92" s="443"/>
      <c r="G92" s="373"/>
      <c r="H92" s="75"/>
      <c r="I92" s="401"/>
      <c r="J92" s="383"/>
      <c r="K92" s="345"/>
      <c r="L92" s="383"/>
      <c r="M92" s="345"/>
      <c r="N92" s="383"/>
      <c r="O92" s="345"/>
      <c r="P92" s="383"/>
      <c r="Q92" s="345"/>
      <c r="R92" s="383"/>
      <c r="S92" s="345"/>
      <c r="T92" s="383"/>
      <c r="U92" s="345"/>
      <c r="V92" s="383"/>
      <c r="W92" s="345"/>
      <c r="X92" s="173"/>
      <c r="Y92" s="145"/>
      <c r="Z92" s="145"/>
      <c r="AA92" s="148"/>
      <c r="AB92" s="172"/>
    </row>
    <row r="93" spans="1:34" ht="12.6" customHeight="1" x14ac:dyDescent="0.2">
      <c r="A93" s="20"/>
      <c r="B93" s="712" t="s">
        <v>554</v>
      </c>
      <c r="C93" s="699"/>
      <c r="D93" s="699"/>
      <c r="E93" s="699"/>
      <c r="F93" s="346"/>
      <c r="G93" s="413"/>
      <c r="H93" s="310"/>
      <c r="I93" s="351"/>
      <c r="J93" s="464"/>
      <c r="K93" s="346"/>
      <c r="L93" s="495"/>
      <c r="M93" s="346"/>
      <c r="N93" s="495"/>
      <c r="O93" s="346"/>
      <c r="P93" s="495"/>
      <c r="Q93" s="346"/>
      <c r="R93" s="495"/>
      <c r="S93" s="346"/>
      <c r="T93" s="495"/>
      <c r="U93" s="346"/>
      <c r="V93" s="93"/>
      <c r="W93" s="422"/>
      <c r="X93" s="173"/>
      <c r="Y93" s="145"/>
      <c r="Z93" s="145"/>
      <c r="AA93" s="148"/>
      <c r="AB93" s="539">
        <v>117</v>
      </c>
    </row>
    <row r="94" spans="1:34" ht="12.6" customHeight="1" x14ac:dyDescent="0.2">
      <c r="A94" s="20"/>
      <c r="B94" s="714" t="s">
        <v>576</v>
      </c>
      <c r="C94" s="717"/>
      <c r="D94" s="717"/>
      <c r="E94" s="718"/>
      <c r="F94" s="345"/>
      <c r="G94" s="373"/>
      <c r="H94" s="313"/>
      <c r="I94" s="336"/>
      <c r="J94" s="383"/>
      <c r="K94" s="345"/>
      <c r="L94" s="383"/>
      <c r="M94" s="345"/>
      <c r="N94" s="383"/>
      <c r="O94" s="345"/>
      <c r="P94" s="383"/>
      <c r="Q94" s="345"/>
      <c r="R94" s="383"/>
      <c r="S94" s="345"/>
      <c r="T94" s="383"/>
      <c r="U94" s="345"/>
      <c r="V94" s="75"/>
      <c r="W94" s="423"/>
      <c r="X94" s="173"/>
      <c r="Y94" s="145"/>
      <c r="Z94" s="145"/>
      <c r="AA94" s="148"/>
      <c r="AB94" s="539"/>
    </row>
    <row r="95" spans="1:34" ht="12.6" customHeight="1" x14ac:dyDescent="0.2">
      <c r="A95" s="20"/>
      <c r="B95" s="712" t="s">
        <v>555</v>
      </c>
      <c r="C95" s="699"/>
      <c r="D95" s="699"/>
      <c r="E95" s="699"/>
      <c r="F95" s="346"/>
      <c r="G95" s="413"/>
      <c r="H95" s="310"/>
      <c r="I95" s="335"/>
      <c r="J95" s="464"/>
      <c r="K95" s="346"/>
      <c r="L95" s="477"/>
      <c r="M95" s="346"/>
      <c r="N95" s="477"/>
      <c r="O95" s="346"/>
      <c r="P95" s="477"/>
      <c r="Q95" s="346"/>
      <c r="R95" s="477"/>
      <c r="S95" s="346"/>
      <c r="T95" s="477"/>
      <c r="U95" s="346"/>
      <c r="V95" s="93"/>
      <c r="W95" s="422"/>
      <c r="X95" s="173"/>
      <c r="Y95" s="145"/>
      <c r="Z95" s="145"/>
      <c r="AA95" s="148"/>
      <c r="AB95" s="539">
        <v>129</v>
      </c>
    </row>
    <row r="96" spans="1:34" ht="12.6" customHeight="1" x14ac:dyDescent="0.2">
      <c r="A96" s="111"/>
      <c r="B96" s="726" t="s">
        <v>457</v>
      </c>
      <c r="C96" s="952"/>
      <c r="D96" s="952"/>
      <c r="E96" s="952"/>
      <c r="F96" s="411">
        <v>480</v>
      </c>
      <c r="G96" s="444">
        <f t="shared" ref="G96:G101" si="166">+F96*$X$1</f>
        <v>480</v>
      </c>
      <c r="H96" s="311"/>
      <c r="I96" s="342"/>
      <c r="J96" s="275">
        <f t="shared" ref="J96:J104" si="167">F96+120</f>
        <v>600</v>
      </c>
      <c r="K96" s="479">
        <f>+J96*$X$1</f>
        <v>600</v>
      </c>
      <c r="L96" s="122">
        <f>F96+74</f>
        <v>554</v>
      </c>
      <c r="M96" s="479">
        <f t="shared" ref="M96:M97" si="168">+L96*$X$1</f>
        <v>554</v>
      </c>
      <c r="N96" s="110">
        <f>F96+7.2</f>
        <v>487.2</v>
      </c>
      <c r="O96" s="837" t="s">
        <v>155</v>
      </c>
      <c r="P96" s="838"/>
      <c r="Q96" s="838"/>
      <c r="R96" s="838"/>
      <c r="S96" s="838"/>
      <c r="T96" s="838"/>
      <c r="U96" s="838"/>
      <c r="V96" s="838"/>
      <c r="W96" s="838"/>
      <c r="X96" s="174"/>
      <c r="Y96" s="145"/>
      <c r="Z96" s="145"/>
      <c r="AA96" s="148"/>
      <c r="AB96" s="545">
        <v>247</v>
      </c>
    </row>
    <row r="97" spans="1:30" ht="12.6" customHeight="1" x14ac:dyDescent="0.2">
      <c r="A97" s="101"/>
      <c r="B97" s="774" t="s">
        <v>595</v>
      </c>
      <c r="C97" s="775"/>
      <c r="D97" s="775"/>
      <c r="E97" s="776"/>
      <c r="F97" s="482">
        <f>2.631*X2</f>
        <v>2420.52</v>
      </c>
      <c r="G97" s="378">
        <f>+F97*$X$1</f>
        <v>2420.52</v>
      </c>
      <c r="H97" s="335"/>
      <c r="I97" s="335"/>
      <c r="J97" s="93">
        <f t="shared" si="167"/>
        <v>2540.52</v>
      </c>
      <c r="K97" s="346">
        <f t="shared" ref="K97" si="169">+J97*$X$1</f>
        <v>2540.52</v>
      </c>
      <c r="L97" s="600">
        <f>F97+74</f>
        <v>2494.52</v>
      </c>
      <c r="M97" s="346">
        <f t="shared" si="168"/>
        <v>2494.52</v>
      </c>
      <c r="N97" s="600">
        <f>F97+46</f>
        <v>2466.52</v>
      </c>
      <c r="O97" s="346">
        <f t="shared" ref="O97" si="170">+N97*$X$1</f>
        <v>2466.52</v>
      </c>
      <c r="P97" s="600">
        <f>F97+42</f>
        <v>2462.52</v>
      </c>
      <c r="Q97" s="346">
        <f t="shared" ref="Q97" si="171">+P97*$X$1</f>
        <v>2462.52</v>
      </c>
      <c r="R97" s="600">
        <f>F97+35</f>
        <v>2455.52</v>
      </c>
      <c r="S97" s="346">
        <f t="shared" ref="S97" si="172">+R97*$X$1</f>
        <v>2455.52</v>
      </c>
      <c r="T97" s="600">
        <f>F97+29</f>
        <v>2449.52</v>
      </c>
      <c r="U97" s="346">
        <f t="shared" ref="U97" si="173">+T97*$X$1</f>
        <v>2449.52</v>
      </c>
      <c r="V97" s="600">
        <f>F97+24</f>
        <v>2444.52</v>
      </c>
      <c r="W97" s="346">
        <f t="shared" ref="W97" si="174">+V97*$X$1</f>
        <v>2444.52</v>
      </c>
      <c r="X97" s="174"/>
      <c r="Y97" s="145"/>
      <c r="Z97" s="145"/>
      <c r="AA97" s="148"/>
      <c r="AB97" s="545">
        <v>249</v>
      </c>
    </row>
    <row r="98" spans="1:30" ht="12.6" customHeight="1" x14ac:dyDescent="0.2">
      <c r="A98" s="111"/>
      <c r="B98" s="943" t="s">
        <v>456</v>
      </c>
      <c r="C98" s="910"/>
      <c r="D98" s="910"/>
      <c r="E98" s="910"/>
      <c r="F98" s="410">
        <v>40</v>
      </c>
      <c r="G98" s="445">
        <f t="shared" si="166"/>
        <v>40</v>
      </c>
      <c r="H98" s="350"/>
      <c r="I98" s="350"/>
      <c r="J98" s="109">
        <f t="shared" si="167"/>
        <v>160</v>
      </c>
      <c r="K98" s="410">
        <f t="shared" ref="K98" si="175">+J98*$X$1</f>
        <v>160</v>
      </c>
      <c r="L98" s="601">
        <f>F98+74</f>
        <v>114</v>
      </c>
      <c r="M98" s="410">
        <f t="shared" ref="M98" si="176">+L98*$X$1</f>
        <v>114</v>
      </c>
      <c r="N98" s="601">
        <f>F98+46</f>
        <v>86</v>
      </c>
      <c r="O98" s="410">
        <f t="shared" ref="O98" si="177">+N98*$X$1</f>
        <v>86</v>
      </c>
      <c r="P98" s="601">
        <f>F98+42</f>
        <v>82</v>
      </c>
      <c r="Q98" s="410">
        <f t="shared" ref="Q98" si="178">+P98*$X$1</f>
        <v>82</v>
      </c>
      <c r="R98" s="601">
        <f>F98+35</f>
        <v>75</v>
      </c>
      <c r="S98" s="410">
        <f t="shared" ref="S98" si="179">+R98*$X$1</f>
        <v>75</v>
      </c>
      <c r="T98" s="601">
        <f>F98+29</f>
        <v>69</v>
      </c>
      <c r="U98" s="410">
        <f t="shared" ref="U98" si="180">+T98*$X$1</f>
        <v>69</v>
      </c>
      <c r="V98" s="601">
        <f>F98+24</f>
        <v>64</v>
      </c>
      <c r="W98" s="410">
        <f t="shared" ref="W98" si="181">+V98*$X$1</f>
        <v>64</v>
      </c>
      <c r="X98" s="175"/>
      <c r="Y98" s="145"/>
      <c r="Z98" s="145"/>
      <c r="AA98" s="148"/>
      <c r="AB98" s="546">
        <v>251</v>
      </c>
    </row>
    <row r="99" spans="1:30" ht="12.6" customHeight="1" x14ac:dyDescent="0.2">
      <c r="A99" s="20"/>
      <c r="B99" s="719" t="s">
        <v>419</v>
      </c>
      <c r="C99" s="720"/>
      <c r="D99" s="720"/>
      <c r="E99" s="720"/>
      <c r="F99" s="345">
        <v>690</v>
      </c>
      <c r="G99" s="345">
        <f t="shared" si="166"/>
        <v>690</v>
      </c>
      <c r="H99" s="336"/>
      <c r="I99" s="336"/>
      <c r="J99" s="124">
        <f t="shared" si="167"/>
        <v>810</v>
      </c>
      <c r="K99" s="345">
        <f t="shared" ref="K99:K100" si="182">+J99*$X$1</f>
        <v>810</v>
      </c>
      <c r="L99" s="383"/>
      <c r="M99" s="383"/>
      <c r="N99" s="383">
        <f>F99+23</f>
        <v>713</v>
      </c>
      <c r="O99" s="383"/>
      <c r="P99" s="336"/>
      <c r="Q99" s="336"/>
      <c r="R99" s="383">
        <f>F99+15</f>
        <v>705</v>
      </c>
      <c r="S99" s="383"/>
      <c r="T99" s="383">
        <f>F99+12</f>
        <v>702</v>
      </c>
      <c r="U99" s="383"/>
      <c r="V99" s="383">
        <f>F99+10</f>
        <v>700</v>
      </c>
      <c r="W99" s="383"/>
      <c r="X99" s="175"/>
      <c r="Y99" s="145"/>
      <c r="Z99" s="145"/>
      <c r="AA99" s="148"/>
      <c r="AB99" s="546" t="s">
        <v>156</v>
      </c>
    </row>
    <row r="100" spans="1:30" ht="12.6" customHeight="1" x14ac:dyDescent="0.2">
      <c r="A100" s="20"/>
      <c r="B100" s="774" t="s">
        <v>583</v>
      </c>
      <c r="C100" s="917"/>
      <c r="D100" s="917"/>
      <c r="E100" s="918"/>
      <c r="F100" s="482">
        <f>12.097*X2</f>
        <v>11129.24</v>
      </c>
      <c r="G100" s="346">
        <f t="shared" si="166"/>
        <v>11129.24</v>
      </c>
      <c r="H100" s="93">
        <f>F100+290</f>
        <v>11419.24</v>
      </c>
      <c r="I100" s="346">
        <f>+H100*$X$1</f>
        <v>11419.24</v>
      </c>
      <c r="J100" s="93">
        <f t="shared" si="167"/>
        <v>11249.24</v>
      </c>
      <c r="K100" s="346">
        <f t="shared" si="182"/>
        <v>11249.24</v>
      </c>
      <c r="L100" s="600">
        <f>F100+74</f>
        <v>11203.24</v>
      </c>
      <c r="M100" s="346">
        <f t="shared" ref="M100" si="183">+L100*$X$1</f>
        <v>11203.24</v>
      </c>
      <c r="N100" s="600">
        <f>F100+46</f>
        <v>11175.24</v>
      </c>
      <c r="O100" s="346">
        <f t="shared" ref="O100" si="184">+N100*$X$1</f>
        <v>11175.24</v>
      </c>
      <c r="P100" s="600">
        <f>F100+42</f>
        <v>11171.24</v>
      </c>
      <c r="Q100" s="346">
        <f t="shared" ref="Q100" si="185">+P100*$X$1</f>
        <v>11171.24</v>
      </c>
      <c r="R100" s="600">
        <f>F100+35</f>
        <v>11164.24</v>
      </c>
      <c r="S100" s="346">
        <f t="shared" ref="S100" si="186">+R100*$X$1</f>
        <v>11164.24</v>
      </c>
      <c r="T100" s="600">
        <f>F100+29</f>
        <v>11158.24</v>
      </c>
      <c r="U100" s="346">
        <f t="shared" ref="U100" si="187">+T100*$X$1</f>
        <v>11158.24</v>
      </c>
      <c r="V100" s="600">
        <f>F100+24</f>
        <v>11153.24</v>
      </c>
      <c r="W100" s="346">
        <f t="shared" ref="W100" si="188">+V100*$X$1</f>
        <v>11153.24</v>
      </c>
      <c r="X100" s="176"/>
      <c r="Y100" s="145"/>
      <c r="Z100" s="145"/>
      <c r="AA100" s="148"/>
      <c r="AB100" s="546">
        <v>268</v>
      </c>
    </row>
    <row r="101" spans="1:30" ht="12.6" customHeight="1" x14ac:dyDescent="0.2">
      <c r="A101" s="20"/>
      <c r="B101" s="719" t="s">
        <v>791</v>
      </c>
      <c r="C101" s="720"/>
      <c r="D101" s="720"/>
      <c r="E101" s="720"/>
      <c r="F101" s="481">
        <f>4.502*X2</f>
        <v>4141.84</v>
      </c>
      <c r="G101" s="345">
        <f t="shared" si="166"/>
        <v>4141.84</v>
      </c>
      <c r="H101" s="75">
        <f>F101+290</f>
        <v>4431.84</v>
      </c>
      <c r="I101" s="345">
        <f>+H101*$X$1</f>
        <v>4431.84</v>
      </c>
      <c r="J101" s="75">
        <f t="shared" si="167"/>
        <v>4261.84</v>
      </c>
      <c r="K101" s="345">
        <f t="shared" ref="K101:K104" si="189">+J101*$X$1</f>
        <v>4261.84</v>
      </c>
      <c r="L101" s="383">
        <f>F101+74</f>
        <v>4215.84</v>
      </c>
      <c r="M101" s="345">
        <f t="shared" ref="M101:M104" si="190">+L101*$X$1</f>
        <v>4215.84</v>
      </c>
      <c r="N101" s="383">
        <f>F101+46</f>
        <v>4187.84</v>
      </c>
      <c r="O101" s="345">
        <f t="shared" ref="O101:O104" si="191">+N101*$X$1</f>
        <v>4187.84</v>
      </c>
      <c r="P101" s="383">
        <f>F101+42</f>
        <v>4183.84</v>
      </c>
      <c r="Q101" s="345">
        <f t="shared" ref="Q101:Q104" si="192">+P101*$X$1</f>
        <v>4183.84</v>
      </c>
      <c r="R101" s="383">
        <f>F101+35</f>
        <v>4176.84</v>
      </c>
      <c r="S101" s="345">
        <f t="shared" ref="S101:S104" si="193">+R101*$X$1</f>
        <v>4176.84</v>
      </c>
      <c r="T101" s="383">
        <f>F101+29</f>
        <v>4170.84</v>
      </c>
      <c r="U101" s="345">
        <f t="shared" ref="U101:U104" si="194">+T101*$X$1</f>
        <v>4170.84</v>
      </c>
      <c r="V101" s="383">
        <f>F101+24</f>
        <v>4165.84</v>
      </c>
      <c r="W101" s="345">
        <f t="shared" ref="W101:W104" si="195">+V101*$X$1</f>
        <v>4165.84</v>
      </c>
      <c r="X101" s="176"/>
      <c r="Y101" s="149"/>
      <c r="Z101" s="145"/>
      <c r="AA101" s="148"/>
      <c r="AB101" s="546">
        <v>270</v>
      </c>
      <c r="AC101" s="32"/>
    </row>
    <row r="102" spans="1:30" ht="12.6" customHeight="1" x14ac:dyDescent="0.2">
      <c r="A102" s="20"/>
      <c r="B102" s="712" t="s">
        <v>157</v>
      </c>
      <c r="C102" s="699"/>
      <c r="D102" s="699"/>
      <c r="E102" s="699"/>
      <c r="F102" s="482">
        <f>14.042*X2</f>
        <v>12918.64</v>
      </c>
      <c r="G102" s="346">
        <f t="shared" ref="G102:G104" si="196">+F102*$X$1</f>
        <v>12918.64</v>
      </c>
      <c r="H102" s="93">
        <f>F102+290</f>
        <v>13208.64</v>
      </c>
      <c r="I102" s="346">
        <f>+H102*$X$1</f>
        <v>13208.64</v>
      </c>
      <c r="J102" s="93">
        <f t="shared" si="167"/>
        <v>13038.64</v>
      </c>
      <c r="K102" s="346">
        <f t="shared" si="189"/>
        <v>13038.64</v>
      </c>
      <c r="L102" s="600">
        <f>F102+74</f>
        <v>12992.64</v>
      </c>
      <c r="M102" s="346">
        <f t="shared" si="190"/>
        <v>12992.64</v>
      </c>
      <c r="N102" s="600">
        <f>F102+46</f>
        <v>12964.64</v>
      </c>
      <c r="O102" s="346">
        <f t="shared" si="191"/>
        <v>12964.64</v>
      </c>
      <c r="P102" s="600">
        <f>F102+42</f>
        <v>12960.64</v>
      </c>
      <c r="Q102" s="346">
        <f t="shared" si="192"/>
        <v>12960.64</v>
      </c>
      <c r="R102" s="600">
        <f>F102+35</f>
        <v>12953.64</v>
      </c>
      <c r="S102" s="346">
        <f t="shared" si="193"/>
        <v>12953.64</v>
      </c>
      <c r="T102" s="600">
        <f>F102+29</f>
        <v>12947.64</v>
      </c>
      <c r="U102" s="346">
        <f t="shared" si="194"/>
        <v>12947.64</v>
      </c>
      <c r="V102" s="600">
        <f>F102+24</f>
        <v>12942.64</v>
      </c>
      <c r="W102" s="346">
        <f t="shared" si="195"/>
        <v>12942.64</v>
      </c>
      <c r="X102" s="175"/>
      <c r="Y102" s="145"/>
      <c r="Z102" s="145"/>
      <c r="AA102" s="148"/>
      <c r="AB102" s="546">
        <v>273</v>
      </c>
      <c r="AC102" s="32"/>
    </row>
    <row r="103" spans="1:30" ht="12.6" customHeight="1" x14ac:dyDescent="0.2">
      <c r="A103" s="20"/>
      <c r="B103" s="719" t="s">
        <v>158</v>
      </c>
      <c r="C103" s="720"/>
      <c r="D103" s="720"/>
      <c r="E103" s="720"/>
      <c r="F103" s="481">
        <f>11.208*X2</f>
        <v>10311.36</v>
      </c>
      <c r="G103" s="345">
        <f t="shared" si="196"/>
        <v>10311.36</v>
      </c>
      <c r="H103" s="75">
        <f>F103+290</f>
        <v>10601.36</v>
      </c>
      <c r="I103" s="345">
        <f>+H103*$X$1</f>
        <v>10601.36</v>
      </c>
      <c r="J103" s="75">
        <f t="shared" si="167"/>
        <v>10431.36</v>
      </c>
      <c r="K103" s="345">
        <f t="shared" si="189"/>
        <v>10431.36</v>
      </c>
      <c r="L103" s="383">
        <f>F103+74</f>
        <v>10385.36</v>
      </c>
      <c r="M103" s="345">
        <f t="shared" si="190"/>
        <v>10385.36</v>
      </c>
      <c r="N103" s="383">
        <f>F103+46</f>
        <v>10357.36</v>
      </c>
      <c r="O103" s="345">
        <f t="shared" si="191"/>
        <v>10357.36</v>
      </c>
      <c r="P103" s="383">
        <f>F103+42</f>
        <v>10353.36</v>
      </c>
      <c r="Q103" s="345">
        <f t="shared" si="192"/>
        <v>10353.36</v>
      </c>
      <c r="R103" s="383">
        <f>F103+35</f>
        <v>10346.36</v>
      </c>
      <c r="S103" s="345">
        <f t="shared" si="193"/>
        <v>10346.36</v>
      </c>
      <c r="T103" s="383">
        <f>F103+29</f>
        <v>10340.36</v>
      </c>
      <c r="U103" s="345">
        <f t="shared" si="194"/>
        <v>10340.36</v>
      </c>
      <c r="V103" s="383">
        <f>F103+24</f>
        <v>10335.36</v>
      </c>
      <c r="W103" s="345">
        <f t="shared" si="195"/>
        <v>10335.36</v>
      </c>
      <c r="X103" s="176"/>
      <c r="Y103" s="149"/>
      <c r="Z103" s="145"/>
      <c r="AA103" s="148"/>
      <c r="AB103" s="546" t="s">
        <v>159</v>
      </c>
      <c r="AC103" s="32"/>
    </row>
    <row r="104" spans="1:30" ht="12.6" customHeight="1" x14ac:dyDescent="0.2">
      <c r="A104" s="20"/>
      <c r="B104" s="712" t="s">
        <v>160</v>
      </c>
      <c r="C104" s="699"/>
      <c r="D104" s="699"/>
      <c r="E104" s="699"/>
      <c r="F104" s="482">
        <f>8.73*X2</f>
        <v>8031.6</v>
      </c>
      <c r="G104" s="346">
        <f t="shared" si="196"/>
        <v>8031.6</v>
      </c>
      <c r="H104" s="93">
        <f>F104+290</f>
        <v>8321.6</v>
      </c>
      <c r="I104" s="346">
        <f>+H104*$X$1</f>
        <v>8321.6</v>
      </c>
      <c r="J104" s="93">
        <f t="shared" si="167"/>
        <v>8151.6</v>
      </c>
      <c r="K104" s="346">
        <f t="shared" si="189"/>
        <v>8151.6</v>
      </c>
      <c r="L104" s="600">
        <f>F104+74</f>
        <v>8105.6</v>
      </c>
      <c r="M104" s="346">
        <f t="shared" si="190"/>
        <v>8105.6</v>
      </c>
      <c r="N104" s="600">
        <f>F104+46</f>
        <v>8077.6</v>
      </c>
      <c r="O104" s="346">
        <f t="shared" si="191"/>
        <v>8077.6</v>
      </c>
      <c r="P104" s="600">
        <f>F104+42</f>
        <v>8073.6</v>
      </c>
      <c r="Q104" s="346">
        <f t="shared" si="192"/>
        <v>8073.6</v>
      </c>
      <c r="R104" s="600">
        <f>F104+35</f>
        <v>8066.6</v>
      </c>
      <c r="S104" s="346">
        <f t="shared" si="193"/>
        <v>8066.6</v>
      </c>
      <c r="T104" s="600">
        <f>F104+29</f>
        <v>8060.6</v>
      </c>
      <c r="U104" s="346">
        <f t="shared" si="194"/>
        <v>8060.6</v>
      </c>
      <c r="V104" s="600">
        <f>F104+24</f>
        <v>8055.6</v>
      </c>
      <c r="W104" s="346">
        <f t="shared" si="195"/>
        <v>8055.6</v>
      </c>
      <c r="X104" s="176"/>
      <c r="Y104" s="149"/>
      <c r="Z104" s="145"/>
      <c r="AA104" s="148"/>
      <c r="AB104" s="546">
        <v>278</v>
      </c>
      <c r="AC104" s="32"/>
    </row>
    <row r="105" spans="1:30" ht="12.6" customHeight="1" x14ac:dyDescent="0.2">
      <c r="A105" s="20"/>
      <c r="B105" s="719" t="s">
        <v>161</v>
      </c>
      <c r="C105" s="720"/>
      <c r="D105" s="720"/>
      <c r="E105" s="720"/>
      <c r="F105" s="481"/>
      <c r="G105" s="345"/>
      <c r="H105" s="75"/>
      <c r="I105" s="345"/>
      <c r="J105" s="75"/>
      <c r="K105" s="345"/>
      <c r="L105" s="383"/>
      <c r="M105" s="345"/>
      <c r="N105" s="383"/>
      <c r="O105" s="345"/>
      <c r="P105" s="383"/>
      <c r="Q105" s="345"/>
      <c r="R105" s="383"/>
      <c r="S105" s="345"/>
      <c r="T105" s="383"/>
      <c r="U105" s="345"/>
      <c r="V105" s="383"/>
      <c r="W105" s="345"/>
      <c r="X105" s="176"/>
      <c r="Y105" s="149"/>
      <c r="Z105" s="145"/>
      <c r="AA105" s="148"/>
      <c r="AB105" s="546">
        <v>279</v>
      </c>
      <c r="AC105" s="32"/>
    </row>
    <row r="106" spans="1:30" ht="12.6" customHeight="1" x14ac:dyDescent="0.2">
      <c r="A106" s="20"/>
      <c r="B106" s="1094" t="s">
        <v>162</v>
      </c>
      <c r="C106" s="1095"/>
      <c r="D106" s="1095"/>
      <c r="E106" s="1095"/>
      <c r="F106" s="482">
        <f>2.02*X2</f>
        <v>1858.4</v>
      </c>
      <c r="G106" s="346">
        <f>+F106*$X$1</f>
        <v>1858.4</v>
      </c>
      <c r="H106" s="93">
        <f>F106+250</f>
        <v>2108.4</v>
      </c>
      <c r="I106" s="346">
        <f>+H106*$X$1</f>
        <v>2108.4</v>
      </c>
      <c r="J106" s="93">
        <f>F106+115</f>
        <v>1973.4</v>
      </c>
      <c r="K106" s="346">
        <f t="shared" ref="K106" si="197">+J106*$X$1</f>
        <v>1973.4</v>
      </c>
      <c r="L106" s="600">
        <f>F106+72</f>
        <v>1930.4</v>
      </c>
      <c r="M106" s="346">
        <f t="shared" ref="M106:M107" si="198">+L106*$X$1</f>
        <v>1930.4</v>
      </c>
      <c r="N106" s="600">
        <f>F106+43</f>
        <v>1901.4</v>
      </c>
      <c r="O106" s="346">
        <f t="shared" ref="O106" si="199">+N106*$X$1</f>
        <v>1901.4</v>
      </c>
      <c r="P106" s="600">
        <f>F106+39</f>
        <v>1897.4</v>
      </c>
      <c r="Q106" s="346">
        <f t="shared" ref="Q106:Q107" si="200">+P106*$X$1</f>
        <v>1897.4</v>
      </c>
      <c r="R106" s="600">
        <f>F106+30</f>
        <v>1888.4</v>
      </c>
      <c r="S106" s="346">
        <f t="shared" ref="S106" si="201">+R106*$X$1</f>
        <v>1888.4</v>
      </c>
      <c r="T106" s="600">
        <f>F106+25</f>
        <v>1883.4</v>
      </c>
      <c r="U106" s="346">
        <f t="shared" ref="U106" si="202">+T106*$X$1</f>
        <v>1883.4</v>
      </c>
      <c r="V106" s="600">
        <f>F106+21</f>
        <v>1879.4</v>
      </c>
      <c r="W106" s="346">
        <f t="shared" ref="W106" si="203">+V106*$X$1</f>
        <v>1879.4</v>
      </c>
      <c r="X106" s="173"/>
      <c r="Y106" s="149"/>
      <c r="Z106" s="145"/>
      <c r="AA106" s="148"/>
      <c r="AB106" s="546">
        <v>288</v>
      </c>
      <c r="AC106" s="32"/>
    </row>
    <row r="107" spans="1:30" ht="12.6" customHeight="1" x14ac:dyDescent="0.2">
      <c r="A107" s="20"/>
      <c r="B107" s="719" t="s">
        <v>163</v>
      </c>
      <c r="C107" s="720"/>
      <c r="D107" s="720"/>
      <c r="E107" s="720"/>
      <c r="F107" s="345">
        <v>330</v>
      </c>
      <c r="G107" s="345">
        <f>+F107*$X$1</f>
        <v>330</v>
      </c>
      <c r="H107" s="336"/>
      <c r="I107" s="336"/>
      <c r="J107" s="75">
        <f>F107+120</f>
        <v>450</v>
      </c>
      <c r="K107" s="345">
        <f>+J107*$X$1</f>
        <v>450</v>
      </c>
      <c r="L107" s="383">
        <f>F107+75</f>
        <v>405</v>
      </c>
      <c r="M107" s="345">
        <f t="shared" si="198"/>
        <v>405</v>
      </c>
      <c r="N107" s="383">
        <f>F107+50</f>
        <v>380</v>
      </c>
      <c r="O107" s="345">
        <f>+N107*$X$1</f>
        <v>380</v>
      </c>
      <c r="P107" s="383">
        <f>F107+45</f>
        <v>375</v>
      </c>
      <c r="Q107" s="345">
        <f t="shared" si="200"/>
        <v>375</v>
      </c>
      <c r="R107" s="383">
        <f>F107+37</f>
        <v>367</v>
      </c>
      <c r="S107" s="345">
        <f>+R107*$X$1</f>
        <v>367</v>
      </c>
      <c r="T107" s="108">
        <f>F107+31</f>
        <v>361</v>
      </c>
      <c r="U107" s="304">
        <f>+T107*$X$1</f>
        <v>361</v>
      </c>
      <c r="V107" s="108">
        <f>F107+27</f>
        <v>357</v>
      </c>
      <c r="W107" s="304">
        <f>+V107*$X$1</f>
        <v>357</v>
      </c>
      <c r="X107" s="173"/>
      <c r="Y107" s="149"/>
      <c r="Z107" s="145"/>
      <c r="AA107" s="148"/>
      <c r="AB107" s="546">
        <v>289</v>
      </c>
      <c r="AC107" s="32"/>
    </row>
    <row r="108" spans="1:30" ht="12.6" customHeight="1" x14ac:dyDescent="0.2">
      <c r="A108" s="20"/>
      <c r="B108" s="712" t="s">
        <v>164</v>
      </c>
      <c r="C108" s="699"/>
      <c r="D108" s="699"/>
      <c r="E108" s="699"/>
      <c r="F108" s="346"/>
      <c r="G108" s="819" t="s">
        <v>693</v>
      </c>
      <c r="H108" s="820"/>
      <c r="I108" s="820"/>
      <c r="J108" s="820"/>
      <c r="K108" s="820"/>
      <c r="L108" s="820"/>
      <c r="M108" s="820"/>
      <c r="N108" s="820"/>
      <c r="O108" s="821"/>
      <c r="P108" s="337">
        <v>323</v>
      </c>
      <c r="Q108" s="346">
        <f t="shared" ref="Q108:Q112" si="204">+P108*$X$1</f>
        <v>323</v>
      </c>
      <c r="R108" s="123">
        <v>321</v>
      </c>
      <c r="S108" s="371">
        <f t="shared" ref="S108:S111" si="205">+R108*$X$1</f>
        <v>321</v>
      </c>
      <c r="T108" s="107">
        <v>314</v>
      </c>
      <c r="U108" s="371">
        <f t="shared" ref="U108:U111" si="206">+T108*$X$1</f>
        <v>314</v>
      </c>
      <c r="V108" s="107">
        <v>307</v>
      </c>
      <c r="W108" s="371">
        <f t="shared" ref="W108:W111" si="207">+V108*$X$1</f>
        <v>307</v>
      </c>
      <c r="X108" s="749"/>
      <c r="Y108" s="750"/>
      <c r="Z108" s="750"/>
      <c r="AA108" s="751"/>
      <c r="AB108" s="546">
        <v>290</v>
      </c>
    </row>
    <row r="109" spans="1:30" ht="12.6" customHeight="1" x14ac:dyDescent="0.2">
      <c r="A109" s="20"/>
      <c r="B109" s="719" t="s">
        <v>474</v>
      </c>
      <c r="C109" s="720"/>
      <c r="D109" s="720"/>
      <c r="E109" s="720"/>
      <c r="F109" s="345"/>
      <c r="G109" s="819" t="s">
        <v>694</v>
      </c>
      <c r="H109" s="820"/>
      <c r="I109" s="820"/>
      <c r="J109" s="820"/>
      <c r="K109" s="820"/>
      <c r="L109" s="820"/>
      <c r="M109" s="820"/>
      <c r="N109" s="820"/>
      <c r="O109" s="821"/>
      <c r="P109" s="338">
        <v>441</v>
      </c>
      <c r="Q109" s="345">
        <f t="shared" si="204"/>
        <v>441</v>
      </c>
      <c r="R109" s="531">
        <v>439</v>
      </c>
      <c r="S109" s="304">
        <f t="shared" si="205"/>
        <v>439</v>
      </c>
      <c r="T109" s="383">
        <v>431</v>
      </c>
      <c r="U109" s="304">
        <f t="shared" si="206"/>
        <v>431</v>
      </c>
      <c r="V109" s="383">
        <v>423</v>
      </c>
      <c r="W109" s="304">
        <f t="shared" si="207"/>
        <v>423</v>
      </c>
      <c r="X109" s="749"/>
      <c r="Y109" s="750"/>
      <c r="Z109" s="750"/>
      <c r="AA109" s="751"/>
      <c r="AB109" s="546" t="s">
        <v>165</v>
      </c>
    </row>
    <row r="110" spans="1:30" ht="12.6" customHeight="1" x14ac:dyDescent="0.2">
      <c r="A110" s="20"/>
      <c r="B110" s="712" t="s">
        <v>475</v>
      </c>
      <c r="C110" s="699"/>
      <c r="D110" s="699"/>
      <c r="E110" s="699"/>
      <c r="F110" s="346"/>
      <c r="G110" s="819" t="s">
        <v>695</v>
      </c>
      <c r="H110" s="820"/>
      <c r="I110" s="820"/>
      <c r="J110" s="820"/>
      <c r="K110" s="820"/>
      <c r="L110" s="820"/>
      <c r="M110" s="821"/>
      <c r="N110" s="337">
        <v>475</v>
      </c>
      <c r="O110" s="346">
        <f t="shared" ref="O110:O111" si="208">+N110*$X$1</f>
        <v>475</v>
      </c>
      <c r="P110" s="337">
        <v>396</v>
      </c>
      <c r="Q110" s="346">
        <f t="shared" si="204"/>
        <v>396</v>
      </c>
      <c r="R110" s="528">
        <v>394</v>
      </c>
      <c r="S110" s="371">
        <f t="shared" si="205"/>
        <v>394</v>
      </c>
      <c r="T110" s="527">
        <v>388</v>
      </c>
      <c r="U110" s="371">
        <f t="shared" si="206"/>
        <v>388</v>
      </c>
      <c r="V110" s="527">
        <v>320</v>
      </c>
      <c r="W110" s="371">
        <f t="shared" si="207"/>
        <v>320</v>
      </c>
      <c r="X110" s="749"/>
      <c r="Y110" s="750"/>
      <c r="Z110" s="750"/>
      <c r="AA110" s="751"/>
      <c r="AB110" s="546">
        <v>291</v>
      </c>
    </row>
    <row r="111" spans="1:30" ht="12.6" customHeight="1" x14ac:dyDescent="0.2">
      <c r="A111" s="20"/>
      <c r="B111" s="719" t="s">
        <v>476</v>
      </c>
      <c r="C111" s="720"/>
      <c r="D111" s="720"/>
      <c r="E111" s="720"/>
      <c r="F111" s="345"/>
      <c r="G111" s="819" t="s">
        <v>696</v>
      </c>
      <c r="H111" s="820"/>
      <c r="I111" s="820"/>
      <c r="J111" s="820"/>
      <c r="K111" s="820"/>
      <c r="L111" s="820"/>
      <c r="M111" s="821"/>
      <c r="N111" s="338">
        <v>685</v>
      </c>
      <c r="O111" s="345">
        <f t="shared" si="208"/>
        <v>685</v>
      </c>
      <c r="P111" s="338">
        <v>571</v>
      </c>
      <c r="Q111" s="345">
        <f t="shared" si="204"/>
        <v>571</v>
      </c>
      <c r="R111" s="531">
        <v>569</v>
      </c>
      <c r="S111" s="304">
        <f t="shared" si="205"/>
        <v>569</v>
      </c>
      <c r="T111" s="383">
        <v>563</v>
      </c>
      <c r="U111" s="304">
        <f t="shared" si="206"/>
        <v>563</v>
      </c>
      <c r="V111" s="383">
        <v>554</v>
      </c>
      <c r="W111" s="304">
        <f t="shared" si="207"/>
        <v>554</v>
      </c>
      <c r="X111" s="749"/>
      <c r="Y111" s="750"/>
      <c r="Z111" s="750"/>
      <c r="AA111" s="751"/>
      <c r="AB111" s="546" t="s">
        <v>166</v>
      </c>
    </row>
    <row r="112" spans="1:30" ht="12.6" customHeight="1" x14ac:dyDescent="0.2">
      <c r="A112" s="20"/>
      <c r="B112" s="712" t="s">
        <v>167</v>
      </c>
      <c r="C112" s="712"/>
      <c r="D112" s="712"/>
      <c r="E112" s="712"/>
      <c r="F112" s="676">
        <v>210</v>
      </c>
      <c r="G112" s="346">
        <f t="shared" ref="G112:G115" si="209">+F112*$X$1</f>
        <v>210</v>
      </c>
      <c r="H112" s="791" t="s">
        <v>473</v>
      </c>
      <c r="I112" s="792"/>
      <c r="J112" s="792"/>
      <c r="K112" s="792"/>
      <c r="L112" s="793"/>
      <c r="M112" s="794"/>
      <c r="N112" s="123">
        <f>F112+50</f>
        <v>260</v>
      </c>
      <c r="O112" s="388">
        <f>+N112*$X$1</f>
        <v>260</v>
      </c>
      <c r="P112" s="123">
        <f>F112+40</f>
        <v>250</v>
      </c>
      <c r="Q112" s="346">
        <f t="shared" si="204"/>
        <v>250</v>
      </c>
      <c r="R112" s="608">
        <f>F112+33</f>
        <v>243</v>
      </c>
      <c r="S112" s="371">
        <f>+R112*$X$1</f>
        <v>243</v>
      </c>
      <c r="T112" s="600">
        <f>F112+28</f>
        <v>238</v>
      </c>
      <c r="U112" s="371">
        <f>+T112*$X$1</f>
        <v>238</v>
      </c>
      <c r="V112" s="600">
        <f>F112+24</f>
        <v>234</v>
      </c>
      <c r="W112" s="371">
        <f>+V112*$X$1</f>
        <v>234</v>
      </c>
      <c r="X112" s="749"/>
      <c r="Y112" s="750"/>
      <c r="Z112" s="750"/>
      <c r="AA112" s="751"/>
      <c r="AB112" s="208">
        <v>296</v>
      </c>
      <c r="AD112" s="68"/>
    </row>
    <row r="113" spans="1:28" ht="12.6" customHeight="1" x14ac:dyDescent="0.2">
      <c r="A113" s="20"/>
      <c r="B113" s="719" t="s">
        <v>168</v>
      </c>
      <c r="C113" s="719"/>
      <c r="D113" s="719"/>
      <c r="E113" s="719"/>
      <c r="F113" s="677">
        <v>270</v>
      </c>
      <c r="G113" s="345">
        <f t="shared" si="209"/>
        <v>270</v>
      </c>
      <c r="H113" s="795"/>
      <c r="I113" s="796"/>
      <c r="J113" s="796"/>
      <c r="K113" s="796"/>
      <c r="L113" s="797"/>
      <c r="M113" s="798"/>
      <c r="N113" s="349">
        <f>F113+50</f>
        <v>320</v>
      </c>
      <c r="O113" s="372">
        <f>+N113*$X$1</f>
        <v>320</v>
      </c>
      <c r="P113" s="349">
        <f>F113+40</f>
        <v>310</v>
      </c>
      <c r="Q113" s="345">
        <f t="shared" ref="Q113" si="210">+P113*$X$1</f>
        <v>310</v>
      </c>
      <c r="R113" s="229">
        <f>F113+33</f>
        <v>303</v>
      </c>
      <c r="S113" s="304">
        <f>+R113*$X$1</f>
        <v>303</v>
      </c>
      <c r="T113" s="383">
        <f>F113+28</f>
        <v>298</v>
      </c>
      <c r="U113" s="304">
        <f>+T113*$X$1</f>
        <v>298</v>
      </c>
      <c r="V113" s="383">
        <f>F113+24</f>
        <v>294</v>
      </c>
      <c r="W113" s="304">
        <f>+V113*$X$1</f>
        <v>294</v>
      </c>
      <c r="X113" s="749"/>
      <c r="Y113" s="750"/>
      <c r="Z113" s="750"/>
      <c r="AA113" s="751"/>
      <c r="AB113" s="208">
        <v>297</v>
      </c>
    </row>
    <row r="114" spans="1:28" ht="12.6" customHeight="1" x14ac:dyDescent="0.2">
      <c r="A114" s="20"/>
      <c r="B114" s="799" t="s">
        <v>404</v>
      </c>
      <c r="C114" s="800"/>
      <c r="D114" s="800"/>
      <c r="E114" s="800"/>
      <c r="F114" s="388">
        <v>308</v>
      </c>
      <c r="G114" s="388">
        <f t="shared" si="209"/>
        <v>308</v>
      </c>
      <c r="H114" s="97"/>
      <c r="I114" s="830" t="s">
        <v>405</v>
      </c>
      <c r="J114" s="831"/>
      <c r="K114" s="831"/>
      <c r="L114" s="831"/>
      <c r="M114" s="831"/>
      <c r="N114" s="831"/>
      <c r="O114" s="831"/>
      <c r="P114" s="831"/>
      <c r="Q114" s="831"/>
      <c r="R114" s="831"/>
      <c r="S114" s="831"/>
      <c r="T114" s="831"/>
      <c r="U114" s="831"/>
      <c r="V114" s="831"/>
      <c r="W114" s="832"/>
      <c r="X114" s="704"/>
      <c r="Y114" s="735"/>
      <c r="Z114" s="735"/>
      <c r="AA114" s="706"/>
      <c r="AB114" s="546"/>
    </row>
    <row r="115" spans="1:28" ht="12.6" customHeight="1" x14ac:dyDescent="0.2">
      <c r="A115" s="20"/>
      <c r="B115" s="729" t="s">
        <v>406</v>
      </c>
      <c r="C115" s="703"/>
      <c r="D115" s="703"/>
      <c r="E115" s="703"/>
      <c r="F115" s="372">
        <v>308</v>
      </c>
      <c r="G115" s="431">
        <f t="shared" si="209"/>
        <v>308</v>
      </c>
      <c r="H115" s="129"/>
      <c r="I115" s="833"/>
      <c r="J115" s="834"/>
      <c r="K115" s="834"/>
      <c r="L115" s="835"/>
      <c r="M115" s="835"/>
      <c r="N115" s="835"/>
      <c r="O115" s="834"/>
      <c r="P115" s="834"/>
      <c r="Q115" s="834"/>
      <c r="R115" s="834"/>
      <c r="S115" s="834"/>
      <c r="T115" s="835"/>
      <c r="U115" s="835"/>
      <c r="V115" s="835"/>
      <c r="W115" s="836"/>
      <c r="X115" s="704"/>
      <c r="Y115" s="735"/>
      <c r="Z115" s="735"/>
      <c r="AA115" s="706"/>
      <c r="AB115" s="546"/>
    </row>
    <row r="116" spans="1:28" ht="12.6" customHeight="1" x14ac:dyDescent="0.2">
      <c r="A116" s="20"/>
      <c r="B116" s="712" t="s">
        <v>478</v>
      </c>
      <c r="C116" s="699"/>
      <c r="D116" s="699"/>
      <c r="E116" s="699"/>
      <c r="F116" s="441"/>
      <c r="G116" s="819" t="s">
        <v>472</v>
      </c>
      <c r="H116" s="820"/>
      <c r="I116" s="820"/>
      <c r="J116" s="820"/>
      <c r="K116" s="821"/>
      <c r="L116" s="526">
        <v>1365</v>
      </c>
      <c r="M116" s="346">
        <f t="shared" ref="M116:O123" si="211">+L116*$X$1</f>
        <v>1365</v>
      </c>
      <c r="N116" s="134">
        <v>1164</v>
      </c>
      <c r="O116" s="346">
        <f t="shared" si="211"/>
        <v>1164</v>
      </c>
      <c r="P116" s="502">
        <v>965</v>
      </c>
      <c r="Q116" s="346">
        <f t="shared" ref="Q116:Q122" si="212">+P116*$X$1</f>
        <v>965</v>
      </c>
      <c r="R116" s="527">
        <v>963</v>
      </c>
      <c r="S116" s="346">
        <f t="shared" ref="S116:S123" si="213">+R116*$X$1</f>
        <v>963</v>
      </c>
      <c r="T116" s="527">
        <v>954</v>
      </c>
      <c r="U116" s="388">
        <f t="shared" ref="U116:U122" si="214">+T116*$X$1</f>
        <v>954</v>
      </c>
      <c r="V116" s="527">
        <v>719</v>
      </c>
      <c r="W116" s="388">
        <f t="shared" ref="W116:W122" si="215">+V116*$X$1</f>
        <v>719</v>
      </c>
      <c r="X116" s="749"/>
      <c r="Y116" s="750"/>
      <c r="Z116" s="750"/>
      <c r="AA116" s="751"/>
      <c r="AB116" s="546">
        <v>301</v>
      </c>
    </row>
    <row r="117" spans="1:28" ht="12.6" customHeight="1" x14ac:dyDescent="0.2">
      <c r="A117" s="20"/>
      <c r="B117" s="719" t="s">
        <v>480</v>
      </c>
      <c r="C117" s="720"/>
      <c r="D117" s="720"/>
      <c r="E117" s="720"/>
      <c r="F117" s="442"/>
      <c r="G117" s="819" t="s">
        <v>472</v>
      </c>
      <c r="H117" s="820"/>
      <c r="I117" s="820"/>
      <c r="J117" s="820"/>
      <c r="K117" s="821"/>
      <c r="L117" s="369">
        <v>1510</v>
      </c>
      <c r="M117" s="432">
        <f t="shared" si="211"/>
        <v>1510</v>
      </c>
      <c r="N117" s="531">
        <v>1287</v>
      </c>
      <c r="O117" s="432">
        <f t="shared" si="211"/>
        <v>1287</v>
      </c>
      <c r="P117" s="370">
        <v>1067</v>
      </c>
      <c r="Q117" s="345">
        <f t="shared" si="212"/>
        <v>1067</v>
      </c>
      <c r="R117" s="128">
        <v>1064</v>
      </c>
      <c r="S117" s="432">
        <f t="shared" si="213"/>
        <v>1064</v>
      </c>
      <c r="T117" s="383">
        <v>1056</v>
      </c>
      <c r="U117" s="372">
        <f t="shared" si="214"/>
        <v>1056</v>
      </c>
      <c r="V117" s="383">
        <v>830</v>
      </c>
      <c r="W117" s="372">
        <f t="shared" si="215"/>
        <v>830</v>
      </c>
      <c r="X117" s="749"/>
      <c r="Y117" s="750"/>
      <c r="Z117" s="750"/>
      <c r="AA117" s="751"/>
      <c r="AB117" s="546" t="s">
        <v>169</v>
      </c>
    </row>
    <row r="118" spans="1:28" ht="12.6" customHeight="1" x14ac:dyDescent="0.2">
      <c r="A118" s="20"/>
      <c r="B118" s="712" t="s">
        <v>438</v>
      </c>
      <c r="C118" s="699"/>
      <c r="D118" s="699"/>
      <c r="E118" s="699"/>
      <c r="F118" s="441"/>
      <c r="G118" s="819" t="s">
        <v>472</v>
      </c>
      <c r="H118" s="820"/>
      <c r="I118" s="820"/>
      <c r="J118" s="820"/>
      <c r="K118" s="821"/>
      <c r="L118" s="526"/>
      <c r="M118" s="527"/>
      <c r="N118" s="134"/>
      <c r="O118" s="527"/>
      <c r="P118" s="502"/>
      <c r="Q118" s="346"/>
      <c r="R118" s="527"/>
      <c r="S118" s="346"/>
      <c r="T118" s="527"/>
      <c r="U118" s="388"/>
      <c r="V118" s="527"/>
      <c r="W118" s="388"/>
      <c r="X118" s="749"/>
      <c r="Y118" s="750"/>
      <c r="Z118" s="750"/>
      <c r="AA118" s="751"/>
      <c r="AB118" s="546" t="s">
        <v>170</v>
      </c>
    </row>
    <row r="119" spans="1:28" ht="12.6" customHeight="1" x14ac:dyDescent="0.2">
      <c r="A119" s="20"/>
      <c r="B119" s="719" t="s">
        <v>477</v>
      </c>
      <c r="C119" s="720"/>
      <c r="D119" s="720"/>
      <c r="E119" s="720"/>
      <c r="F119" s="423"/>
      <c r="G119" s="819" t="s">
        <v>471</v>
      </c>
      <c r="H119" s="820"/>
      <c r="I119" s="820"/>
      <c r="J119" s="820"/>
      <c r="K119" s="821"/>
      <c r="L119" s="369">
        <v>870</v>
      </c>
      <c r="M119" s="432">
        <f t="shared" si="211"/>
        <v>870</v>
      </c>
      <c r="N119" s="134">
        <v>743</v>
      </c>
      <c r="O119" s="432">
        <f t="shared" si="211"/>
        <v>743</v>
      </c>
      <c r="P119" s="370">
        <v>616</v>
      </c>
      <c r="Q119" s="345">
        <f t="shared" si="212"/>
        <v>616</v>
      </c>
      <c r="R119" s="128">
        <v>614</v>
      </c>
      <c r="S119" s="432">
        <f t="shared" si="213"/>
        <v>614</v>
      </c>
      <c r="T119" s="383">
        <v>606</v>
      </c>
      <c r="U119" s="372">
        <f t="shared" si="214"/>
        <v>606</v>
      </c>
      <c r="V119" s="383">
        <v>543</v>
      </c>
      <c r="W119" s="372">
        <f t="shared" si="215"/>
        <v>543</v>
      </c>
      <c r="X119" s="749"/>
      <c r="Y119" s="750"/>
      <c r="Z119" s="750"/>
      <c r="AA119" s="751"/>
      <c r="AB119" s="546">
        <v>302</v>
      </c>
    </row>
    <row r="120" spans="1:28" ht="12.6" customHeight="1" x14ac:dyDescent="0.2">
      <c r="A120" s="20"/>
      <c r="B120" s="712" t="s">
        <v>479</v>
      </c>
      <c r="C120" s="699"/>
      <c r="D120" s="699"/>
      <c r="E120" s="699"/>
      <c r="F120" s="346"/>
      <c r="G120" s="819" t="s">
        <v>471</v>
      </c>
      <c r="H120" s="820"/>
      <c r="I120" s="820"/>
      <c r="J120" s="820"/>
      <c r="K120" s="821"/>
      <c r="L120" s="526">
        <v>1016</v>
      </c>
      <c r="M120" s="346">
        <f t="shared" si="211"/>
        <v>1016</v>
      </c>
      <c r="N120" s="134">
        <v>867</v>
      </c>
      <c r="O120" s="346">
        <f t="shared" si="211"/>
        <v>867</v>
      </c>
      <c r="P120" s="502">
        <v>718</v>
      </c>
      <c r="Q120" s="346">
        <f t="shared" si="212"/>
        <v>718</v>
      </c>
      <c r="R120" s="527">
        <v>716</v>
      </c>
      <c r="S120" s="346">
        <f t="shared" si="213"/>
        <v>716</v>
      </c>
      <c r="T120" s="527">
        <v>708</v>
      </c>
      <c r="U120" s="388">
        <f t="shared" si="214"/>
        <v>708</v>
      </c>
      <c r="V120" s="527">
        <v>655</v>
      </c>
      <c r="W120" s="388">
        <f t="shared" si="215"/>
        <v>655</v>
      </c>
      <c r="X120" s="749"/>
      <c r="Y120" s="750"/>
      <c r="Z120" s="750"/>
      <c r="AA120" s="751"/>
      <c r="AB120" s="546" t="s">
        <v>171</v>
      </c>
    </row>
    <row r="121" spans="1:28" ht="12.6" customHeight="1" x14ac:dyDescent="0.2">
      <c r="A121" s="20"/>
      <c r="B121" s="719" t="s">
        <v>437</v>
      </c>
      <c r="C121" s="720"/>
      <c r="D121" s="720"/>
      <c r="E121" s="720"/>
      <c r="F121" s="423"/>
      <c r="G121" s="819" t="s">
        <v>471</v>
      </c>
      <c r="H121" s="820"/>
      <c r="I121" s="820"/>
      <c r="J121" s="820"/>
      <c r="K121" s="821"/>
      <c r="L121" s="369"/>
      <c r="M121" s="128"/>
      <c r="N121" s="134"/>
      <c r="O121" s="128"/>
      <c r="P121" s="370"/>
      <c r="Q121" s="345"/>
      <c r="R121" s="128"/>
      <c r="S121" s="432"/>
      <c r="T121" s="383"/>
      <c r="U121" s="372"/>
      <c r="V121" s="383"/>
      <c r="W121" s="372"/>
      <c r="X121" s="749"/>
      <c r="Y121" s="750"/>
      <c r="Z121" s="750"/>
      <c r="AA121" s="751"/>
      <c r="AB121" s="546" t="s">
        <v>172</v>
      </c>
    </row>
    <row r="122" spans="1:28" ht="12.6" customHeight="1" x14ac:dyDescent="0.2">
      <c r="A122" s="20"/>
      <c r="B122" s="799" t="s">
        <v>757</v>
      </c>
      <c r="C122" s="800"/>
      <c r="D122" s="800"/>
      <c r="E122" s="800"/>
      <c r="F122" s="388"/>
      <c r="G122" s="819" t="s">
        <v>472</v>
      </c>
      <c r="H122" s="820"/>
      <c r="I122" s="820"/>
      <c r="J122" s="820"/>
      <c r="K122" s="821"/>
      <c r="L122" s="526">
        <v>1524</v>
      </c>
      <c r="M122" s="346">
        <f t="shared" si="211"/>
        <v>1524</v>
      </c>
      <c r="N122" s="532">
        <v>1300</v>
      </c>
      <c r="O122" s="346">
        <f t="shared" si="211"/>
        <v>1300</v>
      </c>
      <c r="P122" s="502">
        <v>1077</v>
      </c>
      <c r="Q122" s="346">
        <f t="shared" si="212"/>
        <v>1077</v>
      </c>
      <c r="R122" s="527">
        <v>1074</v>
      </c>
      <c r="S122" s="346">
        <f t="shared" si="213"/>
        <v>1074</v>
      </c>
      <c r="T122" s="129">
        <v>1066</v>
      </c>
      <c r="U122" s="533">
        <f t="shared" si="214"/>
        <v>1066</v>
      </c>
      <c r="V122" s="129">
        <v>1055</v>
      </c>
      <c r="W122" s="533">
        <f t="shared" si="215"/>
        <v>1055</v>
      </c>
      <c r="X122" s="749"/>
      <c r="Y122" s="750"/>
      <c r="Z122" s="750"/>
      <c r="AA122" s="751"/>
      <c r="AB122" s="546">
        <v>303</v>
      </c>
    </row>
    <row r="123" spans="1:28" ht="12.6" customHeight="1" x14ac:dyDescent="0.2">
      <c r="A123" s="20"/>
      <c r="B123" s="724" t="s">
        <v>651</v>
      </c>
      <c r="C123" s="725"/>
      <c r="D123" s="725"/>
      <c r="E123" s="725"/>
      <c r="F123" s="372">
        <v>898</v>
      </c>
      <c r="G123" s="345">
        <f>+F123*$X$1</f>
        <v>898</v>
      </c>
      <c r="H123" s="336"/>
      <c r="I123" s="420"/>
      <c r="J123" s="383"/>
      <c r="K123" s="345"/>
      <c r="L123" s="383">
        <v>1700</v>
      </c>
      <c r="M123" s="345">
        <f>+L123*$X$1</f>
        <v>1700</v>
      </c>
      <c r="N123" s="383">
        <v>1527</v>
      </c>
      <c r="O123" s="345">
        <f t="shared" si="211"/>
        <v>1527</v>
      </c>
      <c r="P123" s="390">
        <v>1413</v>
      </c>
      <c r="Q123" s="345">
        <f t="shared" ref="Q123" si="216">+P123*$X$1</f>
        <v>1413</v>
      </c>
      <c r="R123" s="383">
        <v>1307</v>
      </c>
      <c r="S123" s="345">
        <f t="shared" si="213"/>
        <v>1307</v>
      </c>
      <c r="T123" s="383">
        <v>1227</v>
      </c>
      <c r="U123" s="345">
        <f>+T123*$X$1</f>
        <v>1227</v>
      </c>
      <c r="V123" s="383">
        <v>1176</v>
      </c>
      <c r="W123" s="345">
        <f>+V123*$X$1</f>
        <v>1176</v>
      </c>
      <c r="X123" s="704"/>
      <c r="Y123" s="735"/>
      <c r="Z123" s="735"/>
      <c r="AA123" s="706"/>
      <c r="AB123" s="546">
        <v>308</v>
      </c>
    </row>
    <row r="124" spans="1:28" ht="12.6" customHeight="1" x14ac:dyDescent="0.2">
      <c r="A124" s="20"/>
      <c r="B124" s="724" t="s">
        <v>650</v>
      </c>
      <c r="C124" s="725"/>
      <c r="D124" s="725"/>
      <c r="E124" s="725"/>
      <c r="F124" s="388">
        <v>898</v>
      </c>
      <c r="G124" s="346">
        <f>+F124*$X$1</f>
        <v>898</v>
      </c>
      <c r="H124" s="335"/>
      <c r="I124" s="421"/>
      <c r="J124" s="624"/>
      <c r="K124" s="346"/>
      <c r="L124" s="624">
        <v>1700</v>
      </c>
      <c r="M124" s="346">
        <f>+L124*$X$1</f>
        <v>1700</v>
      </c>
      <c r="N124" s="624">
        <v>1527</v>
      </c>
      <c r="O124" s="346">
        <f t="shared" ref="O124" si="217">+N124*$X$1</f>
        <v>1527</v>
      </c>
      <c r="P124" s="337">
        <v>1413</v>
      </c>
      <c r="Q124" s="346">
        <f t="shared" ref="Q124" si="218">+P124*$X$1</f>
        <v>1413</v>
      </c>
      <c r="R124" s="624">
        <v>1307</v>
      </c>
      <c r="S124" s="346">
        <f t="shared" ref="S124" si="219">+R124*$X$1</f>
        <v>1307</v>
      </c>
      <c r="T124" s="624">
        <v>1227</v>
      </c>
      <c r="U124" s="346">
        <f>+T124*$X$1</f>
        <v>1227</v>
      </c>
      <c r="V124" s="624">
        <v>1176</v>
      </c>
      <c r="W124" s="346">
        <f>+V124*$X$1</f>
        <v>1176</v>
      </c>
      <c r="X124" s="704"/>
      <c r="Y124" s="735"/>
      <c r="Z124" s="735"/>
      <c r="AA124" s="706"/>
      <c r="AB124" s="546">
        <v>309</v>
      </c>
    </row>
    <row r="125" spans="1:28" ht="12.6" customHeight="1" x14ac:dyDescent="0.2">
      <c r="A125" s="20"/>
      <c r="B125" s="719" t="s">
        <v>173</v>
      </c>
      <c r="C125" s="720"/>
      <c r="D125" s="720"/>
      <c r="E125" s="720"/>
      <c r="F125" s="481">
        <f>0.761*X2</f>
        <v>700.12</v>
      </c>
      <c r="G125" s="345">
        <f t="shared" ref="G125" si="220">+F125*$X$1</f>
        <v>700.12</v>
      </c>
      <c r="H125" s="383"/>
      <c r="I125" s="345"/>
      <c r="J125" s="383">
        <f>F125+80</f>
        <v>780.12</v>
      </c>
      <c r="K125" s="345">
        <f t="shared" ref="K125" si="221">+J125*$X$1</f>
        <v>780.12</v>
      </c>
      <c r="L125" s="383">
        <f>F125+60</f>
        <v>760.12</v>
      </c>
      <c r="M125" s="345">
        <f t="shared" ref="M125" si="222">+L125*$X$1</f>
        <v>760.12</v>
      </c>
      <c r="N125" s="383">
        <f>F125+40</f>
        <v>740.12</v>
      </c>
      <c r="O125" s="345">
        <f t="shared" ref="O125" si="223">+N125*$X$1</f>
        <v>740.12</v>
      </c>
      <c r="P125" s="383">
        <f>F125+37</f>
        <v>737.12</v>
      </c>
      <c r="Q125" s="345">
        <f t="shared" ref="Q125" si="224">+P125*$X$1</f>
        <v>737.12</v>
      </c>
      <c r="R125" s="383">
        <f>F125+33</f>
        <v>733.12</v>
      </c>
      <c r="S125" s="345">
        <f t="shared" ref="S125" si="225">+R125*$X$1</f>
        <v>733.12</v>
      </c>
      <c r="T125" s="383">
        <f>F125+29</f>
        <v>729.12</v>
      </c>
      <c r="U125" s="345">
        <f t="shared" ref="U125" si="226">+T125*$X$1</f>
        <v>729.12</v>
      </c>
      <c r="V125" s="383">
        <f>F125+25</f>
        <v>725.12</v>
      </c>
      <c r="W125" s="345">
        <f t="shared" ref="W125" si="227">+V125*$X$1</f>
        <v>725.12</v>
      </c>
      <c r="X125" s="704"/>
      <c r="Y125" s="735"/>
      <c r="Z125" s="735"/>
      <c r="AA125" s="706"/>
      <c r="AB125" s="546">
        <v>310</v>
      </c>
    </row>
    <row r="126" spans="1:28" ht="12.6" customHeight="1" x14ac:dyDescent="0.2">
      <c r="A126" s="20"/>
      <c r="B126" s="712" t="s">
        <v>515</v>
      </c>
      <c r="C126" s="699"/>
      <c r="D126" s="699"/>
      <c r="E126" s="699"/>
      <c r="F126" s="482"/>
      <c r="G126" s="346"/>
      <c r="H126" s="477"/>
      <c r="I126" s="346"/>
      <c r="J126" s="600"/>
      <c r="K126" s="346"/>
      <c r="L126" s="600"/>
      <c r="M126" s="346"/>
      <c r="N126" s="600"/>
      <c r="O126" s="346"/>
      <c r="P126" s="600"/>
      <c r="Q126" s="346"/>
      <c r="R126" s="600"/>
      <c r="S126" s="346"/>
      <c r="T126" s="600"/>
      <c r="U126" s="346"/>
      <c r="V126" s="600"/>
      <c r="W126" s="346"/>
      <c r="X126" s="704"/>
      <c r="Y126" s="735"/>
      <c r="Z126" s="735"/>
      <c r="AA126" s="706"/>
      <c r="AB126" s="546">
        <v>311</v>
      </c>
    </row>
    <row r="127" spans="1:28" ht="12.6" customHeight="1" x14ac:dyDescent="0.2">
      <c r="A127" s="20"/>
      <c r="B127" s="719" t="s">
        <v>575</v>
      </c>
      <c r="C127" s="720"/>
      <c r="D127" s="720"/>
      <c r="E127" s="720"/>
      <c r="F127" s="481">
        <f>1.815*X2</f>
        <v>1669.8</v>
      </c>
      <c r="G127" s="345">
        <f t="shared" ref="G127" si="228">+F127*$X$1</f>
        <v>1669.8</v>
      </c>
      <c r="H127" s="383"/>
      <c r="I127" s="345"/>
      <c r="J127" s="383">
        <f>F127+80</f>
        <v>1749.8</v>
      </c>
      <c r="K127" s="345">
        <f t="shared" ref="K127" si="229">+J127*$X$1</f>
        <v>1749.8</v>
      </c>
      <c r="L127" s="383">
        <f>F127+60</f>
        <v>1729.8</v>
      </c>
      <c r="M127" s="345">
        <f t="shared" ref="M127" si="230">+L127*$X$1</f>
        <v>1729.8</v>
      </c>
      <c r="N127" s="383">
        <f>F127+40</f>
        <v>1709.8</v>
      </c>
      <c r="O127" s="345">
        <f t="shared" ref="O127" si="231">+N127*$X$1</f>
        <v>1709.8</v>
      </c>
      <c r="P127" s="383">
        <f>F127+37</f>
        <v>1706.8</v>
      </c>
      <c r="Q127" s="345">
        <f t="shared" ref="Q127" si="232">+P127*$X$1</f>
        <v>1706.8</v>
      </c>
      <c r="R127" s="383">
        <f>F127+33</f>
        <v>1702.8</v>
      </c>
      <c r="S127" s="345">
        <f t="shared" ref="S127" si="233">+R127*$X$1</f>
        <v>1702.8</v>
      </c>
      <c r="T127" s="383">
        <f>F127+29</f>
        <v>1698.8</v>
      </c>
      <c r="U127" s="345">
        <f t="shared" ref="U127" si="234">+T127*$X$1</f>
        <v>1698.8</v>
      </c>
      <c r="V127" s="383">
        <f>F127+25</f>
        <v>1694.8</v>
      </c>
      <c r="W127" s="345">
        <f t="shared" ref="W127" si="235">+V127*$X$1</f>
        <v>1694.8</v>
      </c>
      <c r="X127" s="704"/>
      <c r="Y127" s="735"/>
      <c r="Z127" s="735"/>
      <c r="AA127" s="706"/>
      <c r="AB127" s="546">
        <v>312</v>
      </c>
    </row>
    <row r="128" spans="1:28" ht="12.6" customHeight="1" x14ac:dyDescent="0.2">
      <c r="A128" s="20"/>
      <c r="B128" s="774" t="s">
        <v>174</v>
      </c>
      <c r="C128" s="775"/>
      <c r="D128" s="775"/>
      <c r="E128" s="776"/>
      <c r="F128" s="346"/>
      <c r="G128" s="346"/>
      <c r="H128" s="477"/>
      <c r="I128" s="346"/>
      <c r="J128" s="93"/>
      <c r="K128" s="346"/>
      <c r="L128" s="477"/>
      <c r="M128" s="346"/>
      <c r="N128" s="477"/>
      <c r="O128" s="346"/>
      <c r="P128" s="477"/>
      <c r="Q128" s="346"/>
      <c r="R128" s="477"/>
      <c r="S128" s="346"/>
      <c r="T128" s="477"/>
      <c r="U128" s="346"/>
      <c r="V128" s="477"/>
      <c r="W128" s="346"/>
      <c r="X128" s="704"/>
      <c r="Y128" s="735"/>
      <c r="Z128" s="735"/>
      <c r="AA128" s="706"/>
      <c r="AB128" s="546" t="s">
        <v>175</v>
      </c>
    </row>
    <row r="129" spans="1:33" ht="12.6" customHeight="1" x14ac:dyDescent="0.2">
      <c r="A129" s="20"/>
      <c r="B129" s="1122" t="s">
        <v>176</v>
      </c>
      <c r="C129" s="1057"/>
      <c r="D129" s="1057"/>
      <c r="E129" s="1058"/>
      <c r="F129" s="372"/>
      <c r="G129" s="345"/>
      <c r="H129" s="383"/>
      <c r="I129" s="345"/>
      <c r="J129" s="75"/>
      <c r="K129" s="345"/>
      <c r="L129" s="383"/>
      <c r="M129" s="345"/>
      <c r="N129" s="383"/>
      <c r="O129" s="345"/>
      <c r="P129" s="383"/>
      <c r="Q129" s="345"/>
      <c r="R129" s="383"/>
      <c r="S129" s="345"/>
      <c r="T129" s="383"/>
      <c r="U129" s="345"/>
      <c r="V129" s="383"/>
      <c r="W129" s="345"/>
      <c r="X129" s="721"/>
      <c r="Y129" s="1096"/>
      <c r="Z129" s="1096"/>
      <c r="AA129" s="723"/>
      <c r="AB129" s="632" t="s">
        <v>177</v>
      </c>
    </row>
    <row r="130" spans="1:33" ht="12.6" customHeight="1" x14ac:dyDescent="0.2">
      <c r="A130" s="20"/>
      <c r="B130" s="774" t="s">
        <v>178</v>
      </c>
      <c r="C130" s="775"/>
      <c r="D130" s="775"/>
      <c r="E130" s="776"/>
      <c r="F130" s="346"/>
      <c r="G130" s="346"/>
      <c r="H130" s="477"/>
      <c r="I130" s="346"/>
      <c r="J130" s="93"/>
      <c r="K130" s="346"/>
      <c r="L130" s="477"/>
      <c r="M130" s="346"/>
      <c r="N130" s="477"/>
      <c r="O130" s="346"/>
      <c r="P130" s="477"/>
      <c r="Q130" s="346"/>
      <c r="R130" s="477"/>
      <c r="S130" s="346"/>
      <c r="T130" s="477"/>
      <c r="U130" s="346"/>
      <c r="V130" s="477"/>
      <c r="W130" s="346"/>
      <c r="X130" s="1096"/>
      <c r="Y130" s="1096"/>
      <c r="Z130" s="1096"/>
      <c r="AA130" s="1096"/>
      <c r="AB130" s="208" t="s">
        <v>179</v>
      </c>
    </row>
    <row r="131" spans="1:33" ht="12.6" customHeight="1" x14ac:dyDescent="0.2">
      <c r="A131" s="20"/>
      <c r="B131" s="714" t="s">
        <v>180</v>
      </c>
      <c r="C131" s="717"/>
      <c r="D131" s="717"/>
      <c r="E131" s="718"/>
      <c r="F131" s="345"/>
      <c r="G131" s="345"/>
      <c r="H131" s="383"/>
      <c r="I131" s="345"/>
      <c r="J131" s="75"/>
      <c r="K131" s="345"/>
      <c r="L131" s="383"/>
      <c r="M131" s="345"/>
      <c r="N131" s="383"/>
      <c r="O131" s="345"/>
      <c r="P131" s="383"/>
      <c r="Q131" s="345"/>
      <c r="R131" s="383"/>
      <c r="S131" s="345"/>
      <c r="T131" s="383"/>
      <c r="U131" s="345"/>
      <c r="V131" s="383"/>
      <c r="W131" s="345"/>
      <c r="X131" s="1096"/>
      <c r="Y131" s="1096"/>
      <c r="Z131" s="1096"/>
      <c r="AA131" s="1096"/>
      <c r="AB131" s="208" t="s">
        <v>181</v>
      </c>
    </row>
    <row r="132" spans="1:33" ht="12.6" customHeight="1" x14ac:dyDescent="0.2">
      <c r="A132" s="101"/>
      <c r="B132" s="774" t="s">
        <v>425</v>
      </c>
      <c r="C132" s="920"/>
      <c r="D132" s="920"/>
      <c r="E132" s="921"/>
      <c r="F132" s="346"/>
      <c r="G132" s="346"/>
      <c r="H132" s="93"/>
      <c r="I132" s="97"/>
      <c r="J132" s="97"/>
      <c r="K132" s="97"/>
      <c r="L132" s="97"/>
      <c r="M132" s="346"/>
      <c r="N132" s="97"/>
      <c r="O132" s="346"/>
      <c r="P132" s="97"/>
      <c r="Q132" s="346"/>
      <c r="R132" s="97"/>
      <c r="S132" s="346"/>
      <c r="T132" s="97"/>
      <c r="U132" s="346"/>
      <c r="V132" s="97"/>
      <c r="W132" s="346"/>
      <c r="X132" s="826"/>
      <c r="Y132" s="828"/>
      <c r="Z132" s="828"/>
      <c r="AA132" s="829"/>
      <c r="AB132" s="208"/>
    </row>
    <row r="133" spans="1:33" ht="12.6" customHeight="1" x14ac:dyDescent="0.2">
      <c r="A133" s="101"/>
      <c r="B133" s="719" t="s">
        <v>182</v>
      </c>
      <c r="C133" s="720"/>
      <c r="D133" s="720"/>
      <c r="E133" s="720"/>
      <c r="F133" s="345"/>
      <c r="G133" s="345"/>
      <c r="H133" s="75"/>
      <c r="I133" s="264"/>
      <c r="J133" s="264"/>
      <c r="K133" s="264"/>
      <c r="L133" s="264"/>
      <c r="M133" s="345"/>
      <c r="N133" s="264"/>
      <c r="O133" s="345"/>
      <c r="P133" s="264"/>
      <c r="Q133" s="345"/>
      <c r="R133" s="264"/>
      <c r="S133" s="345"/>
      <c r="T133" s="264"/>
      <c r="U133" s="345"/>
      <c r="V133" s="264"/>
      <c r="W133" s="345"/>
      <c r="X133" s="826"/>
      <c r="Y133" s="827"/>
      <c r="Z133" s="827"/>
      <c r="AA133" s="786"/>
      <c r="AB133" s="208">
        <v>316</v>
      </c>
      <c r="AC133" s="64"/>
      <c r="AD133" s="64"/>
      <c r="AE133" s="64"/>
      <c r="AF133" s="64"/>
    </row>
    <row r="134" spans="1:33" ht="12.6" customHeight="1" x14ac:dyDescent="0.2">
      <c r="A134" s="101"/>
      <c r="B134" s="712" t="s">
        <v>183</v>
      </c>
      <c r="C134" s="699"/>
      <c r="D134" s="699"/>
      <c r="E134" s="699"/>
      <c r="F134" s="346"/>
      <c r="G134" s="433"/>
      <c r="H134" s="93"/>
      <c r="I134" s="265"/>
      <c r="J134" s="97"/>
      <c r="K134" s="265"/>
      <c r="L134" s="97"/>
      <c r="M134" s="435"/>
      <c r="N134" s="97"/>
      <c r="O134" s="435"/>
      <c r="P134" s="97"/>
      <c r="Q134" s="435"/>
      <c r="R134" s="97"/>
      <c r="S134" s="435"/>
      <c r="T134" s="97"/>
      <c r="U134" s="346"/>
      <c r="V134" s="97"/>
      <c r="W134" s="346"/>
      <c r="X134" s="826"/>
      <c r="Y134" s="827"/>
      <c r="Z134" s="827"/>
      <c r="AA134" s="786"/>
      <c r="AB134" s="208">
        <v>318</v>
      </c>
      <c r="AC134" s="64"/>
      <c r="AD134" s="64"/>
      <c r="AE134" s="64"/>
      <c r="AF134" s="64"/>
    </row>
    <row r="135" spans="1:33" ht="12.6" customHeight="1" x14ac:dyDescent="0.2">
      <c r="A135" s="20"/>
      <c r="B135" s="801" t="s">
        <v>382</v>
      </c>
      <c r="C135" s="802"/>
      <c r="D135" s="802"/>
      <c r="E135" s="802"/>
      <c r="F135" s="401">
        <v>815</v>
      </c>
      <c r="G135" s="379">
        <f>+F135*$X$1</f>
        <v>815</v>
      </c>
      <c r="H135" s="209" t="s">
        <v>184</v>
      </c>
      <c r="I135" s="212"/>
      <c r="J135" s="89"/>
      <c r="K135" s="89"/>
      <c r="L135" s="181"/>
      <c r="M135" s="89"/>
      <c r="N135" s="89"/>
      <c r="O135" s="89"/>
      <c r="P135" s="86">
        <v>60</v>
      </c>
      <c r="Q135" s="211">
        <f>+P135*$X$1</f>
        <v>60</v>
      </c>
      <c r="R135" s="239"/>
      <c r="S135" s="439"/>
      <c r="T135" s="75"/>
      <c r="U135" s="345"/>
      <c r="V135" s="305"/>
      <c r="W135" s="345"/>
      <c r="X135" s="826"/>
      <c r="Y135" s="827"/>
      <c r="Z135" s="827"/>
      <c r="AA135" s="786"/>
      <c r="AB135" s="554"/>
      <c r="AC135" s="789"/>
      <c r="AD135" s="790"/>
      <c r="AE135" s="790"/>
      <c r="AF135" s="790"/>
      <c r="AG135" s="4"/>
    </row>
    <row r="136" spans="1:33" ht="12.6" customHeight="1" x14ac:dyDescent="0.2">
      <c r="A136" s="20"/>
      <c r="B136" s="1076" t="s">
        <v>383</v>
      </c>
      <c r="C136" s="1077"/>
      <c r="D136" s="1077"/>
      <c r="E136" s="1077"/>
      <c r="F136" s="400">
        <v>875</v>
      </c>
      <c r="G136" s="434">
        <f>+F136*$X$1</f>
        <v>875</v>
      </c>
      <c r="H136" s="315" t="s">
        <v>184</v>
      </c>
      <c r="I136" s="316"/>
      <c r="J136" s="317"/>
      <c r="K136" s="317"/>
      <c r="L136" s="318"/>
      <c r="M136" s="317"/>
      <c r="N136" s="317"/>
      <c r="O136" s="317"/>
      <c r="P136" s="319">
        <v>60</v>
      </c>
      <c r="Q136" s="320">
        <f>+P136*$X$1</f>
        <v>60</v>
      </c>
      <c r="R136" s="321"/>
      <c r="S136" s="440"/>
      <c r="T136" s="322"/>
      <c r="U136" s="348"/>
      <c r="V136" s="99"/>
      <c r="W136" s="348"/>
      <c r="X136" s="826"/>
      <c r="Y136" s="827"/>
      <c r="Z136" s="827"/>
      <c r="AA136" s="786"/>
      <c r="AB136" s="554"/>
    </row>
    <row r="137" spans="1:33" ht="12.6" customHeight="1" x14ac:dyDescent="0.2">
      <c r="A137" s="20"/>
      <c r="B137" s="801" t="s">
        <v>185</v>
      </c>
      <c r="C137" s="802"/>
      <c r="D137" s="802"/>
      <c r="E137" s="802"/>
      <c r="F137" s="345"/>
      <c r="G137" s="345"/>
      <c r="H137" s="325"/>
      <c r="I137" s="345"/>
      <c r="J137" s="383">
        <f>F136+110</f>
        <v>985</v>
      </c>
      <c r="K137" s="345">
        <f t="shared" ref="K137:K138" si="236">+J137*$X$1</f>
        <v>985</v>
      </c>
      <c r="L137" s="383">
        <f>F136+70</f>
        <v>945</v>
      </c>
      <c r="M137" s="345">
        <f>+L137*$X$1</f>
        <v>945</v>
      </c>
      <c r="N137" s="383">
        <f>F136+45</f>
        <v>920</v>
      </c>
      <c r="O137" s="345">
        <f>+N137*$X$1</f>
        <v>920</v>
      </c>
      <c r="P137" s="383">
        <f>F136+41</f>
        <v>916</v>
      </c>
      <c r="Q137" s="345">
        <f t="shared" ref="Q137:Q138" si="237">+P137*$X$1</f>
        <v>916</v>
      </c>
      <c r="R137" s="600">
        <f>F136+38</f>
        <v>913</v>
      </c>
      <c r="S137" s="345">
        <f>+R137*$X$1</f>
        <v>913</v>
      </c>
      <c r="T137" s="383">
        <f>F136+32</f>
        <v>907</v>
      </c>
      <c r="U137" s="345">
        <f t="shared" ref="U137:U138" si="238">+T137*$X$1</f>
        <v>907</v>
      </c>
      <c r="V137" s="383">
        <f>F136+28</f>
        <v>903</v>
      </c>
      <c r="W137" s="345">
        <f>+V137*$X$1</f>
        <v>903</v>
      </c>
      <c r="X137" s="826"/>
      <c r="Y137" s="827"/>
      <c r="Z137" s="827"/>
      <c r="AA137" s="786"/>
      <c r="AB137" s="546">
        <v>321</v>
      </c>
    </row>
    <row r="138" spans="1:33" ht="12.6" customHeight="1" x14ac:dyDescent="0.2">
      <c r="A138" s="20"/>
      <c r="B138" s="1076" t="s">
        <v>646</v>
      </c>
      <c r="C138" s="1077"/>
      <c r="D138" s="1077"/>
      <c r="E138" s="1077"/>
      <c r="F138" s="346"/>
      <c r="G138" s="346"/>
      <c r="H138" s="364"/>
      <c r="I138" s="346"/>
      <c r="J138" s="600">
        <f>F136+237</f>
        <v>1112</v>
      </c>
      <c r="K138" s="346">
        <f t="shared" si="236"/>
        <v>1112</v>
      </c>
      <c r="L138" s="600">
        <f>F136+147</f>
        <v>1022</v>
      </c>
      <c r="M138" s="346">
        <f>+L138*$X$1</f>
        <v>1022</v>
      </c>
      <c r="N138" s="600">
        <f>F136+108</f>
        <v>983</v>
      </c>
      <c r="O138" s="346">
        <f>+N138*$X$1</f>
        <v>983</v>
      </c>
      <c r="P138" s="600">
        <f>F136+98</f>
        <v>973</v>
      </c>
      <c r="Q138" s="346">
        <f t="shared" si="237"/>
        <v>973</v>
      </c>
      <c r="R138" s="600">
        <f>F136+84</f>
        <v>959</v>
      </c>
      <c r="S138" s="346">
        <f>+R138*$X$1</f>
        <v>959</v>
      </c>
      <c r="T138" s="600">
        <f>F136+73</f>
        <v>948</v>
      </c>
      <c r="U138" s="346">
        <f t="shared" si="238"/>
        <v>948</v>
      </c>
      <c r="V138" s="600">
        <f>F136+68</f>
        <v>943</v>
      </c>
      <c r="W138" s="346">
        <f>+V138*$X$1</f>
        <v>943</v>
      </c>
      <c r="X138" s="826"/>
      <c r="Y138" s="827"/>
      <c r="Z138" s="827"/>
      <c r="AA138" s="786"/>
      <c r="AB138" s="546">
        <v>322</v>
      </c>
    </row>
    <row r="139" spans="1:33" ht="12.6" customHeight="1" x14ac:dyDescent="0.2">
      <c r="A139" s="20"/>
      <c r="B139" s="801" t="s">
        <v>384</v>
      </c>
      <c r="C139" s="802"/>
      <c r="D139" s="802"/>
      <c r="E139" s="802"/>
      <c r="F139" s="401">
        <v>1020</v>
      </c>
      <c r="G139" s="379">
        <f>+F139*$X$1</f>
        <v>1020</v>
      </c>
      <c r="H139" s="323" t="s">
        <v>184</v>
      </c>
      <c r="I139" s="210"/>
      <c r="J139" s="87"/>
      <c r="K139" s="87"/>
      <c r="L139" s="87"/>
      <c r="M139" s="87"/>
      <c r="N139" s="87"/>
      <c r="O139" s="87"/>
      <c r="P139" s="88">
        <v>90</v>
      </c>
      <c r="Q139" s="324">
        <f>+P139*$X$1</f>
        <v>90</v>
      </c>
      <c r="R139" s="69"/>
      <c r="S139" s="428"/>
      <c r="T139" s="327"/>
      <c r="U139" s="436"/>
      <c r="V139" s="90"/>
      <c r="W139" s="438"/>
      <c r="X139" s="826"/>
      <c r="Y139" s="827"/>
      <c r="Z139" s="827"/>
      <c r="AA139" s="786"/>
      <c r="AB139" s="554"/>
    </row>
    <row r="140" spans="1:33" ht="12.6" customHeight="1" x14ac:dyDescent="0.2">
      <c r="A140" s="20"/>
      <c r="B140" s="712" t="s">
        <v>186</v>
      </c>
      <c r="C140" s="699"/>
      <c r="D140" s="699"/>
      <c r="E140" s="699"/>
      <c r="F140" s="578">
        <v>1090</v>
      </c>
      <c r="G140" s="434">
        <f>+F140*$X$1</f>
        <v>1090</v>
      </c>
      <c r="H140" s="328" t="s">
        <v>184</v>
      </c>
      <c r="I140" s="329"/>
      <c r="J140" s="87"/>
      <c r="K140" s="87"/>
      <c r="L140" s="87"/>
      <c r="M140" s="87"/>
      <c r="N140" s="87"/>
      <c r="O140" s="87"/>
      <c r="P140" s="88">
        <v>90</v>
      </c>
      <c r="Q140" s="211">
        <f>+P140*$X$1</f>
        <v>90</v>
      </c>
      <c r="R140" s="309"/>
      <c r="S140" s="418"/>
      <c r="T140" s="326"/>
      <c r="U140" s="437"/>
      <c r="V140" s="93"/>
      <c r="W140" s="388"/>
      <c r="X140" s="826"/>
      <c r="Y140" s="827"/>
      <c r="Z140" s="827"/>
      <c r="AA140" s="786"/>
      <c r="AB140" s="554"/>
    </row>
    <row r="141" spans="1:33" ht="12.6" customHeight="1" x14ac:dyDescent="0.2">
      <c r="A141" s="20"/>
      <c r="B141" s="719" t="s">
        <v>187</v>
      </c>
      <c r="C141" s="720"/>
      <c r="D141" s="720"/>
      <c r="E141" s="720"/>
      <c r="F141" s="423"/>
      <c r="G141" s="423"/>
      <c r="H141" s="336"/>
      <c r="I141" s="420"/>
      <c r="J141" s="383">
        <f>F140+110</f>
        <v>1200</v>
      </c>
      <c r="K141" s="345">
        <f t="shared" ref="K141" si="239">+J141*$X$1</f>
        <v>1200</v>
      </c>
      <c r="L141" s="383">
        <f>F140+70</f>
        <v>1160</v>
      </c>
      <c r="M141" s="345">
        <f>+L141*$X$1</f>
        <v>1160</v>
      </c>
      <c r="N141" s="383">
        <f>F140+45</f>
        <v>1135</v>
      </c>
      <c r="O141" s="345">
        <f>+N141*$X$1</f>
        <v>1135</v>
      </c>
      <c r="P141" s="383">
        <f>F140+41</f>
        <v>1131</v>
      </c>
      <c r="Q141" s="345">
        <f t="shared" ref="Q141" si="240">+P141*$X$1</f>
        <v>1131</v>
      </c>
      <c r="R141" s="600">
        <f>F140+38</f>
        <v>1128</v>
      </c>
      <c r="S141" s="345">
        <f>+R141*$X$1</f>
        <v>1128</v>
      </c>
      <c r="T141" s="383">
        <f>F140+32</f>
        <v>1122</v>
      </c>
      <c r="U141" s="345">
        <f t="shared" ref="U141" si="241">+T141*$X$1</f>
        <v>1122</v>
      </c>
      <c r="V141" s="383">
        <f>F140+28</f>
        <v>1118</v>
      </c>
      <c r="W141" s="345">
        <f>+V141*$X$1</f>
        <v>1118</v>
      </c>
      <c r="X141" s="826"/>
      <c r="Y141" s="827"/>
      <c r="Z141" s="827"/>
      <c r="AA141" s="786"/>
      <c r="AB141" s="546">
        <v>325</v>
      </c>
    </row>
    <row r="142" spans="1:33" ht="12.6" customHeight="1" x14ac:dyDescent="0.2">
      <c r="A142" s="20"/>
      <c r="B142" s="712" t="s">
        <v>645</v>
      </c>
      <c r="C142" s="699"/>
      <c r="D142" s="699"/>
      <c r="E142" s="699"/>
      <c r="F142" s="422"/>
      <c r="G142" s="422"/>
      <c r="H142" s="335"/>
      <c r="I142" s="421"/>
      <c r="J142" s="600">
        <f>F140+240</f>
        <v>1330</v>
      </c>
      <c r="K142" s="346">
        <f t="shared" ref="K142:K145" si="242">+J142*$X$1</f>
        <v>1330</v>
      </c>
      <c r="L142" s="600">
        <f>F140+150</f>
        <v>1240</v>
      </c>
      <c r="M142" s="346">
        <f>+L142*$X$1</f>
        <v>1240</v>
      </c>
      <c r="N142" s="600">
        <f>F140+110</f>
        <v>1200</v>
      </c>
      <c r="O142" s="346">
        <f>+N142*$X$1</f>
        <v>1200</v>
      </c>
      <c r="P142" s="600">
        <f>F140+100</f>
        <v>1190</v>
      </c>
      <c r="Q142" s="346">
        <f t="shared" ref="Q142:Q145" si="243">+P142*$X$1</f>
        <v>1190</v>
      </c>
      <c r="R142" s="600">
        <f>F140+86</f>
        <v>1176</v>
      </c>
      <c r="S142" s="346">
        <f>+R142*$X$1</f>
        <v>1176</v>
      </c>
      <c r="T142" s="600">
        <f>F140+75</f>
        <v>1165</v>
      </c>
      <c r="U142" s="346">
        <f t="shared" ref="U142:U145" si="244">+T142*$X$1</f>
        <v>1165</v>
      </c>
      <c r="V142" s="600">
        <f>F140+70</f>
        <v>1160</v>
      </c>
      <c r="W142" s="346">
        <f>+V142*$X$1</f>
        <v>1160</v>
      </c>
      <c r="X142" s="826"/>
      <c r="Y142" s="827"/>
      <c r="Z142" s="827"/>
      <c r="AA142" s="786"/>
      <c r="AB142" s="546">
        <v>326</v>
      </c>
    </row>
    <row r="143" spans="1:33" ht="12.6" customHeight="1" x14ac:dyDescent="0.2">
      <c r="A143" s="20"/>
      <c r="B143" s="719" t="s">
        <v>407</v>
      </c>
      <c r="C143" s="720"/>
      <c r="D143" s="720"/>
      <c r="E143" s="720"/>
      <c r="F143" s="481">
        <f>8.3*X2</f>
        <v>7636.0000000000009</v>
      </c>
      <c r="G143" s="345">
        <f>+F143*$X$1</f>
        <v>7636.0000000000009</v>
      </c>
      <c r="H143" s="383">
        <f>F143+250</f>
        <v>7886.0000000000009</v>
      </c>
      <c r="I143" s="345">
        <f t="shared" ref="I143" si="245">+H143*$X$1</f>
        <v>7886.0000000000009</v>
      </c>
      <c r="J143" s="383">
        <f>F143+80</f>
        <v>7716.0000000000009</v>
      </c>
      <c r="K143" s="345">
        <f t="shared" si="242"/>
        <v>7716.0000000000009</v>
      </c>
      <c r="L143" s="383">
        <f>F143+60</f>
        <v>7696.0000000000009</v>
      </c>
      <c r="M143" s="345">
        <f t="shared" ref="M143:M145" si="246">+L143*$X$1</f>
        <v>7696.0000000000009</v>
      </c>
      <c r="N143" s="383">
        <f>F143+40</f>
        <v>7676.0000000000009</v>
      </c>
      <c r="O143" s="345">
        <f t="shared" ref="O143:O145" si="247">+N143*$X$1</f>
        <v>7676.0000000000009</v>
      </c>
      <c r="P143" s="383">
        <f>F143+37</f>
        <v>7673.0000000000009</v>
      </c>
      <c r="Q143" s="345">
        <f t="shared" si="243"/>
        <v>7673.0000000000009</v>
      </c>
      <c r="R143" s="383">
        <f>F143+33</f>
        <v>7669.0000000000009</v>
      </c>
      <c r="S143" s="345">
        <f t="shared" ref="S143:S145" si="248">+R143*$X$1</f>
        <v>7669.0000000000009</v>
      </c>
      <c r="T143" s="383">
        <f>F143+29</f>
        <v>7665.0000000000009</v>
      </c>
      <c r="U143" s="345">
        <f t="shared" si="244"/>
        <v>7665.0000000000009</v>
      </c>
      <c r="V143" s="383">
        <f>F143+25</f>
        <v>7661.0000000000009</v>
      </c>
      <c r="W143" s="345">
        <f t="shared" ref="W143:W145" si="249">+V143*$X$1</f>
        <v>7661.0000000000009</v>
      </c>
      <c r="X143" s="728"/>
      <c r="Y143" s="734"/>
      <c r="Z143" s="734"/>
      <c r="AA143" s="711"/>
      <c r="AB143" s="208">
        <v>332</v>
      </c>
    </row>
    <row r="144" spans="1:33" ht="12.6" customHeight="1" x14ac:dyDescent="0.2">
      <c r="A144" s="20"/>
      <c r="B144" s="712" t="s">
        <v>792</v>
      </c>
      <c r="C144" s="699"/>
      <c r="D144" s="699"/>
      <c r="E144" s="699"/>
      <c r="F144" s="482"/>
      <c r="G144" s="346"/>
      <c r="H144" s="600"/>
      <c r="I144" s="346"/>
      <c r="J144" s="600"/>
      <c r="K144" s="346"/>
      <c r="L144" s="600"/>
      <c r="M144" s="346"/>
      <c r="N144" s="600"/>
      <c r="O144" s="346"/>
      <c r="P144" s="600"/>
      <c r="Q144" s="346"/>
      <c r="R144" s="600"/>
      <c r="S144" s="346"/>
      <c r="T144" s="600"/>
      <c r="U144" s="346"/>
      <c r="V144" s="600"/>
      <c r="W144" s="346"/>
      <c r="X144" s="728"/>
      <c r="Y144" s="734"/>
      <c r="Z144" s="734"/>
      <c r="AA144" s="711"/>
      <c r="AB144" s="208">
        <v>334</v>
      </c>
    </row>
    <row r="145" spans="1:34" ht="12.6" customHeight="1" x14ac:dyDescent="0.2">
      <c r="A145" s="20"/>
      <c r="B145" s="724" t="s">
        <v>793</v>
      </c>
      <c r="C145" s="725"/>
      <c r="D145" s="725"/>
      <c r="E145" s="725"/>
      <c r="F145" s="481">
        <f>5.54*X2</f>
        <v>5096.8</v>
      </c>
      <c r="G145" s="345">
        <f>+F145*$X$1</f>
        <v>5096.8</v>
      </c>
      <c r="H145" s="383">
        <f>F145+250</f>
        <v>5346.8</v>
      </c>
      <c r="I145" s="345">
        <f t="shared" ref="I145" si="250">+H145*$X$1</f>
        <v>5346.8</v>
      </c>
      <c r="J145" s="383">
        <f>F145+80</f>
        <v>5176.8</v>
      </c>
      <c r="K145" s="345">
        <f t="shared" si="242"/>
        <v>5176.8</v>
      </c>
      <c r="L145" s="383">
        <f>F145+60</f>
        <v>5156.8</v>
      </c>
      <c r="M145" s="345">
        <f t="shared" si="246"/>
        <v>5156.8</v>
      </c>
      <c r="N145" s="383">
        <f>F145+40</f>
        <v>5136.8</v>
      </c>
      <c r="O145" s="345">
        <f t="shared" si="247"/>
        <v>5136.8</v>
      </c>
      <c r="P145" s="383">
        <f>F145+37</f>
        <v>5133.8</v>
      </c>
      <c r="Q145" s="345">
        <f t="shared" si="243"/>
        <v>5133.8</v>
      </c>
      <c r="R145" s="383">
        <f>F145+33</f>
        <v>5129.8</v>
      </c>
      <c r="S145" s="345">
        <f t="shared" si="248"/>
        <v>5129.8</v>
      </c>
      <c r="T145" s="383">
        <f>F145+29</f>
        <v>5125.8</v>
      </c>
      <c r="U145" s="345">
        <f t="shared" si="244"/>
        <v>5125.8</v>
      </c>
      <c r="V145" s="383">
        <f>F145+25</f>
        <v>5121.8</v>
      </c>
      <c r="W145" s="345">
        <f t="shared" si="249"/>
        <v>5121.8</v>
      </c>
      <c r="X145" s="728"/>
      <c r="Y145" s="734"/>
      <c r="Z145" s="734"/>
      <c r="AA145" s="711"/>
      <c r="AB145" s="208">
        <v>337</v>
      </c>
    </row>
    <row r="146" spans="1:34" ht="12.6" customHeight="1" x14ac:dyDescent="0.2">
      <c r="A146" s="20"/>
      <c r="B146" s="1080" t="s">
        <v>577</v>
      </c>
      <c r="C146" s="713"/>
      <c r="D146" s="713"/>
      <c r="E146" s="713"/>
      <c r="F146" s="482"/>
      <c r="G146" s="346"/>
      <c r="H146" s="600"/>
      <c r="I146" s="346"/>
      <c r="J146" s="600"/>
      <c r="K146" s="346"/>
      <c r="L146" s="600"/>
      <c r="M146" s="346"/>
      <c r="N146" s="600"/>
      <c r="O146" s="346"/>
      <c r="P146" s="600"/>
      <c r="Q146" s="346"/>
      <c r="R146" s="600"/>
      <c r="S146" s="346"/>
      <c r="T146" s="600"/>
      <c r="U146" s="346"/>
      <c r="V146" s="600"/>
      <c r="W146" s="346"/>
      <c r="X146" s="728"/>
      <c r="Y146" s="734"/>
      <c r="Z146" s="734"/>
      <c r="AA146" s="711"/>
      <c r="AB146" s="208">
        <v>338</v>
      </c>
    </row>
    <row r="147" spans="1:34" ht="12.6" customHeight="1" x14ac:dyDescent="0.2">
      <c r="A147" s="22"/>
      <c r="B147" s="729" t="s">
        <v>385</v>
      </c>
      <c r="C147" s="730"/>
      <c r="D147" s="730"/>
      <c r="E147" s="730"/>
      <c r="F147" s="372"/>
      <c r="G147" s="372"/>
      <c r="H147" s="562"/>
      <c r="I147" s="562"/>
      <c r="J147" s="383"/>
      <c r="K147" s="345"/>
      <c r="L147" s="383"/>
      <c r="M147" s="345"/>
      <c r="N147" s="90"/>
      <c r="O147" s="372"/>
      <c r="P147" s="90"/>
      <c r="Q147" s="372"/>
      <c r="R147" s="108"/>
      <c r="S147" s="372"/>
      <c r="T147" s="108"/>
      <c r="U147" s="304"/>
      <c r="V147" s="108"/>
      <c r="W147" s="304"/>
      <c r="X147" s="161"/>
      <c r="Y147" s="161"/>
      <c r="Z147" s="161"/>
      <c r="AA147" s="161"/>
      <c r="AB147" s="208">
        <v>344</v>
      </c>
    </row>
    <row r="148" spans="1:34" ht="12.6" customHeight="1" x14ac:dyDescent="0.2">
      <c r="A148" s="22"/>
      <c r="B148" s="712" t="s">
        <v>188</v>
      </c>
      <c r="C148" s="699"/>
      <c r="D148" s="699"/>
      <c r="E148" s="699"/>
      <c r="F148" s="346"/>
      <c r="G148" s="346"/>
      <c r="H148" s="550"/>
      <c r="I148" s="550"/>
      <c r="J148" s="563"/>
      <c r="K148" s="346"/>
      <c r="L148" s="563"/>
      <c r="M148" s="346"/>
      <c r="N148" s="94"/>
      <c r="O148" s="388"/>
      <c r="P148" s="94"/>
      <c r="Q148" s="388"/>
      <c r="R148" s="107"/>
      <c r="S148" s="388"/>
      <c r="T148" s="107"/>
      <c r="U148" s="371"/>
      <c r="V148" s="107"/>
      <c r="W148" s="371"/>
      <c r="X148" s="161"/>
      <c r="Y148" s="161"/>
      <c r="Z148" s="161"/>
      <c r="AA148" s="161"/>
      <c r="AB148" s="208">
        <v>345</v>
      </c>
    </row>
    <row r="149" spans="1:34" ht="12.6" customHeight="1" x14ac:dyDescent="0.2">
      <c r="A149" s="22"/>
      <c r="B149" s="1078" t="s">
        <v>189</v>
      </c>
      <c r="C149" s="1079"/>
      <c r="D149" s="1079"/>
      <c r="E149" s="1079"/>
      <c r="F149" s="345">
        <v>350</v>
      </c>
      <c r="G149" s="345">
        <f t="shared" ref="G149" si="251">+F149*$X$1</f>
        <v>350</v>
      </c>
      <c r="H149" s="562"/>
      <c r="I149" s="602"/>
      <c r="J149" s="383">
        <f>F149+250</f>
        <v>600</v>
      </c>
      <c r="K149" s="345">
        <f t="shared" ref="K149" si="252">+J149*$X$1</f>
        <v>600</v>
      </c>
      <c r="L149" s="383">
        <f>F149+200</f>
        <v>550</v>
      </c>
      <c r="M149" s="345">
        <f>+L149*$X$1</f>
        <v>550</v>
      </c>
      <c r="N149" s="383">
        <f>F149+170</f>
        <v>520</v>
      </c>
      <c r="O149" s="345">
        <f>+N149*$X$1</f>
        <v>520</v>
      </c>
      <c r="P149" s="383">
        <f>F149+140</f>
        <v>490</v>
      </c>
      <c r="Q149" s="345">
        <f t="shared" ref="Q149" si="253">+P149*$X$1</f>
        <v>490</v>
      </c>
      <c r="R149" s="383">
        <f>F149+120</f>
        <v>470</v>
      </c>
      <c r="S149" s="345">
        <f>+R149*$X$1</f>
        <v>470</v>
      </c>
      <c r="T149" s="383">
        <f>F149+100</f>
        <v>450</v>
      </c>
      <c r="U149" s="345">
        <f t="shared" ref="U149" si="254">+T149*$X$1</f>
        <v>450</v>
      </c>
      <c r="V149" s="383">
        <f>F149+90</f>
        <v>440</v>
      </c>
      <c r="W149" s="345">
        <f>+V149*$X$1</f>
        <v>440</v>
      </c>
      <c r="X149" s="161"/>
      <c r="Y149" s="161"/>
      <c r="Z149" s="161"/>
      <c r="AA149" s="161"/>
      <c r="AB149" s="208">
        <v>347</v>
      </c>
    </row>
    <row r="150" spans="1:34" ht="12.6" customHeight="1" x14ac:dyDescent="0.2">
      <c r="A150" s="22"/>
      <c r="B150" s="712" t="s">
        <v>753</v>
      </c>
      <c r="C150" s="699"/>
      <c r="D150" s="699"/>
      <c r="E150" s="699"/>
      <c r="F150" s="361"/>
      <c r="G150" s="581"/>
      <c r="H150" s="563"/>
      <c r="I150" s="563"/>
      <c r="J150" s="563"/>
      <c r="K150" s="563"/>
      <c r="L150" s="310"/>
      <c r="M150" s="310"/>
      <c r="N150" s="340"/>
      <c r="O150" s="563"/>
      <c r="P150" s="310"/>
      <c r="Q150" s="310"/>
      <c r="R150" s="563"/>
      <c r="S150" s="563"/>
      <c r="T150" s="563"/>
      <c r="U150" s="98"/>
      <c r="V150" s="563"/>
      <c r="W150" s="98"/>
      <c r="X150" s="161"/>
      <c r="Y150" s="161"/>
      <c r="Z150" s="161"/>
      <c r="AA150" s="161"/>
      <c r="AB150" s="208">
        <v>348</v>
      </c>
    </row>
    <row r="151" spans="1:34" ht="12.6" customHeight="1" x14ac:dyDescent="0.2">
      <c r="A151" s="22"/>
      <c r="B151" s="719" t="s">
        <v>190</v>
      </c>
      <c r="C151" s="720"/>
      <c r="D151" s="720"/>
      <c r="E151" s="720"/>
      <c r="F151" s="362"/>
      <c r="G151" s="580"/>
      <c r="H151" s="383"/>
      <c r="I151" s="383"/>
      <c r="J151" s="383"/>
      <c r="K151" s="383"/>
      <c r="L151" s="313"/>
      <c r="M151" s="313"/>
      <c r="N151" s="333"/>
      <c r="O151" s="383"/>
      <c r="P151" s="313"/>
      <c r="Q151" s="313"/>
      <c r="R151" s="383"/>
      <c r="S151" s="383"/>
      <c r="T151" s="383"/>
      <c r="U151" s="100"/>
      <c r="V151" s="383"/>
      <c r="W151" s="100"/>
      <c r="X151" s="161"/>
      <c r="Y151" s="161"/>
      <c r="Z151" s="161"/>
      <c r="AA151" s="161"/>
      <c r="AB151" s="208">
        <v>349</v>
      </c>
    </row>
    <row r="152" spans="1:34" ht="12.6" customHeight="1" x14ac:dyDescent="0.2">
      <c r="A152" s="22"/>
      <c r="B152" s="712" t="s">
        <v>191</v>
      </c>
      <c r="C152" s="699"/>
      <c r="D152" s="699"/>
      <c r="E152" s="699"/>
      <c r="F152" s="361"/>
      <c r="G152" s="581"/>
      <c r="H152" s="563"/>
      <c r="I152" s="563"/>
      <c r="J152" s="563"/>
      <c r="K152" s="563"/>
      <c r="L152" s="310"/>
      <c r="M152" s="310"/>
      <c r="N152" s="340"/>
      <c r="O152" s="563"/>
      <c r="P152" s="310"/>
      <c r="Q152" s="310"/>
      <c r="R152" s="563"/>
      <c r="S152" s="563"/>
      <c r="T152" s="563"/>
      <c r="U152" s="98"/>
      <c r="V152" s="563"/>
      <c r="W152" s="98"/>
      <c r="X152" s="161"/>
      <c r="Y152" s="161"/>
      <c r="Z152" s="161"/>
      <c r="AA152" s="161"/>
      <c r="AB152" s="208">
        <v>350</v>
      </c>
    </row>
    <row r="153" spans="1:34" ht="12.6" customHeight="1" x14ac:dyDescent="0.2">
      <c r="A153" s="22"/>
      <c r="B153" s="719" t="s">
        <v>192</v>
      </c>
      <c r="C153" s="720"/>
      <c r="D153" s="720"/>
      <c r="E153" s="720"/>
      <c r="F153" s="362"/>
      <c r="G153" s="580"/>
      <c r="H153" s="383"/>
      <c r="I153" s="383"/>
      <c r="J153" s="383"/>
      <c r="K153" s="383"/>
      <c r="L153" s="313"/>
      <c r="M153" s="313"/>
      <c r="N153" s="333"/>
      <c r="O153" s="383"/>
      <c r="P153" s="313"/>
      <c r="Q153" s="313"/>
      <c r="R153" s="383"/>
      <c r="S153" s="383"/>
      <c r="T153" s="383"/>
      <c r="U153" s="100"/>
      <c r="V153" s="383"/>
      <c r="W153" s="100"/>
      <c r="X153" s="161"/>
      <c r="Y153" s="161"/>
      <c r="Z153" s="161"/>
      <c r="AA153" s="161"/>
      <c r="AB153" s="208">
        <v>351</v>
      </c>
    </row>
    <row r="154" spans="1:34" ht="12.6" customHeight="1" x14ac:dyDescent="0.2">
      <c r="A154" s="22"/>
      <c r="B154" s="712" t="s">
        <v>193</v>
      </c>
      <c r="C154" s="699"/>
      <c r="D154" s="699"/>
      <c r="E154" s="699"/>
      <c r="F154" s="361"/>
      <c r="G154" s="581"/>
      <c r="H154" s="563"/>
      <c r="I154" s="563"/>
      <c r="J154" s="563"/>
      <c r="K154" s="563"/>
      <c r="L154" s="310"/>
      <c r="M154" s="310"/>
      <c r="N154" s="107"/>
      <c r="O154" s="563"/>
      <c r="P154" s="310"/>
      <c r="Q154" s="310"/>
      <c r="R154" s="563"/>
      <c r="S154" s="563"/>
      <c r="T154" s="107"/>
      <c r="U154" s="569"/>
      <c r="V154" s="107"/>
      <c r="W154" s="569"/>
      <c r="X154" s="161"/>
      <c r="Y154" s="161"/>
      <c r="Z154" s="161"/>
      <c r="AA154" s="161"/>
      <c r="AB154" s="208">
        <v>352</v>
      </c>
    </row>
    <row r="155" spans="1:34" ht="12.6" customHeight="1" x14ac:dyDescent="0.2">
      <c r="A155" s="22"/>
      <c r="B155" s="714" t="s">
        <v>433</v>
      </c>
      <c r="C155" s="717"/>
      <c r="D155" s="717"/>
      <c r="E155" s="718"/>
      <c r="F155" s="487">
        <f>0.88*X2</f>
        <v>809.6</v>
      </c>
      <c r="G155" s="304">
        <f t="shared" ref="G155" si="255">+F155*$X$1</f>
        <v>809.6</v>
      </c>
      <c r="H155" s="568"/>
      <c r="I155" s="345"/>
      <c r="J155" s="383"/>
      <c r="K155" s="345"/>
      <c r="L155" s="383">
        <f t="shared" ref="L155" si="256">F155+70</f>
        <v>879.6</v>
      </c>
      <c r="M155" s="345">
        <f t="shared" ref="M155" si="257">+L155*$X$1</f>
        <v>879.6</v>
      </c>
      <c r="N155" s="383">
        <f>F155+50</f>
        <v>859.6</v>
      </c>
      <c r="O155" s="345">
        <f t="shared" ref="O155" si="258">+N155*$X$1</f>
        <v>859.6</v>
      </c>
      <c r="P155" s="383">
        <f>F155+40</f>
        <v>849.6</v>
      </c>
      <c r="Q155" s="345">
        <f t="shared" ref="Q155" si="259">+P155*$X$1</f>
        <v>849.6</v>
      </c>
      <c r="R155" s="383">
        <f>F155+33</f>
        <v>842.6</v>
      </c>
      <c r="S155" s="345">
        <f t="shared" ref="S155" si="260">+R155*$X$1</f>
        <v>842.6</v>
      </c>
      <c r="T155" s="108">
        <f>F155+28</f>
        <v>837.6</v>
      </c>
      <c r="U155" s="304">
        <f t="shared" ref="U155" si="261">+T155*$X$1</f>
        <v>837.6</v>
      </c>
      <c r="V155" s="108">
        <f>F155+24</f>
        <v>833.6</v>
      </c>
      <c r="W155" s="304">
        <f t="shared" ref="W155" si="262">+V155*$X$1</f>
        <v>833.6</v>
      </c>
      <c r="X155" s="721"/>
      <c r="Y155" s="811"/>
      <c r="Z155" s="811"/>
      <c r="AA155" s="812"/>
      <c r="AB155" s="208">
        <v>370</v>
      </c>
    </row>
    <row r="156" spans="1:34" ht="12.75" customHeight="1" x14ac:dyDescent="0.2">
      <c r="A156" s="20"/>
      <c r="B156" s="3"/>
      <c r="C156" s="3"/>
      <c r="D156" s="3"/>
      <c r="E156" s="3"/>
      <c r="F156" s="138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8"/>
      <c r="W156" s="8"/>
      <c r="Y156" s="4"/>
      <c r="Z156" s="4"/>
      <c r="AA156" s="4"/>
      <c r="AB156" s="4"/>
      <c r="AC156" s="4"/>
      <c r="AD156" s="4"/>
    </row>
    <row r="157" spans="1:34" ht="12.75" customHeight="1" x14ac:dyDescent="0.2">
      <c r="A157" s="20"/>
      <c r="B157" s="3"/>
      <c r="C157" s="3"/>
      <c r="D157" s="3"/>
      <c r="E157" s="69"/>
      <c r="F157" s="138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"/>
      <c r="W157" s="8"/>
      <c r="Y157" s="4"/>
      <c r="Z157" s="4"/>
      <c r="AA157" s="4"/>
      <c r="AB157" s="4"/>
      <c r="AC157" s="4"/>
      <c r="AD157" s="4"/>
    </row>
    <row r="158" spans="1:34" ht="12.75" customHeight="1" thickBot="1" x14ac:dyDescent="0.25">
      <c r="A158" s="20"/>
      <c r="B158" s="3"/>
      <c r="C158" s="3"/>
      <c r="D158" s="3"/>
      <c r="E158" s="3"/>
      <c r="F158" s="104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8"/>
      <c r="W158" s="8"/>
      <c r="Y158" s="4"/>
      <c r="Z158" s="4"/>
      <c r="AA158" s="4"/>
      <c r="AB158" s="4"/>
      <c r="AC158" s="4"/>
      <c r="AD158" s="4"/>
    </row>
    <row r="159" spans="1:34" ht="14.25" customHeight="1" x14ac:dyDescent="0.2">
      <c r="A159" s="20"/>
      <c r="B159" s="912" t="s">
        <v>11</v>
      </c>
      <c r="C159" s="745" t="s">
        <v>12</v>
      </c>
      <c r="D159" s="746"/>
      <c r="E159" s="746"/>
      <c r="F159" s="817" t="s">
        <v>13</v>
      </c>
      <c r="G159" s="817" t="s">
        <v>13</v>
      </c>
      <c r="H159" s="765" t="s">
        <v>14</v>
      </c>
      <c r="I159" s="765"/>
      <c r="J159" s="766"/>
      <c r="K159" s="766"/>
      <c r="L159" s="766"/>
      <c r="M159" s="766"/>
      <c r="N159" s="766"/>
      <c r="O159" s="766"/>
      <c r="P159" s="766"/>
      <c r="Q159" s="766"/>
      <c r="R159" s="766"/>
      <c r="S159" s="766"/>
      <c r="T159" s="766"/>
      <c r="U159" s="766"/>
      <c r="V159" s="766"/>
      <c r="W159" s="767"/>
      <c r="X159" s="756" t="s">
        <v>15</v>
      </c>
      <c r="Y159" s="757"/>
      <c r="Z159" s="757"/>
      <c r="AA159" s="1117"/>
      <c r="AB159" s="754" t="s">
        <v>16</v>
      </c>
      <c r="AF159" s="752" t="s">
        <v>3</v>
      </c>
      <c r="AG159" s="753"/>
      <c r="AH159" s="753"/>
    </row>
    <row r="160" spans="1:34" ht="12.6" customHeight="1" thickBot="1" x14ac:dyDescent="0.25">
      <c r="A160" s="20"/>
      <c r="B160" s="913"/>
      <c r="C160" s="747"/>
      <c r="D160" s="747"/>
      <c r="E160" s="747"/>
      <c r="F160" s="818"/>
      <c r="G160" s="818"/>
      <c r="H160" s="297"/>
      <c r="I160" s="293" t="s">
        <v>311</v>
      </c>
      <c r="J160" s="297"/>
      <c r="K160" s="293" t="s">
        <v>18</v>
      </c>
      <c r="L160" s="298"/>
      <c r="M160" s="298" t="s">
        <v>19</v>
      </c>
      <c r="N160" s="298"/>
      <c r="O160" s="293" t="s">
        <v>20</v>
      </c>
      <c r="P160" s="298"/>
      <c r="Q160" s="298" t="s">
        <v>313</v>
      </c>
      <c r="R160" s="298"/>
      <c r="S160" s="298" t="s">
        <v>21</v>
      </c>
      <c r="T160" s="298"/>
      <c r="U160" s="298" t="s">
        <v>22</v>
      </c>
      <c r="V160" s="298"/>
      <c r="W160" s="300" t="s">
        <v>23</v>
      </c>
      <c r="X160" s="758"/>
      <c r="Y160" s="759"/>
      <c r="Z160" s="759"/>
      <c r="AA160" s="1118"/>
      <c r="AB160" s="755"/>
      <c r="AG160" s="35"/>
    </row>
    <row r="161" spans="1:28" ht="12.6" customHeight="1" x14ac:dyDescent="0.2">
      <c r="A161" s="22"/>
      <c r="B161" s="774" t="s">
        <v>649</v>
      </c>
      <c r="C161" s="775"/>
      <c r="D161" s="775"/>
      <c r="E161" s="776"/>
      <c r="F161" s="346">
        <v>1154</v>
      </c>
      <c r="G161" s="371">
        <f t="shared" ref="G161:G165" si="263">+F161*$X$1</f>
        <v>1154</v>
      </c>
      <c r="H161" s="600"/>
      <c r="I161" s="346"/>
      <c r="J161" s="600">
        <f>F161+120</f>
        <v>1274</v>
      </c>
      <c r="K161" s="346">
        <f t="shared" ref="K161" si="264">+J161*$X$1</f>
        <v>1274</v>
      </c>
      <c r="L161" s="600">
        <f t="shared" ref="L161:L162" si="265">F161+70</f>
        <v>1224</v>
      </c>
      <c r="M161" s="346">
        <f t="shared" ref="M161:M162" si="266">+L161*$X$1</f>
        <v>1224</v>
      </c>
      <c r="N161" s="600">
        <f>F161+50</f>
        <v>1204</v>
      </c>
      <c r="O161" s="346">
        <f t="shared" ref="O161:O167" si="267">+N161*$X$1</f>
        <v>1204</v>
      </c>
      <c r="P161" s="600">
        <f>F161+40</f>
        <v>1194</v>
      </c>
      <c r="Q161" s="346">
        <f t="shared" ref="Q161:Q162" si="268">+P161*$X$1</f>
        <v>1194</v>
      </c>
      <c r="R161" s="600"/>
      <c r="S161" s="346"/>
      <c r="T161" s="107"/>
      <c r="U161" s="371"/>
      <c r="V161" s="107"/>
      <c r="W161" s="371"/>
      <c r="X161" s="721"/>
      <c r="Y161" s="811"/>
      <c r="Z161" s="811"/>
      <c r="AA161" s="812"/>
      <c r="AB161" s="208">
        <v>373</v>
      </c>
    </row>
    <row r="162" spans="1:28" ht="12.6" customHeight="1" x14ac:dyDescent="0.2">
      <c r="A162" s="22"/>
      <c r="B162" s="714" t="s">
        <v>194</v>
      </c>
      <c r="C162" s="717"/>
      <c r="D162" s="717"/>
      <c r="E162" s="718"/>
      <c r="F162" s="481">
        <f>1.352*X2</f>
        <v>1243.8400000000001</v>
      </c>
      <c r="G162" s="304">
        <f t="shared" si="263"/>
        <v>1243.8400000000001</v>
      </c>
      <c r="H162" s="387"/>
      <c r="I162" s="420"/>
      <c r="J162" s="383">
        <f>F162+120</f>
        <v>1363.8400000000001</v>
      </c>
      <c r="K162" s="345">
        <f t="shared" ref="K162:K163" si="269">+J162*$X$1</f>
        <v>1363.8400000000001</v>
      </c>
      <c r="L162" s="383">
        <f t="shared" si="265"/>
        <v>1313.8400000000001</v>
      </c>
      <c r="M162" s="345">
        <f t="shared" si="266"/>
        <v>1313.8400000000001</v>
      </c>
      <c r="N162" s="383">
        <f>F162+50</f>
        <v>1293.8400000000001</v>
      </c>
      <c r="O162" s="345">
        <f t="shared" si="267"/>
        <v>1293.8400000000001</v>
      </c>
      <c r="P162" s="383">
        <f>F162+40</f>
        <v>1283.8400000000001</v>
      </c>
      <c r="Q162" s="345">
        <f t="shared" si="268"/>
        <v>1283.8400000000001</v>
      </c>
      <c r="R162" s="383">
        <f>F162+33</f>
        <v>1276.8400000000001</v>
      </c>
      <c r="S162" s="345">
        <f t="shared" ref="S162" si="270">+R162*$X$1</f>
        <v>1276.8400000000001</v>
      </c>
      <c r="T162" s="108">
        <f>F162+28</f>
        <v>1271.8400000000001</v>
      </c>
      <c r="U162" s="304">
        <f t="shared" ref="U162" si="271">+T162*$X$1</f>
        <v>1271.8400000000001</v>
      </c>
      <c r="V162" s="108">
        <f>F162+24</f>
        <v>1267.8400000000001</v>
      </c>
      <c r="W162" s="304">
        <f t="shared" ref="W162" si="272">+V162*$X$1</f>
        <v>1267.8400000000001</v>
      </c>
      <c r="X162" s="721"/>
      <c r="Y162" s="811"/>
      <c r="Z162" s="811"/>
      <c r="AA162" s="812"/>
      <c r="AB162" s="208">
        <v>375</v>
      </c>
    </row>
    <row r="163" spans="1:28" ht="12.6" customHeight="1" x14ac:dyDescent="0.2">
      <c r="A163" s="22"/>
      <c r="B163" s="774" t="s">
        <v>195</v>
      </c>
      <c r="C163" s="775"/>
      <c r="D163" s="775"/>
      <c r="E163" s="776"/>
      <c r="F163" s="482">
        <f>4.65*X2</f>
        <v>4278</v>
      </c>
      <c r="G163" s="371">
        <f t="shared" si="263"/>
        <v>4278</v>
      </c>
      <c r="H163" s="600">
        <f>F163+250</f>
        <v>4528</v>
      </c>
      <c r="I163" s="346">
        <f t="shared" ref="I163" si="273">+H163*$X$1</f>
        <v>4528</v>
      </c>
      <c r="J163" s="600">
        <f>F163+80</f>
        <v>4358</v>
      </c>
      <c r="K163" s="346">
        <f t="shared" si="269"/>
        <v>4358</v>
      </c>
      <c r="L163" s="600">
        <f>F163+60</f>
        <v>4338</v>
      </c>
      <c r="M163" s="346">
        <f t="shared" ref="M163" si="274">+L163*$X$1</f>
        <v>4338</v>
      </c>
      <c r="N163" s="600">
        <f>F163+40</f>
        <v>4318</v>
      </c>
      <c r="O163" s="346">
        <f t="shared" si="267"/>
        <v>4318</v>
      </c>
      <c r="P163" s="600">
        <f>F163+37</f>
        <v>4315</v>
      </c>
      <c r="Q163" s="346">
        <f t="shared" ref="Q163" si="275">+P163*$X$1</f>
        <v>4315</v>
      </c>
      <c r="R163" s="600">
        <f>F163+33</f>
        <v>4311</v>
      </c>
      <c r="S163" s="346">
        <f t="shared" ref="S163:S167" si="276">+R163*$X$1</f>
        <v>4311</v>
      </c>
      <c r="T163" s="600">
        <f>F163+29</f>
        <v>4307</v>
      </c>
      <c r="U163" s="346">
        <f t="shared" ref="U163:U167" si="277">+T163*$X$1</f>
        <v>4307</v>
      </c>
      <c r="V163" s="600">
        <f>F163+25</f>
        <v>4303</v>
      </c>
      <c r="W163" s="346">
        <f t="shared" ref="W163:W166" si="278">+V163*$X$1</f>
        <v>4303</v>
      </c>
      <c r="X163" s="728"/>
      <c r="Y163" s="734"/>
      <c r="Z163" s="734"/>
      <c r="AA163" s="711"/>
      <c r="AB163" s="208">
        <v>376</v>
      </c>
    </row>
    <row r="164" spans="1:28" ht="12.6" customHeight="1" x14ac:dyDescent="0.2">
      <c r="A164" s="22"/>
      <c r="B164" s="714" t="s">
        <v>196</v>
      </c>
      <c r="C164" s="717"/>
      <c r="D164" s="717"/>
      <c r="E164" s="718"/>
      <c r="F164" s="481">
        <f>3.54*X2</f>
        <v>3256.8</v>
      </c>
      <c r="G164" s="304">
        <f t="shared" si="263"/>
        <v>3256.8</v>
      </c>
      <c r="H164" s="387"/>
      <c r="I164" s="420"/>
      <c r="J164" s="383">
        <f>F164+120</f>
        <v>3376.8</v>
      </c>
      <c r="K164" s="345">
        <f t="shared" ref="K164:K167" si="279">+J164*$X$1</f>
        <v>3376.8</v>
      </c>
      <c r="L164" s="383">
        <f>F164+75</f>
        <v>3331.8</v>
      </c>
      <c r="M164" s="345">
        <f t="shared" ref="M164:M167" si="280">+L164*$X$1</f>
        <v>3331.8</v>
      </c>
      <c r="N164" s="383">
        <f>F164+44</f>
        <v>3300.8</v>
      </c>
      <c r="O164" s="345">
        <f t="shared" si="267"/>
        <v>3300.8</v>
      </c>
      <c r="P164" s="383">
        <f>F164+40</f>
        <v>3296.8</v>
      </c>
      <c r="Q164" s="345">
        <f t="shared" ref="Q164" si="281">+P164*$X$1</f>
        <v>3296.8</v>
      </c>
      <c r="R164" s="383">
        <f>F164+30</f>
        <v>3286.8</v>
      </c>
      <c r="S164" s="345">
        <f t="shared" si="276"/>
        <v>3286.8</v>
      </c>
      <c r="T164" s="108"/>
      <c r="U164" s="304"/>
      <c r="V164" s="108"/>
      <c r="W164" s="304"/>
      <c r="X164" s="721"/>
      <c r="Y164" s="811"/>
      <c r="Z164" s="811"/>
      <c r="AA164" s="812"/>
      <c r="AB164" s="208">
        <v>379</v>
      </c>
    </row>
    <row r="165" spans="1:28" ht="12.6" customHeight="1" x14ac:dyDescent="0.2">
      <c r="A165" s="111"/>
      <c r="B165" s="774" t="s">
        <v>458</v>
      </c>
      <c r="C165" s="775"/>
      <c r="D165" s="775"/>
      <c r="E165" s="776"/>
      <c r="F165" s="482">
        <f>1.843*X2</f>
        <v>1695.56</v>
      </c>
      <c r="G165" s="371">
        <f t="shared" si="263"/>
        <v>1695.56</v>
      </c>
      <c r="H165" s="344"/>
      <c r="I165" s="421"/>
      <c r="J165" s="600">
        <f>F165+120</f>
        <v>1815.56</v>
      </c>
      <c r="K165" s="346">
        <f t="shared" si="279"/>
        <v>1815.56</v>
      </c>
      <c r="L165" s="600">
        <f>F165+75</f>
        <v>1770.56</v>
      </c>
      <c r="M165" s="346">
        <f t="shared" si="280"/>
        <v>1770.56</v>
      </c>
      <c r="N165" s="600"/>
      <c r="O165" s="346"/>
      <c r="P165" s="600"/>
      <c r="Q165" s="346"/>
      <c r="R165" s="600"/>
      <c r="S165" s="346"/>
      <c r="T165" s="107"/>
      <c r="U165" s="371"/>
      <c r="V165" s="107"/>
      <c r="W165" s="371"/>
      <c r="X165" s="721"/>
      <c r="Y165" s="811"/>
      <c r="Z165" s="811"/>
      <c r="AA165" s="812"/>
      <c r="AB165" s="208">
        <v>382</v>
      </c>
    </row>
    <row r="166" spans="1:28" ht="12.6" customHeight="1" x14ac:dyDescent="0.2">
      <c r="A166" s="22"/>
      <c r="B166" s="714" t="s">
        <v>674</v>
      </c>
      <c r="C166" s="717"/>
      <c r="D166" s="717"/>
      <c r="E166" s="718"/>
      <c r="F166" s="481">
        <f>17.8*X2</f>
        <v>16376</v>
      </c>
      <c r="G166" s="304">
        <f t="shared" ref="G166:G167" si="282">+F166*$X$1</f>
        <v>16376</v>
      </c>
      <c r="H166" s="383">
        <f>F166+290</f>
        <v>16666</v>
      </c>
      <c r="I166" s="345">
        <f>+H166*$X$1</f>
        <v>16666</v>
      </c>
      <c r="J166" s="383">
        <f>F166+120</f>
        <v>16496</v>
      </c>
      <c r="K166" s="345">
        <f t="shared" si="279"/>
        <v>16496</v>
      </c>
      <c r="L166" s="383">
        <f>F166+74</f>
        <v>16450</v>
      </c>
      <c r="M166" s="345">
        <f t="shared" si="280"/>
        <v>16450</v>
      </c>
      <c r="N166" s="383">
        <f>F166+46</f>
        <v>16422</v>
      </c>
      <c r="O166" s="345">
        <f t="shared" si="267"/>
        <v>16422</v>
      </c>
      <c r="P166" s="383">
        <f>F166+42</f>
        <v>16418</v>
      </c>
      <c r="Q166" s="345">
        <f t="shared" ref="Q166:Q167" si="283">+P166*$X$1</f>
        <v>16418</v>
      </c>
      <c r="R166" s="383">
        <f>F166+35</f>
        <v>16411</v>
      </c>
      <c r="S166" s="345">
        <f t="shared" si="276"/>
        <v>16411</v>
      </c>
      <c r="T166" s="108">
        <f>F166+29</f>
        <v>16405</v>
      </c>
      <c r="U166" s="304">
        <f t="shared" si="277"/>
        <v>16405</v>
      </c>
      <c r="V166" s="108">
        <f>F166+24</f>
        <v>16400</v>
      </c>
      <c r="W166" s="304">
        <f t="shared" si="278"/>
        <v>16400</v>
      </c>
      <c r="X166" s="721"/>
      <c r="Y166" s="811"/>
      <c r="Z166" s="811"/>
      <c r="AA166" s="812"/>
      <c r="AB166" s="208">
        <v>395</v>
      </c>
    </row>
    <row r="167" spans="1:28" ht="12.6" customHeight="1" x14ac:dyDescent="0.2">
      <c r="A167" s="22"/>
      <c r="B167" s="774" t="s">
        <v>675</v>
      </c>
      <c r="C167" s="775"/>
      <c r="D167" s="775"/>
      <c r="E167" s="776"/>
      <c r="F167" s="482">
        <f>32.42*X2</f>
        <v>29826.400000000001</v>
      </c>
      <c r="G167" s="371">
        <f t="shared" si="282"/>
        <v>29826.400000000001</v>
      </c>
      <c r="H167" s="600">
        <f>F167+260</f>
        <v>30086.400000000001</v>
      </c>
      <c r="I167" s="346">
        <f t="shared" ref="I167" si="284">+H167*$X$1</f>
        <v>30086.400000000001</v>
      </c>
      <c r="J167" s="93">
        <f>F167+95</f>
        <v>29921.4</v>
      </c>
      <c r="K167" s="346">
        <f t="shared" si="279"/>
        <v>29921.4</v>
      </c>
      <c r="L167" s="600">
        <f>F167+70</f>
        <v>29896.400000000001</v>
      </c>
      <c r="M167" s="346">
        <f t="shared" si="280"/>
        <v>29896.400000000001</v>
      </c>
      <c r="N167" s="600">
        <f>F167+59</f>
        <v>29885.4</v>
      </c>
      <c r="O167" s="346">
        <f t="shared" si="267"/>
        <v>29885.4</v>
      </c>
      <c r="P167" s="600">
        <f>F167+55</f>
        <v>29881.4</v>
      </c>
      <c r="Q167" s="346">
        <f t="shared" si="283"/>
        <v>29881.4</v>
      </c>
      <c r="R167" s="600">
        <f>F167+51</f>
        <v>29877.4</v>
      </c>
      <c r="S167" s="346">
        <f t="shared" si="276"/>
        <v>29877.4</v>
      </c>
      <c r="T167" s="600">
        <f>F167+46</f>
        <v>29872.400000000001</v>
      </c>
      <c r="U167" s="346">
        <f t="shared" si="277"/>
        <v>29872.400000000001</v>
      </c>
      <c r="V167" s="600"/>
      <c r="W167" s="346"/>
      <c r="X167" s="721"/>
      <c r="Y167" s="811"/>
      <c r="Z167" s="811"/>
      <c r="AA167" s="812"/>
      <c r="AB167" s="208">
        <v>397</v>
      </c>
    </row>
    <row r="168" spans="1:28" ht="12.6" customHeight="1" x14ac:dyDescent="0.2">
      <c r="A168" s="22"/>
      <c r="B168" s="714" t="s">
        <v>676</v>
      </c>
      <c r="C168" s="717"/>
      <c r="D168" s="717"/>
      <c r="E168" s="718"/>
      <c r="F168" s="481">
        <f>22.04*X2</f>
        <v>20276.8</v>
      </c>
      <c r="G168" s="304">
        <f t="shared" ref="G168" si="285">+F168*$X$1</f>
        <v>20276.8</v>
      </c>
      <c r="H168" s="75">
        <f>F168+280</f>
        <v>20556.8</v>
      </c>
      <c r="I168" s="345">
        <f t="shared" ref="I168" si="286">+H168*$X$1</f>
        <v>20556.8</v>
      </c>
      <c r="J168" s="383">
        <f>F168+110</f>
        <v>20386.8</v>
      </c>
      <c r="K168" s="345">
        <f t="shared" ref="K168" si="287">+J168*$X$1</f>
        <v>20386.8</v>
      </c>
      <c r="L168" s="383">
        <f>F168+80</f>
        <v>20356.8</v>
      </c>
      <c r="M168" s="345">
        <f t="shared" ref="M168" si="288">+L168*$X$1</f>
        <v>20356.8</v>
      </c>
      <c r="N168" s="383">
        <f>F168+67</f>
        <v>20343.8</v>
      </c>
      <c r="O168" s="345">
        <f t="shared" ref="O168" si="289">+N168*$X$1</f>
        <v>20343.8</v>
      </c>
      <c r="P168" s="383">
        <f>F168+62</f>
        <v>20338.8</v>
      </c>
      <c r="Q168" s="345">
        <f t="shared" ref="Q168" si="290">+P168*$X$1</f>
        <v>20338.8</v>
      </c>
      <c r="R168" s="383">
        <f>F168+58</f>
        <v>20334.8</v>
      </c>
      <c r="S168" s="345">
        <f t="shared" ref="S168" si="291">+R168*$X$1</f>
        <v>20334.8</v>
      </c>
      <c r="T168" s="383">
        <f>F168+53</f>
        <v>20329.8</v>
      </c>
      <c r="U168" s="345">
        <f t="shared" ref="U168" si="292">+T168*$X$1</f>
        <v>20329.8</v>
      </c>
      <c r="V168" s="383"/>
      <c r="W168" s="345"/>
      <c r="X168" s="721"/>
      <c r="Y168" s="811"/>
      <c r="Z168" s="811"/>
      <c r="AA168" s="812"/>
      <c r="AB168" s="208">
        <v>398</v>
      </c>
    </row>
    <row r="169" spans="1:28" ht="12.6" customHeight="1" x14ac:dyDescent="0.2">
      <c r="A169" s="22"/>
      <c r="B169" s="1081" t="s">
        <v>386</v>
      </c>
      <c r="C169" s="1082"/>
      <c r="D169" s="1082"/>
      <c r="E169" s="1082"/>
      <c r="F169" s="482"/>
      <c r="G169" s="371"/>
      <c r="H169" s="600"/>
      <c r="I169" s="346"/>
      <c r="J169" s="600"/>
      <c r="K169" s="346"/>
      <c r="L169" s="600"/>
      <c r="M169" s="346"/>
      <c r="N169" s="600"/>
      <c r="O169" s="346"/>
      <c r="P169" s="600"/>
      <c r="Q169" s="346"/>
      <c r="R169" s="600"/>
      <c r="S169" s="346"/>
      <c r="T169" s="600"/>
      <c r="U169" s="346"/>
      <c r="V169" s="93"/>
      <c r="W169" s="93"/>
      <c r="X169" s="710"/>
      <c r="Y169" s="734"/>
      <c r="Z169" s="734"/>
      <c r="AA169" s="711"/>
      <c r="AB169" s="208" t="s">
        <v>197</v>
      </c>
    </row>
    <row r="170" spans="1:28" ht="12.6" customHeight="1" x14ac:dyDescent="0.2">
      <c r="A170" s="22"/>
      <c r="B170" s="1115" t="s">
        <v>721</v>
      </c>
      <c r="C170" s="1116"/>
      <c r="D170" s="1116"/>
      <c r="E170" s="1116"/>
      <c r="F170" s="481">
        <f>13.317*X2</f>
        <v>12251.64</v>
      </c>
      <c r="G170" s="304">
        <f t="shared" ref="G170" si="293">+F170*$X$1</f>
        <v>12251.64</v>
      </c>
      <c r="H170" s="383">
        <f>F170+250</f>
        <v>12501.64</v>
      </c>
      <c r="I170" s="345">
        <f t="shared" ref="I170" si="294">+H170*$X$1</f>
        <v>12501.64</v>
      </c>
      <c r="J170" s="383">
        <f>F170+80</f>
        <v>12331.64</v>
      </c>
      <c r="K170" s="345">
        <f t="shared" ref="K170" si="295">+J170*$X$1</f>
        <v>12331.64</v>
      </c>
      <c r="L170" s="383">
        <f>F170+60</f>
        <v>12311.64</v>
      </c>
      <c r="M170" s="345">
        <f t="shared" ref="M170" si="296">+L170*$X$1</f>
        <v>12311.64</v>
      </c>
      <c r="N170" s="383">
        <f>F170+40</f>
        <v>12291.64</v>
      </c>
      <c r="O170" s="345">
        <f t="shared" ref="O170" si="297">+N170*$X$1</f>
        <v>12291.64</v>
      </c>
      <c r="P170" s="383">
        <f>F170+37</f>
        <v>12288.64</v>
      </c>
      <c r="Q170" s="345">
        <f t="shared" ref="Q170" si="298">+P170*$X$1</f>
        <v>12288.64</v>
      </c>
      <c r="R170" s="383">
        <f>F170+33</f>
        <v>12284.64</v>
      </c>
      <c r="S170" s="345">
        <f t="shared" ref="S170" si="299">+R170*$X$1</f>
        <v>12284.64</v>
      </c>
      <c r="T170" s="383">
        <f>F170+29</f>
        <v>12280.64</v>
      </c>
      <c r="U170" s="345">
        <f t="shared" ref="U170" si="300">+T170*$X$1</f>
        <v>12280.64</v>
      </c>
      <c r="V170" s="383"/>
      <c r="W170" s="345"/>
      <c r="X170" s="710"/>
      <c r="Y170" s="734"/>
      <c r="Z170" s="734"/>
      <c r="AA170" s="711"/>
      <c r="AB170" s="208" t="s">
        <v>722</v>
      </c>
    </row>
    <row r="171" spans="1:28" ht="12.6" customHeight="1" x14ac:dyDescent="0.2">
      <c r="A171" s="22"/>
      <c r="B171" s="914" t="s">
        <v>730</v>
      </c>
      <c r="C171" s="919"/>
      <c r="D171" s="919"/>
      <c r="E171" s="919"/>
      <c r="F171" s="482">
        <f>17.78*X2</f>
        <v>16357.6</v>
      </c>
      <c r="G171" s="371">
        <f t="shared" ref="G171" si="301">+F171*$X$1</f>
        <v>16357.6</v>
      </c>
      <c r="H171" s="600">
        <f>F171+250</f>
        <v>16607.599999999999</v>
      </c>
      <c r="I171" s="346">
        <f t="shared" ref="I171" si="302">+H171*$X$1</f>
        <v>16607.599999999999</v>
      </c>
      <c r="J171" s="600">
        <f>F171+80</f>
        <v>16437.599999999999</v>
      </c>
      <c r="K171" s="346">
        <f t="shared" ref="K171" si="303">+J171*$X$1</f>
        <v>16437.599999999999</v>
      </c>
      <c r="L171" s="600">
        <f>F171+60</f>
        <v>16417.599999999999</v>
      </c>
      <c r="M171" s="346">
        <f t="shared" ref="M171" si="304">+L171*$X$1</f>
        <v>16417.599999999999</v>
      </c>
      <c r="N171" s="600">
        <f>F171+40</f>
        <v>16397.599999999999</v>
      </c>
      <c r="O171" s="346">
        <f t="shared" ref="O171" si="305">+N171*$X$1</f>
        <v>16397.599999999999</v>
      </c>
      <c r="P171" s="600">
        <f>F171+37</f>
        <v>16394.599999999999</v>
      </c>
      <c r="Q171" s="346">
        <f t="shared" ref="Q171" si="306">+P171*$X$1</f>
        <v>16394.599999999999</v>
      </c>
      <c r="R171" s="600">
        <f>F171+33</f>
        <v>16390.599999999999</v>
      </c>
      <c r="S171" s="346">
        <f t="shared" ref="S171" si="307">+R171*$X$1</f>
        <v>16390.599999999999</v>
      </c>
      <c r="T171" s="600">
        <f>F171+29</f>
        <v>16386.599999999999</v>
      </c>
      <c r="U171" s="346">
        <f t="shared" ref="U171" si="308">+T171*$X$1</f>
        <v>16386.599999999999</v>
      </c>
      <c r="V171" s="93"/>
      <c r="W171" s="93"/>
      <c r="X171" s="194"/>
      <c r="Y171" s="196"/>
      <c r="Z171" s="196"/>
      <c r="AA171" s="194"/>
      <c r="AB171" s="208" t="s">
        <v>729</v>
      </c>
    </row>
    <row r="172" spans="1:28" ht="12.6" customHeight="1" x14ac:dyDescent="0.2">
      <c r="A172" s="22"/>
      <c r="B172" s="1115" t="s">
        <v>724</v>
      </c>
      <c r="C172" s="1116"/>
      <c r="D172" s="1116"/>
      <c r="E172" s="1116"/>
      <c r="F172" s="481">
        <f>12.84*X2</f>
        <v>11812.8</v>
      </c>
      <c r="G172" s="304">
        <f t="shared" ref="G172" si="309">+F172*$X$1</f>
        <v>11812.8</v>
      </c>
      <c r="H172" s="383">
        <f>F172+290</f>
        <v>12102.8</v>
      </c>
      <c r="I172" s="345">
        <f>+H172*$X$1</f>
        <v>12102.8</v>
      </c>
      <c r="J172" s="383">
        <f>F172+120</f>
        <v>11932.8</v>
      </c>
      <c r="K172" s="345">
        <f t="shared" ref="K172:K175" si="310">+J172*$X$1</f>
        <v>11932.8</v>
      </c>
      <c r="L172" s="383">
        <f>F172+80</f>
        <v>11892.8</v>
      </c>
      <c r="M172" s="345">
        <f t="shared" ref="M172:M175" si="311">+L172*$X$1</f>
        <v>11892.8</v>
      </c>
      <c r="N172" s="383">
        <f>F172+60</f>
        <v>11872.8</v>
      </c>
      <c r="O172" s="345">
        <f t="shared" ref="O172:O175" si="312">+N172*$X$1</f>
        <v>11872.8</v>
      </c>
      <c r="P172" s="383">
        <f>F172+43</f>
        <v>11855.8</v>
      </c>
      <c r="Q172" s="345">
        <f t="shared" ref="Q172:Q175" si="313">+P172*$X$1</f>
        <v>11855.8</v>
      </c>
      <c r="R172" s="383">
        <f>F172+37</f>
        <v>11849.8</v>
      </c>
      <c r="S172" s="345">
        <f t="shared" ref="S172:S175" si="314">+R172*$X$1</f>
        <v>11849.8</v>
      </c>
      <c r="T172" s="108">
        <f>F172+30</f>
        <v>11842.8</v>
      </c>
      <c r="U172" s="304">
        <f t="shared" ref="U172:U175" si="315">+T172*$X$1</f>
        <v>11842.8</v>
      </c>
      <c r="V172" s="75"/>
      <c r="W172" s="75"/>
      <c r="X172" s="721"/>
      <c r="Y172" s="811"/>
      <c r="Z172" s="811"/>
      <c r="AA172" s="812"/>
      <c r="AB172" s="208" t="s">
        <v>723</v>
      </c>
    </row>
    <row r="173" spans="1:28" ht="12.6" customHeight="1" x14ac:dyDescent="0.2">
      <c r="A173" s="22"/>
      <c r="B173" s="1081" t="s">
        <v>399</v>
      </c>
      <c r="C173" s="1082"/>
      <c r="D173" s="1082"/>
      <c r="E173" s="1082"/>
      <c r="F173" s="482">
        <f>15.93*X2</f>
        <v>14655.6</v>
      </c>
      <c r="G173" s="371">
        <f t="shared" ref="G173:G174" si="316">+F173*$X$1</f>
        <v>14655.6</v>
      </c>
      <c r="H173" s="600"/>
      <c r="I173" s="346"/>
      <c r="J173" s="600">
        <f>F173+115</f>
        <v>14770.6</v>
      </c>
      <c r="K173" s="346">
        <f t="shared" si="310"/>
        <v>14770.6</v>
      </c>
      <c r="L173" s="600">
        <f t="shared" ref="L173" si="317">F173+70</f>
        <v>14725.6</v>
      </c>
      <c r="M173" s="346">
        <f t="shared" si="311"/>
        <v>14725.6</v>
      </c>
      <c r="N173" s="600">
        <f t="shared" ref="N173" si="318">F173+42</f>
        <v>14697.6</v>
      </c>
      <c r="O173" s="346">
        <f t="shared" si="312"/>
        <v>14697.6</v>
      </c>
      <c r="P173" s="600">
        <f t="shared" ref="P173" si="319">F173+38</f>
        <v>14693.6</v>
      </c>
      <c r="Q173" s="346">
        <f t="shared" si="313"/>
        <v>14693.6</v>
      </c>
      <c r="R173" s="600">
        <f t="shared" ref="R173" si="320">F173+29</f>
        <v>14684.6</v>
      </c>
      <c r="S173" s="346">
        <f t="shared" si="314"/>
        <v>14684.6</v>
      </c>
      <c r="T173" s="107">
        <f t="shared" ref="T173" si="321">F173+24</f>
        <v>14679.6</v>
      </c>
      <c r="U173" s="371">
        <f t="shared" si="315"/>
        <v>14679.6</v>
      </c>
      <c r="V173" s="93"/>
      <c r="W173" s="93"/>
      <c r="X173" s="721"/>
      <c r="Y173" s="811"/>
      <c r="Z173" s="811"/>
      <c r="AA173" s="812"/>
      <c r="AB173" s="208">
        <v>405</v>
      </c>
    </row>
    <row r="174" spans="1:28" ht="12.6" customHeight="1" x14ac:dyDescent="0.2">
      <c r="A174" s="22"/>
      <c r="B174" s="1115" t="s">
        <v>728</v>
      </c>
      <c r="C174" s="1116"/>
      <c r="D174" s="1116"/>
      <c r="E174" s="1116"/>
      <c r="F174" s="481">
        <f>15.6*X2</f>
        <v>14352</v>
      </c>
      <c r="G174" s="304">
        <f t="shared" si="316"/>
        <v>14352</v>
      </c>
      <c r="H174" s="383">
        <f>F174+250</f>
        <v>14602</v>
      </c>
      <c r="I174" s="345">
        <f t="shared" ref="I174:I175" si="322">+H174*$X$1</f>
        <v>14602</v>
      </c>
      <c r="J174" s="383">
        <f>F174+80</f>
        <v>14432</v>
      </c>
      <c r="K174" s="345">
        <f t="shared" si="310"/>
        <v>14432</v>
      </c>
      <c r="L174" s="383">
        <f>F174+60</f>
        <v>14412</v>
      </c>
      <c r="M174" s="345">
        <f t="shared" si="311"/>
        <v>14412</v>
      </c>
      <c r="N174" s="383">
        <f>F174+40</f>
        <v>14392</v>
      </c>
      <c r="O174" s="345">
        <f t="shared" si="312"/>
        <v>14392</v>
      </c>
      <c r="P174" s="383">
        <f>F174+37</f>
        <v>14389</v>
      </c>
      <c r="Q174" s="345">
        <f t="shared" si="313"/>
        <v>14389</v>
      </c>
      <c r="R174" s="383">
        <f>F174+33</f>
        <v>14385</v>
      </c>
      <c r="S174" s="345">
        <f t="shared" si="314"/>
        <v>14385</v>
      </c>
      <c r="T174" s="383">
        <f>F174+29</f>
        <v>14381</v>
      </c>
      <c r="U174" s="345">
        <f t="shared" si="315"/>
        <v>14381</v>
      </c>
      <c r="V174" s="75"/>
      <c r="W174" s="75"/>
      <c r="X174" s="710"/>
      <c r="Y174" s="734"/>
      <c r="Z174" s="734"/>
      <c r="AA174" s="711"/>
      <c r="AB174" s="208" t="s">
        <v>727</v>
      </c>
    </row>
    <row r="175" spans="1:28" ht="12.6" customHeight="1" x14ac:dyDescent="0.2">
      <c r="A175" s="22"/>
      <c r="B175" s="724" t="s">
        <v>726</v>
      </c>
      <c r="C175" s="725"/>
      <c r="D175" s="725"/>
      <c r="E175" s="725"/>
      <c r="F175" s="482">
        <f>16.54*X2</f>
        <v>15216.8</v>
      </c>
      <c r="G175" s="371">
        <f t="shared" ref="G175" si="323">+F175*$X$1</f>
        <v>15216.8</v>
      </c>
      <c r="H175" s="600">
        <f>F175+260</f>
        <v>15476.8</v>
      </c>
      <c r="I175" s="346">
        <f t="shared" si="322"/>
        <v>15476.8</v>
      </c>
      <c r="J175" s="93">
        <f>F175+95</f>
        <v>15311.8</v>
      </c>
      <c r="K175" s="346">
        <f t="shared" si="310"/>
        <v>15311.8</v>
      </c>
      <c r="L175" s="600">
        <f>F175+70</f>
        <v>15286.8</v>
      </c>
      <c r="M175" s="346">
        <f t="shared" si="311"/>
        <v>15286.8</v>
      </c>
      <c r="N175" s="600">
        <f>F175+59</f>
        <v>15275.8</v>
      </c>
      <c r="O175" s="346">
        <f t="shared" si="312"/>
        <v>15275.8</v>
      </c>
      <c r="P175" s="600">
        <f>F175+55</f>
        <v>15271.8</v>
      </c>
      <c r="Q175" s="346">
        <f t="shared" si="313"/>
        <v>15271.8</v>
      </c>
      <c r="R175" s="600">
        <f>F175+51</f>
        <v>15267.8</v>
      </c>
      <c r="S175" s="346">
        <f t="shared" si="314"/>
        <v>15267.8</v>
      </c>
      <c r="T175" s="600">
        <f>F175+46</f>
        <v>15262.8</v>
      </c>
      <c r="U175" s="346">
        <f t="shared" si="315"/>
        <v>15262.8</v>
      </c>
      <c r="V175" s="93"/>
      <c r="W175" s="93"/>
      <c r="X175" s="721"/>
      <c r="Y175" s="811"/>
      <c r="Z175" s="811"/>
      <c r="AA175" s="812"/>
      <c r="AB175" s="208" t="s">
        <v>725</v>
      </c>
    </row>
    <row r="176" spans="1:28" ht="12.6" customHeight="1" x14ac:dyDescent="0.2">
      <c r="A176" s="27"/>
      <c r="B176" s="729" t="s">
        <v>755</v>
      </c>
      <c r="C176" s="703"/>
      <c r="D176" s="703"/>
      <c r="E176" s="703"/>
      <c r="F176" s="372">
        <v>110</v>
      </c>
      <c r="G176" s="689">
        <f t="shared" ref="G176:G179" si="324">+F176*$X$1</f>
        <v>110</v>
      </c>
      <c r="H176" s="461"/>
      <c r="I176" s="1129" t="s">
        <v>687</v>
      </c>
      <c r="J176" s="793"/>
      <c r="K176" s="793"/>
      <c r="L176" s="793"/>
      <c r="M176" s="794"/>
      <c r="N176" s="383">
        <f>F176+140</f>
        <v>250</v>
      </c>
      <c r="O176" s="345">
        <f t="shared" ref="O176" si="325">+N176*$X$1</f>
        <v>250</v>
      </c>
      <c r="P176" s="383">
        <f>F176+125</f>
        <v>235</v>
      </c>
      <c r="Q176" s="345">
        <f t="shared" ref="Q176" si="326">+P176*$X$1</f>
        <v>235</v>
      </c>
      <c r="R176" s="383">
        <f>F176+115</f>
        <v>225</v>
      </c>
      <c r="S176" s="345">
        <f t="shared" ref="S176" si="327">+R176*$X$1</f>
        <v>225</v>
      </c>
      <c r="T176" s="383">
        <f>F176+95</f>
        <v>205</v>
      </c>
      <c r="U176" s="345">
        <f t="shared" ref="U176" si="328">+T176*$X$1</f>
        <v>205</v>
      </c>
      <c r="V176" s="383">
        <f>F176+85</f>
        <v>195</v>
      </c>
      <c r="W176" s="345">
        <f t="shared" ref="W176" si="329">+V176*$X$1</f>
        <v>195</v>
      </c>
      <c r="X176" s="171"/>
      <c r="Y176" s="161"/>
      <c r="Z176" s="161"/>
      <c r="AA176" s="161"/>
      <c r="AB176" s="208">
        <v>415</v>
      </c>
    </row>
    <row r="177" spans="1:28" ht="12.6" customHeight="1" x14ac:dyDescent="0.2">
      <c r="A177" s="27"/>
      <c r="B177" s="712" t="s">
        <v>627</v>
      </c>
      <c r="C177" s="699"/>
      <c r="D177" s="699"/>
      <c r="E177" s="699"/>
      <c r="F177" s="388">
        <v>120</v>
      </c>
      <c r="G177" s="690">
        <f t="shared" si="324"/>
        <v>120</v>
      </c>
      <c r="H177" s="462"/>
      <c r="I177" s="1130"/>
      <c r="J177" s="1130"/>
      <c r="K177" s="1130"/>
      <c r="L177" s="1130"/>
      <c r="M177" s="1131"/>
      <c r="N177" s="681">
        <f t="shared" ref="N177:N179" si="330">F177+140</f>
        <v>260</v>
      </c>
      <c r="O177" s="346">
        <f t="shared" ref="O177:O179" si="331">+N177*$X$1</f>
        <v>260</v>
      </c>
      <c r="P177" s="681">
        <f t="shared" ref="P177:P179" si="332">F177+125</f>
        <v>245</v>
      </c>
      <c r="Q177" s="346">
        <f t="shared" ref="Q177:Q179" si="333">+P177*$X$1</f>
        <v>245</v>
      </c>
      <c r="R177" s="681">
        <f t="shared" ref="R177:R179" si="334">F177+115</f>
        <v>235</v>
      </c>
      <c r="S177" s="346">
        <f t="shared" ref="S177:S179" si="335">+R177*$X$1</f>
        <v>235</v>
      </c>
      <c r="T177" s="681">
        <f t="shared" ref="T177:T179" si="336">F177+95</f>
        <v>215</v>
      </c>
      <c r="U177" s="346">
        <f t="shared" ref="U177:U179" si="337">+T177*$X$1</f>
        <v>215</v>
      </c>
      <c r="V177" s="681">
        <f t="shared" ref="V177:V179" si="338">F177+85</f>
        <v>205</v>
      </c>
      <c r="W177" s="346">
        <f t="shared" ref="W177:W179" si="339">+V177*$X$1</f>
        <v>205</v>
      </c>
      <c r="X177" s="171"/>
      <c r="Y177" s="161"/>
      <c r="Z177" s="161"/>
      <c r="AA177" s="161"/>
      <c r="AB177" s="208">
        <v>416</v>
      </c>
    </row>
    <row r="178" spans="1:28" ht="12.6" customHeight="1" x14ac:dyDescent="0.2">
      <c r="A178" s="27"/>
      <c r="B178" s="719" t="s">
        <v>628</v>
      </c>
      <c r="C178" s="720"/>
      <c r="D178" s="720"/>
      <c r="E178" s="720"/>
      <c r="F178" s="372">
        <v>115</v>
      </c>
      <c r="G178" s="689">
        <f t="shared" si="324"/>
        <v>115</v>
      </c>
      <c r="H178" s="462"/>
      <c r="I178" s="1130"/>
      <c r="J178" s="1130"/>
      <c r="K178" s="1130"/>
      <c r="L178" s="1130"/>
      <c r="M178" s="1131"/>
      <c r="N178" s="383">
        <f t="shared" si="330"/>
        <v>255</v>
      </c>
      <c r="O178" s="345">
        <f t="shared" si="331"/>
        <v>255</v>
      </c>
      <c r="P178" s="383">
        <f t="shared" si="332"/>
        <v>240</v>
      </c>
      <c r="Q178" s="345">
        <f t="shared" si="333"/>
        <v>240</v>
      </c>
      <c r="R178" s="383">
        <f t="shared" si="334"/>
        <v>230</v>
      </c>
      <c r="S178" s="345">
        <f t="shared" si="335"/>
        <v>230</v>
      </c>
      <c r="T178" s="383">
        <f t="shared" si="336"/>
        <v>210</v>
      </c>
      <c r="U178" s="345">
        <f t="shared" si="337"/>
        <v>210</v>
      </c>
      <c r="V178" s="383">
        <f t="shared" si="338"/>
        <v>200</v>
      </c>
      <c r="W178" s="345">
        <f t="shared" si="339"/>
        <v>200</v>
      </c>
      <c r="X178" s="171"/>
      <c r="Y178" s="161"/>
      <c r="Z178" s="161"/>
      <c r="AA178" s="161"/>
      <c r="AB178" s="208">
        <v>417</v>
      </c>
    </row>
    <row r="179" spans="1:28" ht="12.6" customHeight="1" x14ac:dyDescent="0.2">
      <c r="A179" s="27"/>
      <c r="B179" s="712" t="s">
        <v>629</v>
      </c>
      <c r="C179" s="699"/>
      <c r="D179" s="699"/>
      <c r="E179" s="699"/>
      <c r="F179" s="388">
        <v>115</v>
      </c>
      <c r="G179" s="690">
        <f t="shared" si="324"/>
        <v>115</v>
      </c>
      <c r="H179" s="463"/>
      <c r="I179" s="797"/>
      <c r="J179" s="797"/>
      <c r="K179" s="797"/>
      <c r="L179" s="797"/>
      <c r="M179" s="798"/>
      <c r="N179" s="681">
        <f t="shared" si="330"/>
        <v>255</v>
      </c>
      <c r="O179" s="346">
        <f t="shared" si="331"/>
        <v>255</v>
      </c>
      <c r="P179" s="681">
        <f t="shared" si="332"/>
        <v>240</v>
      </c>
      <c r="Q179" s="346">
        <f t="shared" si="333"/>
        <v>240</v>
      </c>
      <c r="R179" s="681">
        <f t="shared" si="334"/>
        <v>230</v>
      </c>
      <c r="S179" s="346">
        <f t="shared" si="335"/>
        <v>230</v>
      </c>
      <c r="T179" s="681">
        <f t="shared" si="336"/>
        <v>210</v>
      </c>
      <c r="U179" s="346">
        <f t="shared" si="337"/>
        <v>210</v>
      </c>
      <c r="V179" s="681">
        <f t="shared" si="338"/>
        <v>200</v>
      </c>
      <c r="W179" s="346">
        <f t="shared" si="339"/>
        <v>200</v>
      </c>
      <c r="X179" s="171"/>
      <c r="Y179" s="161"/>
      <c r="Z179" s="161"/>
      <c r="AA179" s="161"/>
      <c r="AB179" s="208">
        <v>418</v>
      </c>
    </row>
    <row r="180" spans="1:28" ht="12.6" customHeight="1" x14ac:dyDescent="0.2">
      <c r="A180" s="27"/>
      <c r="B180" s="719" t="s">
        <v>198</v>
      </c>
      <c r="C180" s="720"/>
      <c r="D180" s="720"/>
      <c r="E180" s="720"/>
      <c r="F180" s="487">
        <v>833</v>
      </c>
      <c r="G180" s="372">
        <f t="shared" ref="G180:G190" si="340">+F180*$X$1</f>
        <v>833</v>
      </c>
      <c r="H180" s="387"/>
      <c r="I180" s="429"/>
      <c r="J180" s="128"/>
      <c r="K180" s="468"/>
      <c r="L180" s="108">
        <f>F180+63</f>
        <v>896</v>
      </c>
      <c r="M180" s="304">
        <f t="shared" ref="M180:M181" si="341">+L180*$X$1</f>
        <v>896</v>
      </c>
      <c r="N180" s="108">
        <f>F180+43</f>
        <v>876</v>
      </c>
      <c r="O180" s="372">
        <f>+N180*$X$1</f>
        <v>876</v>
      </c>
      <c r="P180" s="108">
        <f>F180+38</f>
        <v>871</v>
      </c>
      <c r="Q180" s="372">
        <f>+P180*$X$1</f>
        <v>871</v>
      </c>
      <c r="R180" s="383">
        <f>F180+34</f>
        <v>867</v>
      </c>
      <c r="S180" s="345">
        <f>+R180*$X$1</f>
        <v>867</v>
      </c>
      <c r="T180" s="383">
        <f>F180+29</f>
        <v>862</v>
      </c>
      <c r="U180" s="345">
        <f>+T180*$X$1</f>
        <v>862</v>
      </c>
      <c r="V180" s="383">
        <f>F180+25</f>
        <v>858</v>
      </c>
      <c r="W180" s="345">
        <f>+V180*$X$1</f>
        <v>858</v>
      </c>
      <c r="X180" s="707"/>
      <c r="Y180" s="708"/>
      <c r="Z180" s="708"/>
      <c r="AA180" s="709"/>
      <c r="AB180" s="546">
        <v>421</v>
      </c>
    </row>
    <row r="181" spans="1:28" ht="12.6" customHeight="1" x14ac:dyDescent="0.2">
      <c r="A181" s="27"/>
      <c r="B181" s="724" t="s">
        <v>692</v>
      </c>
      <c r="C181" s="725"/>
      <c r="D181" s="725"/>
      <c r="E181" s="725"/>
      <c r="F181" s="486">
        <v>750</v>
      </c>
      <c r="G181" s="388">
        <f t="shared" si="340"/>
        <v>750</v>
      </c>
      <c r="H181" s="1179" t="s">
        <v>737</v>
      </c>
      <c r="I181" s="1180"/>
      <c r="J181" s="1180"/>
      <c r="K181" s="1181"/>
      <c r="L181" s="105">
        <f t="shared" ref="L181:L186" si="342">F181+80</f>
        <v>830</v>
      </c>
      <c r="M181" s="346">
        <f t="shared" si="341"/>
        <v>830</v>
      </c>
      <c r="N181" s="600">
        <f t="shared" ref="N181:N186" si="343">F181+60</f>
        <v>810</v>
      </c>
      <c r="O181" s="346">
        <f t="shared" ref="O181" si="344">+N181*$X$1</f>
        <v>810</v>
      </c>
      <c r="P181" s="600">
        <f t="shared" ref="P181:P186" si="345">F181+43</f>
        <v>793</v>
      </c>
      <c r="Q181" s="346">
        <f t="shared" ref="Q181" si="346">+P181*$X$1</f>
        <v>793</v>
      </c>
      <c r="R181" s="600">
        <f t="shared" ref="R181:R186" si="347">F181+37</f>
        <v>787</v>
      </c>
      <c r="S181" s="346">
        <f t="shared" ref="S181" si="348">+R181*$X$1</f>
        <v>787</v>
      </c>
      <c r="T181" s="107">
        <f t="shared" ref="T181:T186" si="349">F181+30</f>
        <v>780</v>
      </c>
      <c r="U181" s="371">
        <f t="shared" ref="U181" si="350">+T181*$X$1</f>
        <v>780</v>
      </c>
      <c r="V181" s="600">
        <f t="shared" ref="V181:V186" si="351">F181+26</f>
        <v>776</v>
      </c>
      <c r="W181" s="346">
        <f t="shared" ref="W181" si="352">+V181*$X$1</f>
        <v>776</v>
      </c>
      <c r="X181" s="707"/>
      <c r="Y181" s="708"/>
      <c r="Z181" s="708"/>
      <c r="AA181" s="709"/>
      <c r="AB181" s="546" t="s">
        <v>864</v>
      </c>
    </row>
    <row r="182" spans="1:28" ht="12.6" customHeight="1" x14ac:dyDescent="0.2">
      <c r="A182" s="27"/>
      <c r="B182" s="724" t="s">
        <v>689</v>
      </c>
      <c r="C182" s="725"/>
      <c r="D182" s="725"/>
      <c r="E182" s="725"/>
      <c r="F182" s="487">
        <v>750</v>
      </c>
      <c r="G182" s="372">
        <f t="shared" si="340"/>
        <v>750</v>
      </c>
      <c r="H182" s="1182"/>
      <c r="I182" s="1183"/>
      <c r="J182" s="1183"/>
      <c r="K182" s="1184"/>
      <c r="L182" s="504">
        <f t="shared" si="342"/>
        <v>830</v>
      </c>
      <c r="M182" s="345">
        <f t="shared" ref="M182:M184" si="353">+L182*$X$1</f>
        <v>830</v>
      </c>
      <c r="N182" s="383">
        <f t="shared" si="343"/>
        <v>810</v>
      </c>
      <c r="O182" s="345">
        <f t="shared" ref="O182:O184" si="354">+N182*$X$1</f>
        <v>810</v>
      </c>
      <c r="P182" s="383">
        <f t="shared" si="345"/>
        <v>793</v>
      </c>
      <c r="Q182" s="345">
        <f t="shared" ref="Q182:Q184" si="355">+P182*$X$1</f>
        <v>793</v>
      </c>
      <c r="R182" s="383">
        <f t="shared" si="347"/>
        <v>787</v>
      </c>
      <c r="S182" s="345">
        <f t="shared" ref="S182:S184" si="356">+R182*$X$1</f>
        <v>787</v>
      </c>
      <c r="T182" s="108">
        <f t="shared" si="349"/>
        <v>780</v>
      </c>
      <c r="U182" s="304">
        <f t="shared" ref="U182:U184" si="357">+T182*$X$1</f>
        <v>780</v>
      </c>
      <c r="V182" s="383">
        <f t="shared" si="351"/>
        <v>776</v>
      </c>
      <c r="W182" s="345">
        <f t="shared" ref="W182:W184" si="358">+V182*$X$1</f>
        <v>776</v>
      </c>
      <c r="X182" s="707"/>
      <c r="Y182" s="708"/>
      <c r="Z182" s="708"/>
      <c r="AA182" s="709"/>
      <c r="AB182" s="546" t="s">
        <v>859</v>
      </c>
    </row>
    <row r="183" spans="1:28" ht="12.6" customHeight="1" x14ac:dyDescent="0.2">
      <c r="A183" s="27"/>
      <c r="B183" s="724" t="s">
        <v>688</v>
      </c>
      <c r="C183" s="725"/>
      <c r="D183" s="725"/>
      <c r="E183" s="725"/>
      <c r="F183" s="486">
        <v>750</v>
      </c>
      <c r="G183" s="388">
        <f t="shared" si="340"/>
        <v>750</v>
      </c>
      <c r="H183" s="1182"/>
      <c r="I183" s="1183"/>
      <c r="J183" s="1183"/>
      <c r="K183" s="1184"/>
      <c r="L183" s="105">
        <f t="shared" si="342"/>
        <v>830</v>
      </c>
      <c r="M183" s="346">
        <f t="shared" si="353"/>
        <v>830</v>
      </c>
      <c r="N183" s="600">
        <f t="shared" si="343"/>
        <v>810</v>
      </c>
      <c r="O183" s="346">
        <f t="shared" si="354"/>
        <v>810</v>
      </c>
      <c r="P183" s="600">
        <f t="shared" si="345"/>
        <v>793</v>
      </c>
      <c r="Q183" s="346">
        <f t="shared" si="355"/>
        <v>793</v>
      </c>
      <c r="R183" s="600">
        <f t="shared" si="347"/>
        <v>787</v>
      </c>
      <c r="S183" s="346">
        <f t="shared" si="356"/>
        <v>787</v>
      </c>
      <c r="T183" s="107">
        <f t="shared" si="349"/>
        <v>780</v>
      </c>
      <c r="U183" s="371">
        <f t="shared" si="357"/>
        <v>780</v>
      </c>
      <c r="V183" s="600">
        <f t="shared" si="351"/>
        <v>776</v>
      </c>
      <c r="W183" s="346">
        <f t="shared" si="358"/>
        <v>776</v>
      </c>
      <c r="X183" s="707"/>
      <c r="Y183" s="708"/>
      <c r="Z183" s="708"/>
      <c r="AA183" s="709"/>
      <c r="AB183" s="546" t="s">
        <v>861</v>
      </c>
    </row>
    <row r="184" spans="1:28" ht="12.6" customHeight="1" x14ac:dyDescent="0.2">
      <c r="A184" s="27"/>
      <c r="B184" s="724" t="s">
        <v>691</v>
      </c>
      <c r="C184" s="725"/>
      <c r="D184" s="725"/>
      <c r="E184" s="725"/>
      <c r="F184" s="487">
        <v>750</v>
      </c>
      <c r="G184" s="372">
        <f t="shared" si="340"/>
        <v>750</v>
      </c>
      <c r="H184" s="1182"/>
      <c r="I184" s="1183"/>
      <c r="J184" s="1183"/>
      <c r="K184" s="1184"/>
      <c r="L184" s="504">
        <f t="shared" si="342"/>
        <v>830</v>
      </c>
      <c r="M184" s="345">
        <f t="shared" si="353"/>
        <v>830</v>
      </c>
      <c r="N184" s="383">
        <f t="shared" si="343"/>
        <v>810</v>
      </c>
      <c r="O184" s="345">
        <f t="shared" si="354"/>
        <v>810</v>
      </c>
      <c r="P184" s="383">
        <f t="shared" si="345"/>
        <v>793</v>
      </c>
      <c r="Q184" s="345">
        <f t="shared" si="355"/>
        <v>793</v>
      </c>
      <c r="R184" s="383">
        <f t="shared" si="347"/>
        <v>787</v>
      </c>
      <c r="S184" s="345">
        <f t="shared" si="356"/>
        <v>787</v>
      </c>
      <c r="T184" s="108">
        <f t="shared" si="349"/>
        <v>780</v>
      </c>
      <c r="U184" s="304">
        <f t="shared" si="357"/>
        <v>780</v>
      </c>
      <c r="V184" s="383">
        <f t="shared" si="351"/>
        <v>776</v>
      </c>
      <c r="W184" s="345">
        <f t="shared" si="358"/>
        <v>776</v>
      </c>
      <c r="X184" s="1159"/>
      <c r="Y184" s="1160"/>
      <c r="Z184" s="1160"/>
      <c r="AA184" s="1161"/>
      <c r="AB184" s="546" t="s">
        <v>860</v>
      </c>
    </row>
    <row r="185" spans="1:28" ht="12.6" customHeight="1" x14ac:dyDescent="0.2">
      <c r="A185" s="27"/>
      <c r="B185" s="724" t="s">
        <v>863</v>
      </c>
      <c r="C185" s="725"/>
      <c r="D185" s="725"/>
      <c r="E185" s="725"/>
      <c r="F185" s="486">
        <v>750</v>
      </c>
      <c r="G185" s="388">
        <f t="shared" ref="G185" si="359">+F185*$X$1</f>
        <v>750</v>
      </c>
      <c r="H185" s="1182"/>
      <c r="I185" s="1183"/>
      <c r="J185" s="1183"/>
      <c r="K185" s="1184"/>
      <c r="L185" s="105">
        <f t="shared" si="342"/>
        <v>830</v>
      </c>
      <c r="M185" s="346">
        <f t="shared" ref="M185:M189" si="360">+L185*$X$1</f>
        <v>830</v>
      </c>
      <c r="N185" s="600">
        <f t="shared" si="343"/>
        <v>810</v>
      </c>
      <c r="O185" s="346">
        <f t="shared" ref="O185:O189" si="361">+N185*$X$1</f>
        <v>810</v>
      </c>
      <c r="P185" s="600">
        <f t="shared" si="345"/>
        <v>793</v>
      </c>
      <c r="Q185" s="346">
        <f t="shared" ref="Q185:Q189" si="362">+P185*$X$1</f>
        <v>793</v>
      </c>
      <c r="R185" s="600">
        <f t="shared" si="347"/>
        <v>787</v>
      </c>
      <c r="S185" s="346">
        <f t="shared" ref="S185:S189" si="363">+R185*$X$1</f>
        <v>787</v>
      </c>
      <c r="T185" s="107">
        <f t="shared" si="349"/>
        <v>780</v>
      </c>
      <c r="U185" s="371">
        <f t="shared" ref="U185:U189" si="364">+T185*$X$1</f>
        <v>780</v>
      </c>
      <c r="V185" s="600">
        <f t="shared" si="351"/>
        <v>776</v>
      </c>
      <c r="W185" s="346">
        <f t="shared" ref="W185:W189" si="365">+V185*$X$1</f>
        <v>776</v>
      </c>
      <c r="X185" s="707"/>
      <c r="Y185" s="708"/>
      <c r="Z185" s="708"/>
      <c r="AA185" s="709"/>
      <c r="AB185" s="546" t="s">
        <v>862</v>
      </c>
    </row>
    <row r="186" spans="1:28" ht="12.6" customHeight="1" x14ac:dyDescent="0.2">
      <c r="A186" s="27"/>
      <c r="B186" s="724" t="s">
        <v>690</v>
      </c>
      <c r="C186" s="725"/>
      <c r="D186" s="725"/>
      <c r="E186" s="725"/>
      <c r="F186" s="487">
        <v>833</v>
      </c>
      <c r="G186" s="372">
        <f t="shared" si="340"/>
        <v>833</v>
      </c>
      <c r="H186" s="1185"/>
      <c r="I186" s="1186"/>
      <c r="J186" s="1186"/>
      <c r="K186" s="1187"/>
      <c r="L186" s="504">
        <f t="shared" si="342"/>
        <v>913</v>
      </c>
      <c r="M186" s="345">
        <f t="shared" si="360"/>
        <v>913</v>
      </c>
      <c r="N186" s="383">
        <f t="shared" si="343"/>
        <v>893</v>
      </c>
      <c r="O186" s="345">
        <f t="shared" si="361"/>
        <v>893</v>
      </c>
      <c r="P186" s="383">
        <f t="shared" si="345"/>
        <v>876</v>
      </c>
      <c r="Q186" s="345">
        <f t="shared" si="362"/>
        <v>876</v>
      </c>
      <c r="R186" s="383">
        <f t="shared" si="347"/>
        <v>870</v>
      </c>
      <c r="S186" s="345">
        <f t="shared" si="363"/>
        <v>870</v>
      </c>
      <c r="T186" s="108">
        <f t="shared" si="349"/>
        <v>863</v>
      </c>
      <c r="U186" s="304">
        <f t="shared" si="364"/>
        <v>863</v>
      </c>
      <c r="V186" s="383">
        <f t="shared" si="351"/>
        <v>859</v>
      </c>
      <c r="W186" s="345">
        <f t="shared" si="365"/>
        <v>859</v>
      </c>
      <c r="X186" s="707"/>
      <c r="Y186" s="708"/>
      <c r="Z186" s="708"/>
      <c r="AA186" s="709"/>
      <c r="AB186" s="546" t="s">
        <v>858</v>
      </c>
    </row>
    <row r="187" spans="1:28" ht="12.6" customHeight="1" x14ac:dyDescent="0.2">
      <c r="A187" s="111"/>
      <c r="B187" s="1094" t="s">
        <v>452</v>
      </c>
      <c r="C187" s="1095"/>
      <c r="D187" s="1095"/>
      <c r="E187" s="1095"/>
      <c r="F187" s="490">
        <f>1.17*X2</f>
        <v>1076.3999999999999</v>
      </c>
      <c r="G187" s="427">
        <f t="shared" si="340"/>
        <v>1076.3999999999999</v>
      </c>
      <c r="H187" s="344"/>
      <c r="I187" s="467"/>
      <c r="J187" s="107"/>
      <c r="K187" s="388"/>
      <c r="L187" s="600">
        <f>F187+74</f>
        <v>1150.3999999999999</v>
      </c>
      <c r="M187" s="346">
        <f t="shared" si="360"/>
        <v>1150.3999999999999</v>
      </c>
      <c r="N187" s="600">
        <f>F187+46</f>
        <v>1122.3999999999999</v>
      </c>
      <c r="O187" s="346">
        <f t="shared" si="361"/>
        <v>1122.3999999999999</v>
      </c>
      <c r="P187" s="600">
        <f>F187+42</f>
        <v>1118.3999999999999</v>
      </c>
      <c r="Q187" s="346">
        <f t="shared" si="362"/>
        <v>1118.3999999999999</v>
      </c>
      <c r="R187" s="600">
        <f>F187+35</f>
        <v>1111.3999999999999</v>
      </c>
      <c r="S187" s="346">
        <f t="shared" si="363"/>
        <v>1111.3999999999999</v>
      </c>
      <c r="T187" s="107">
        <f>F187+29</f>
        <v>1105.3999999999999</v>
      </c>
      <c r="U187" s="371">
        <f t="shared" si="364"/>
        <v>1105.3999999999999</v>
      </c>
      <c r="V187" s="107">
        <f>F187+24</f>
        <v>1100.3999999999999</v>
      </c>
      <c r="W187" s="371">
        <f t="shared" si="365"/>
        <v>1100.3999999999999</v>
      </c>
      <c r="X187" s="161"/>
      <c r="Y187" s="170"/>
      <c r="Z187" s="161"/>
      <c r="AA187" s="161"/>
      <c r="AB187" s="208">
        <v>425</v>
      </c>
    </row>
    <row r="188" spans="1:28" ht="12.6" customHeight="1" x14ac:dyDescent="0.2">
      <c r="A188" s="111"/>
      <c r="B188" s="719" t="s">
        <v>588</v>
      </c>
      <c r="C188" s="720"/>
      <c r="D188" s="720"/>
      <c r="E188" s="720"/>
      <c r="F188" s="481">
        <f>1.01*X2</f>
        <v>929.2</v>
      </c>
      <c r="G188" s="345">
        <f t="shared" si="340"/>
        <v>929.2</v>
      </c>
      <c r="H188" s="387"/>
      <c r="I188" s="420"/>
      <c r="J188" s="383"/>
      <c r="K188" s="345"/>
      <c r="L188" s="383">
        <f>F188+74</f>
        <v>1003.2</v>
      </c>
      <c r="M188" s="345">
        <f t="shared" si="360"/>
        <v>1003.2</v>
      </c>
      <c r="N188" s="383">
        <f>F188+46</f>
        <v>975.2</v>
      </c>
      <c r="O188" s="345">
        <f t="shared" si="361"/>
        <v>975.2</v>
      </c>
      <c r="P188" s="383">
        <f>F188+42</f>
        <v>971.2</v>
      </c>
      <c r="Q188" s="345">
        <f t="shared" si="362"/>
        <v>971.2</v>
      </c>
      <c r="R188" s="383">
        <f>F188+35</f>
        <v>964.2</v>
      </c>
      <c r="S188" s="345">
        <f t="shared" si="363"/>
        <v>964.2</v>
      </c>
      <c r="T188" s="108">
        <f>F188+29</f>
        <v>958.2</v>
      </c>
      <c r="U188" s="304">
        <f t="shared" si="364"/>
        <v>958.2</v>
      </c>
      <c r="V188" s="108">
        <f>F188+24</f>
        <v>953.2</v>
      </c>
      <c r="W188" s="304">
        <f t="shared" si="365"/>
        <v>953.2</v>
      </c>
      <c r="X188" s="161"/>
      <c r="Y188" s="170"/>
      <c r="Z188" s="161"/>
      <c r="AA188" s="161"/>
      <c r="AB188" s="208" t="s">
        <v>648</v>
      </c>
    </row>
    <row r="189" spans="1:28" ht="12.6" customHeight="1" x14ac:dyDescent="0.2">
      <c r="A189" s="111"/>
      <c r="B189" s="712" t="s">
        <v>574</v>
      </c>
      <c r="C189" s="699"/>
      <c r="D189" s="699"/>
      <c r="E189" s="699"/>
      <c r="F189" s="482">
        <f>0.98*X2</f>
        <v>901.6</v>
      </c>
      <c r="G189" s="346">
        <f t="shared" ref="G189" si="366">+F189*$X$1</f>
        <v>901.6</v>
      </c>
      <c r="H189" s="344"/>
      <c r="I189" s="421"/>
      <c r="J189" s="600"/>
      <c r="K189" s="346"/>
      <c r="L189" s="600">
        <f>F189+74</f>
        <v>975.6</v>
      </c>
      <c r="M189" s="346">
        <f t="shared" si="360"/>
        <v>975.6</v>
      </c>
      <c r="N189" s="600">
        <f>F189+46</f>
        <v>947.6</v>
      </c>
      <c r="O189" s="346">
        <f t="shared" si="361"/>
        <v>947.6</v>
      </c>
      <c r="P189" s="600">
        <f>F189+42</f>
        <v>943.6</v>
      </c>
      <c r="Q189" s="346">
        <f t="shared" si="362"/>
        <v>943.6</v>
      </c>
      <c r="R189" s="600">
        <f>F189+35</f>
        <v>936.6</v>
      </c>
      <c r="S189" s="346">
        <f t="shared" si="363"/>
        <v>936.6</v>
      </c>
      <c r="T189" s="107">
        <f>F189+29</f>
        <v>930.6</v>
      </c>
      <c r="U189" s="371">
        <f t="shared" si="364"/>
        <v>930.6</v>
      </c>
      <c r="V189" s="107">
        <f>F189+24</f>
        <v>925.6</v>
      </c>
      <c r="W189" s="371">
        <f t="shared" si="365"/>
        <v>925.6</v>
      </c>
      <c r="X189" s="161"/>
      <c r="Y189" s="170"/>
      <c r="Z189" s="161"/>
      <c r="AA189" s="161"/>
      <c r="AB189" s="208">
        <v>428</v>
      </c>
    </row>
    <row r="190" spans="1:28" ht="12.6" customHeight="1" x14ac:dyDescent="0.2">
      <c r="A190" s="20"/>
      <c r="B190" s="719" t="s">
        <v>199</v>
      </c>
      <c r="C190" s="720"/>
      <c r="D190" s="720"/>
      <c r="E190" s="720"/>
      <c r="F190" s="481">
        <f>1.527*X2</f>
        <v>1404.84</v>
      </c>
      <c r="G190" s="345">
        <f t="shared" si="340"/>
        <v>1404.84</v>
      </c>
      <c r="H190" s="383">
        <f>F190+290</f>
        <v>1694.84</v>
      </c>
      <c r="I190" s="345">
        <f>+H190*$X$1</f>
        <v>1694.84</v>
      </c>
      <c r="J190" s="383">
        <f>F190+120</f>
        <v>1524.84</v>
      </c>
      <c r="K190" s="345">
        <f t="shared" ref="K190" si="367">+J190*$X$1</f>
        <v>1524.84</v>
      </c>
      <c r="L190" s="383">
        <f>F190+74</f>
        <v>1478.84</v>
      </c>
      <c r="M190" s="345">
        <f t="shared" ref="M190" si="368">+L190*$X$1</f>
        <v>1478.84</v>
      </c>
      <c r="N190" s="383">
        <f>F190+46</f>
        <v>1450.84</v>
      </c>
      <c r="O190" s="345">
        <f t="shared" ref="O190" si="369">+N190*$X$1</f>
        <v>1450.84</v>
      </c>
      <c r="P190" s="383">
        <f>F190+42</f>
        <v>1446.84</v>
      </c>
      <c r="Q190" s="345">
        <f t="shared" ref="Q190" si="370">+P190*$X$1</f>
        <v>1446.84</v>
      </c>
      <c r="R190" s="383">
        <f>F190+35</f>
        <v>1439.84</v>
      </c>
      <c r="S190" s="345">
        <f t="shared" ref="S190" si="371">+R190*$X$1</f>
        <v>1439.84</v>
      </c>
      <c r="T190" s="108">
        <f>F190+29</f>
        <v>1433.84</v>
      </c>
      <c r="U190" s="304">
        <f t="shared" ref="U190" si="372">+T190*$X$1</f>
        <v>1433.84</v>
      </c>
      <c r="V190" s="108">
        <f>F190+24</f>
        <v>1428.84</v>
      </c>
      <c r="W190" s="304">
        <f t="shared" ref="W190" si="373">+V190*$X$1</f>
        <v>1428.84</v>
      </c>
      <c r="X190" s="161"/>
      <c r="Y190" s="170"/>
      <c r="Z190" s="161"/>
      <c r="AA190" s="161"/>
      <c r="AB190" s="208">
        <v>442</v>
      </c>
    </row>
    <row r="191" spans="1:28" ht="12.6" customHeight="1" x14ac:dyDescent="0.2">
      <c r="A191" s="20"/>
      <c r="B191" s="799" t="s">
        <v>200</v>
      </c>
      <c r="C191" s="800"/>
      <c r="D191" s="800"/>
      <c r="E191" s="800"/>
      <c r="F191" s="466"/>
      <c r="G191" s="830" t="s">
        <v>436</v>
      </c>
      <c r="H191" s="831"/>
      <c r="I191" s="831"/>
      <c r="J191" s="831"/>
      <c r="K191" s="831"/>
      <c r="L191" s="831"/>
      <c r="M191" s="831"/>
      <c r="N191" s="831"/>
      <c r="O191" s="831"/>
      <c r="P191" s="1135"/>
      <c r="Q191" s="1135"/>
      <c r="R191" s="1135"/>
      <c r="S191" s="1136"/>
      <c r="T191" s="75"/>
      <c r="U191" s="346"/>
      <c r="V191" s="107"/>
      <c r="W191" s="371"/>
      <c r="X191" s="171"/>
      <c r="Y191" s="170"/>
      <c r="Z191" s="161"/>
      <c r="AA191" s="161"/>
      <c r="AB191" s="208">
        <v>450</v>
      </c>
    </row>
    <row r="192" spans="1:28" ht="12.6" customHeight="1" x14ac:dyDescent="0.2">
      <c r="A192" s="20"/>
      <c r="B192" s="719" t="s">
        <v>201</v>
      </c>
      <c r="C192" s="720"/>
      <c r="D192" s="720"/>
      <c r="E192" s="720"/>
      <c r="F192" s="137"/>
      <c r="G192" s="833"/>
      <c r="H192" s="834"/>
      <c r="I192" s="834"/>
      <c r="J192" s="834"/>
      <c r="K192" s="834"/>
      <c r="L192" s="834"/>
      <c r="M192" s="834"/>
      <c r="N192" s="834"/>
      <c r="O192" s="834"/>
      <c r="P192" s="1137"/>
      <c r="Q192" s="1138"/>
      <c r="R192" s="1137"/>
      <c r="S192" s="1139"/>
      <c r="T192" s="75"/>
      <c r="U192" s="345"/>
      <c r="V192" s="108"/>
      <c r="W192" s="304"/>
      <c r="X192" s="171"/>
      <c r="Y192" s="170"/>
      <c r="Z192" s="161"/>
      <c r="AA192" s="161"/>
      <c r="AB192" s="208">
        <v>451</v>
      </c>
    </row>
    <row r="193" spans="1:28" ht="12.6" customHeight="1" x14ac:dyDescent="0.2">
      <c r="A193" s="20"/>
      <c r="B193" s="712" t="s">
        <v>202</v>
      </c>
      <c r="C193" s="699"/>
      <c r="D193" s="699"/>
      <c r="E193" s="699"/>
      <c r="F193" s="95"/>
      <c r="G193" s="833"/>
      <c r="H193" s="834"/>
      <c r="I193" s="834"/>
      <c r="J193" s="834"/>
      <c r="K193" s="834"/>
      <c r="L193" s="834"/>
      <c r="M193" s="834"/>
      <c r="N193" s="834"/>
      <c r="O193" s="834"/>
      <c r="P193" s="1137"/>
      <c r="Q193" s="1138"/>
      <c r="R193" s="1137"/>
      <c r="S193" s="1139"/>
      <c r="T193" s="75"/>
      <c r="U193" s="346"/>
      <c r="V193" s="107"/>
      <c r="W193" s="371"/>
      <c r="X193" s="171"/>
      <c r="Y193" s="170"/>
      <c r="Z193" s="161"/>
      <c r="AA193" s="161"/>
      <c r="AB193" s="208">
        <v>452</v>
      </c>
    </row>
    <row r="194" spans="1:28" ht="12.6" customHeight="1" x14ac:dyDescent="0.2">
      <c r="A194" s="20"/>
      <c r="B194" s="719" t="s">
        <v>203</v>
      </c>
      <c r="C194" s="720"/>
      <c r="D194" s="720"/>
      <c r="E194" s="720"/>
      <c r="F194" s="137"/>
      <c r="G194" s="833"/>
      <c r="H194" s="834"/>
      <c r="I194" s="834"/>
      <c r="J194" s="834"/>
      <c r="K194" s="834"/>
      <c r="L194" s="834"/>
      <c r="M194" s="834"/>
      <c r="N194" s="834"/>
      <c r="O194" s="834"/>
      <c r="P194" s="1137"/>
      <c r="Q194" s="1138"/>
      <c r="R194" s="1137"/>
      <c r="S194" s="1139"/>
      <c r="T194" s="75"/>
      <c r="U194" s="345"/>
      <c r="V194" s="108"/>
      <c r="W194" s="304"/>
      <c r="X194" s="171"/>
      <c r="Y194" s="170"/>
      <c r="Z194" s="161"/>
      <c r="AA194" s="161"/>
      <c r="AB194" s="208">
        <v>453</v>
      </c>
    </row>
    <row r="195" spans="1:28" ht="12.6" customHeight="1" x14ac:dyDescent="0.2">
      <c r="A195" s="20"/>
      <c r="B195" s="712" t="s">
        <v>204</v>
      </c>
      <c r="C195" s="699"/>
      <c r="D195" s="699"/>
      <c r="E195" s="699"/>
      <c r="F195" s="95"/>
      <c r="G195" s="833"/>
      <c r="H195" s="834"/>
      <c r="I195" s="834"/>
      <c r="J195" s="834"/>
      <c r="K195" s="834"/>
      <c r="L195" s="834"/>
      <c r="M195" s="834"/>
      <c r="N195" s="834"/>
      <c r="O195" s="834"/>
      <c r="P195" s="1137"/>
      <c r="Q195" s="1138"/>
      <c r="R195" s="1137"/>
      <c r="S195" s="1139"/>
      <c r="T195" s="75"/>
      <c r="U195" s="346"/>
      <c r="V195" s="107"/>
      <c r="W195" s="371"/>
      <c r="X195" s="171"/>
      <c r="Y195" s="170"/>
      <c r="Z195" s="161"/>
      <c r="AA195" s="161"/>
      <c r="AB195" s="208">
        <v>454</v>
      </c>
    </row>
    <row r="196" spans="1:28" ht="12.6" customHeight="1" x14ac:dyDescent="0.2">
      <c r="A196" s="20"/>
      <c r="B196" s="719" t="s">
        <v>205</v>
      </c>
      <c r="C196" s="720"/>
      <c r="D196" s="720"/>
      <c r="E196" s="720"/>
      <c r="F196" s="465"/>
      <c r="G196" s="1140"/>
      <c r="H196" s="835"/>
      <c r="I196" s="835"/>
      <c r="J196" s="835"/>
      <c r="K196" s="835"/>
      <c r="L196" s="835"/>
      <c r="M196" s="835"/>
      <c r="N196" s="835"/>
      <c r="O196" s="835"/>
      <c r="P196" s="1141"/>
      <c r="Q196" s="1141"/>
      <c r="R196" s="1141"/>
      <c r="S196" s="1142"/>
      <c r="T196" s="75"/>
      <c r="U196" s="345"/>
      <c r="V196" s="108"/>
      <c r="W196" s="304"/>
      <c r="X196" s="171"/>
      <c r="Y196" s="170"/>
      <c r="Z196" s="161"/>
      <c r="AA196" s="161"/>
      <c r="AB196" s="208">
        <v>460</v>
      </c>
    </row>
    <row r="197" spans="1:28" ht="12.6" customHeight="1" x14ac:dyDescent="0.2">
      <c r="A197" s="20"/>
      <c r="B197" s="712" t="s">
        <v>426</v>
      </c>
      <c r="C197" s="713"/>
      <c r="D197" s="713"/>
      <c r="E197" s="713"/>
      <c r="F197" s="482">
        <f>1.974*X2</f>
        <v>1816.08</v>
      </c>
      <c r="G197" s="414">
        <f t="shared" ref="G197:G198" si="374">+F197*$X$1</f>
        <v>1816.08</v>
      </c>
      <c r="H197" s="335"/>
      <c r="I197" s="335"/>
      <c r="J197" s="600">
        <f>F197+120</f>
        <v>1936.08</v>
      </c>
      <c r="K197" s="346">
        <f t="shared" ref="K197" si="375">+J197*$X$1</f>
        <v>1936.08</v>
      </c>
      <c r="L197" s="600">
        <f>F197+74</f>
        <v>1890.08</v>
      </c>
      <c r="M197" s="346">
        <f t="shared" ref="M197" si="376">+L197*$X$1</f>
        <v>1890.08</v>
      </c>
      <c r="N197" s="600">
        <f t="shared" ref="N197:N204" si="377">F197+46</f>
        <v>1862.08</v>
      </c>
      <c r="O197" s="346">
        <f t="shared" ref="O197" si="378">+N197*$X$1</f>
        <v>1862.08</v>
      </c>
      <c r="P197" s="600">
        <f t="shared" ref="P197:P204" si="379">F197+42</f>
        <v>1858.08</v>
      </c>
      <c r="Q197" s="346">
        <f t="shared" ref="Q197" si="380">+P197*$X$1</f>
        <v>1858.08</v>
      </c>
      <c r="R197" s="600">
        <f t="shared" ref="R197:R204" si="381">F197+35</f>
        <v>1851.08</v>
      </c>
      <c r="S197" s="346">
        <f t="shared" ref="S197" si="382">+R197*$X$1</f>
        <v>1851.08</v>
      </c>
      <c r="T197" s="107">
        <f t="shared" ref="T197:T204" si="383">F197+29</f>
        <v>1845.08</v>
      </c>
      <c r="U197" s="371">
        <f t="shared" ref="U197" si="384">+T197*$X$1</f>
        <v>1845.08</v>
      </c>
      <c r="V197" s="107">
        <f t="shared" ref="V197:V204" si="385">F197+24</f>
        <v>1840.08</v>
      </c>
      <c r="W197" s="371">
        <f t="shared" ref="W197" si="386">+V197*$X$1</f>
        <v>1840.08</v>
      </c>
      <c r="X197" s="161"/>
      <c r="Y197" s="170"/>
      <c r="Z197" s="161"/>
      <c r="AA197" s="161"/>
      <c r="AB197" s="208">
        <v>465</v>
      </c>
    </row>
    <row r="198" spans="1:28" ht="12.6" customHeight="1" x14ac:dyDescent="0.2">
      <c r="A198" s="20"/>
      <c r="B198" s="729" t="s">
        <v>745</v>
      </c>
      <c r="C198" s="730"/>
      <c r="D198" s="730"/>
      <c r="E198" s="730"/>
      <c r="F198" s="487">
        <f>1.137*X2</f>
        <v>1046.04</v>
      </c>
      <c r="G198" s="373">
        <f t="shared" si="374"/>
        <v>1046.04</v>
      </c>
      <c r="H198" s="336"/>
      <c r="I198" s="336"/>
      <c r="J198" s="383">
        <f>F198+120</f>
        <v>1166.04</v>
      </c>
      <c r="K198" s="345">
        <f t="shared" ref="K198:K199" si="387">+J198*$X$1</f>
        <v>1166.04</v>
      </c>
      <c r="L198" s="383">
        <f>F198+74</f>
        <v>1120.04</v>
      </c>
      <c r="M198" s="345">
        <f t="shared" ref="M198:M199" si="388">+L198*$X$1</f>
        <v>1120.04</v>
      </c>
      <c r="N198" s="383">
        <f t="shared" si="377"/>
        <v>1092.04</v>
      </c>
      <c r="O198" s="345">
        <f t="shared" ref="O198:O199" si="389">+N198*$X$1</f>
        <v>1092.04</v>
      </c>
      <c r="P198" s="383">
        <f t="shared" si="379"/>
        <v>1088.04</v>
      </c>
      <c r="Q198" s="345">
        <f t="shared" ref="Q198:Q199" si="390">+P198*$X$1</f>
        <v>1088.04</v>
      </c>
      <c r="R198" s="383">
        <f t="shared" si="381"/>
        <v>1081.04</v>
      </c>
      <c r="S198" s="345">
        <f t="shared" ref="S198:S199" si="391">+R198*$X$1</f>
        <v>1081.04</v>
      </c>
      <c r="T198" s="108">
        <f t="shared" si="383"/>
        <v>1075.04</v>
      </c>
      <c r="U198" s="304">
        <f t="shared" ref="U198:U199" si="392">+T198*$X$1</f>
        <v>1075.04</v>
      </c>
      <c r="V198" s="108">
        <f t="shared" si="385"/>
        <v>1070.04</v>
      </c>
      <c r="W198" s="304">
        <f t="shared" ref="W198:W199" si="393">+V198*$X$1</f>
        <v>1070.04</v>
      </c>
      <c r="X198" s="161"/>
      <c r="Y198" s="161"/>
      <c r="Z198" s="161"/>
      <c r="AA198" s="161"/>
      <c r="AB198" s="208">
        <v>528</v>
      </c>
    </row>
    <row r="199" spans="1:28" ht="12.6" customHeight="1" x14ac:dyDescent="0.2">
      <c r="A199" s="20"/>
      <c r="B199" s="774" t="s">
        <v>427</v>
      </c>
      <c r="C199" s="920"/>
      <c r="D199" s="920"/>
      <c r="E199" s="921"/>
      <c r="F199" s="388">
        <v>3200</v>
      </c>
      <c r="G199" s="378">
        <f t="shared" ref="G199:G202" si="394">+F199*$X$1</f>
        <v>3200</v>
      </c>
      <c r="H199" s="335"/>
      <c r="I199" s="335"/>
      <c r="J199" s="600">
        <f>F199+120</f>
        <v>3320</v>
      </c>
      <c r="K199" s="346">
        <f t="shared" si="387"/>
        <v>3320</v>
      </c>
      <c r="L199" s="600">
        <f>F199+74</f>
        <v>3274</v>
      </c>
      <c r="M199" s="346">
        <f t="shared" si="388"/>
        <v>3274</v>
      </c>
      <c r="N199" s="600">
        <f t="shared" si="377"/>
        <v>3246</v>
      </c>
      <c r="O199" s="346">
        <f t="shared" si="389"/>
        <v>3246</v>
      </c>
      <c r="P199" s="600">
        <f t="shared" si="379"/>
        <v>3242</v>
      </c>
      <c r="Q199" s="346">
        <f t="shared" si="390"/>
        <v>3242</v>
      </c>
      <c r="R199" s="600">
        <f t="shared" si="381"/>
        <v>3235</v>
      </c>
      <c r="S199" s="346">
        <f t="shared" si="391"/>
        <v>3235</v>
      </c>
      <c r="T199" s="107">
        <f t="shared" si="383"/>
        <v>3229</v>
      </c>
      <c r="U199" s="371">
        <f t="shared" si="392"/>
        <v>3229</v>
      </c>
      <c r="V199" s="107">
        <f t="shared" si="385"/>
        <v>3224</v>
      </c>
      <c r="W199" s="371">
        <f t="shared" si="393"/>
        <v>3224</v>
      </c>
      <c r="X199" s="161"/>
      <c r="Y199" s="161"/>
      <c r="Z199" s="161"/>
      <c r="AA199" s="161"/>
      <c r="AB199" s="208"/>
    </row>
    <row r="200" spans="1:28" ht="12.6" customHeight="1" x14ac:dyDescent="0.2">
      <c r="A200" s="20"/>
      <c r="B200" s="714" t="s">
        <v>428</v>
      </c>
      <c r="C200" s="717"/>
      <c r="D200" s="717"/>
      <c r="E200" s="718"/>
      <c r="F200" s="372">
        <v>970</v>
      </c>
      <c r="G200" s="379">
        <f t="shared" si="394"/>
        <v>970</v>
      </c>
      <c r="H200" s="336"/>
      <c r="I200" s="336"/>
      <c r="J200" s="383">
        <f>F200+120</f>
        <v>1090</v>
      </c>
      <c r="K200" s="345">
        <f t="shared" ref="K200" si="395">+J200*$X$1</f>
        <v>1090</v>
      </c>
      <c r="L200" s="383">
        <f>F200+74</f>
        <v>1044</v>
      </c>
      <c r="M200" s="345">
        <f t="shared" ref="M200" si="396">+L200*$X$1</f>
        <v>1044</v>
      </c>
      <c r="N200" s="383">
        <f t="shared" si="377"/>
        <v>1016</v>
      </c>
      <c r="O200" s="345">
        <f t="shared" ref="O200" si="397">+N200*$X$1</f>
        <v>1016</v>
      </c>
      <c r="P200" s="383">
        <f t="shared" si="379"/>
        <v>1012</v>
      </c>
      <c r="Q200" s="345">
        <f t="shared" ref="Q200" si="398">+P200*$X$1</f>
        <v>1012</v>
      </c>
      <c r="R200" s="383">
        <f t="shared" si="381"/>
        <v>1005</v>
      </c>
      <c r="S200" s="345">
        <f t="shared" ref="S200" si="399">+R200*$X$1</f>
        <v>1005</v>
      </c>
      <c r="T200" s="108">
        <f t="shared" si="383"/>
        <v>999</v>
      </c>
      <c r="U200" s="304">
        <f t="shared" ref="U200" si="400">+T200*$X$1</f>
        <v>999</v>
      </c>
      <c r="V200" s="108">
        <f t="shared" si="385"/>
        <v>994</v>
      </c>
      <c r="W200" s="304">
        <f t="shared" ref="W200" si="401">+V200*$X$1</f>
        <v>994</v>
      </c>
      <c r="X200" s="161"/>
      <c r="Y200" s="161"/>
      <c r="Z200" s="161"/>
      <c r="AA200" s="161"/>
      <c r="AB200" s="208"/>
    </row>
    <row r="201" spans="1:28" ht="12.6" customHeight="1" x14ac:dyDescent="0.2">
      <c r="A201" s="20"/>
      <c r="B201" s="799" t="s">
        <v>206</v>
      </c>
      <c r="C201" s="800"/>
      <c r="D201" s="800"/>
      <c r="E201" s="800"/>
      <c r="F201" s="388">
        <v>175</v>
      </c>
      <c r="G201" s="434">
        <f>+F201*$X$1</f>
        <v>175</v>
      </c>
      <c r="H201" s="1119" t="s">
        <v>416</v>
      </c>
      <c r="I201" s="1119"/>
      <c r="J201" s="1120"/>
      <c r="K201" s="1120"/>
      <c r="L201" s="1120"/>
      <c r="M201" s="1121"/>
      <c r="N201" s="619">
        <f t="shared" si="377"/>
        <v>221</v>
      </c>
      <c r="O201" s="346">
        <f t="shared" ref="O201:O204" si="402">+N201*$X$1</f>
        <v>221</v>
      </c>
      <c r="P201" s="619">
        <f t="shared" si="379"/>
        <v>217</v>
      </c>
      <c r="Q201" s="346">
        <f t="shared" ref="Q201:Q204" si="403">+P201*$X$1</f>
        <v>217</v>
      </c>
      <c r="R201" s="619">
        <f t="shared" si="381"/>
        <v>210</v>
      </c>
      <c r="S201" s="346">
        <f t="shared" ref="S201:S204" si="404">+R201*$X$1</f>
        <v>210</v>
      </c>
      <c r="T201" s="107">
        <f t="shared" si="383"/>
        <v>204</v>
      </c>
      <c r="U201" s="371">
        <f t="shared" ref="U201:U204" si="405">+T201*$X$1</f>
        <v>204</v>
      </c>
      <c r="V201" s="107">
        <f t="shared" si="385"/>
        <v>199</v>
      </c>
      <c r="W201" s="371">
        <f t="shared" ref="W201:W204" si="406">+V201*$X$1</f>
        <v>199</v>
      </c>
      <c r="X201" s="161"/>
      <c r="Y201" s="161"/>
      <c r="Z201" s="161"/>
      <c r="AA201" s="161"/>
      <c r="AB201" s="208">
        <v>539</v>
      </c>
    </row>
    <row r="202" spans="1:28" ht="12.6" customHeight="1" x14ac:dyDescent="0.2">
      <c r="A202" s="20"/>
      <c r="B202" s="729" t="s">
        <v>565</v>
      </c>
      <c r="C202" s="730"/>
      <c r="D202" s="730"/>
      <c r="E202" s="730"/>
      <c r="F202" s="372">
        <v>372</v>
      </c>
      <c r="G202" s="373">
        <f t="shared" si="394"/>
        <v>372</v>
      </c>
      <c r="H202" s="336"/>
      <c r="I202" s="336"/>
      <c r="J202" s="75"/>
      <c r="K202" s="345"/>
      <c r="L202" s="383"/>
      <c r="M202" s="345"/>
      <c r="N202" s="383"/>
      <c r="O202" s="345"/>
      <c r="P202" s="383"/>
      <c r="Q202" s="345"/>
      <c r="R202" s="383"/>
      <c r="S202" s="345"/>
      <c r="T202" s="108">
        <f t="shared" si="383"/>
        <v>401</v>
      </c>
      <c r="U202" s="304">
        <f t="shared" si="405"/>
        <v>401</v>
      </c>
      <c r="V202" s="108">
        <f t="shared" si="385"/>
        <v>396</v>
      </c>
      <c r="W202" s="304">
        <f t="shared" si="406"/>
        <v>396</v>
      </c>
      <c r="X202" s="161"/>
      <c r="Y202" s="161"/>
      <c r="Z202" s="161"/>
      <c r="AA202" s="161"/>
      <c r="AB202" s="208">
        <v>540</v>
      </c>
    </row>
    <row r="203" spans="1:28" ht="12.6" customHeight="1" x14ac:dyDescent="0.2">
      <c r="A203" s="20"/>
      <c r="B203" s="799" t="s">
        <v>567</v>
      </c>
      <c r="C203" s="936"/>
      <c r="D203" s="936"/>
      <c r="E203" s="936"/>
      <c r="F203" s="388">
        <v>670</v>
      </c>
      <c r="G203" s="413">
        <f t="shared" ref="G203" si="407">+F203*$X$1</f>
        <v>670</v>
      </c>
      <c r="H203" s="335"/>
      <c r="I203" s="335"/>
      <c r="J203" s="93"/>
      <c r="K203" s="346"/>
      <c r="L203" s="619"/>
      <c r="M203" s="346"/>
      <c r="N203" s="619"/>
      <c r="O203" s="346"/>
      <c r="P203" s="619"/>
      <c r="Q203" s="346"/>
      <c r="R203" s="619"/>
      <c r="S203" s="346"/>
      <c r="T203" s="107">
        <f t="shared" si="383"/>
        <v>699</v>
      </c>
      <c r="U203" s="371">
        <f t="shared" si="405"/>
        <v>699</v>
      </c>
      <c r="V203" s="107">
        <f t="shared" si="385"/>
        <v>694</v>
      </c>
      <c r="W203" s="371">
        <f t="shared" si="406"/>
        <v>694</v>
      </c>
      <c r="X203" s="161"/>
      <c r="Y203" s="161"/>
      <c r="Z203" s="161"/>
      <c r="AA203" s="161"/>
      <c r="AB203" s="208" t="s">
        <v>667</v>
      </c>
    </row>
    <row r="204" spans="1:28" ht="12.6" customHeight="1" x14ac:dyDescent="0.2">
      <c r="A204" s="20"/>
      <c r="B204" s="714" t="s">
        <v>514</v>
      </c>
      <c r="C204" s="717"/>
      <c r="D204" s="717"/>
      <c r="E204" s="718"/>
      <c r="F204" s="487">
        <f>18.74*X2</f>
        <v>17240.8</v>
      </c>
      <c r="G204" s="373">
        <f t="shared" ref="G204" si="408">+F204*$X$1</f>
        <v>17240.8</v>
      </c>
      <c r="H204" s="383">
        <f>F204+290</f>
        <v>17530.8</v>
      </c>
      <c r="I204" s="345">
        <f>+H204*$X$1</f>
        <v>17530.8</v>
      </c>
      <c r="J204" s="383">
        <f>F204+120</f>
        <v>17360.8</v>
      </c>
      <c r="K204" s="345">
        <f t="shared" ref="K204" si="409">+J204*$X$1</f>
        <v>17360.8</v>
      </c>
      <c r="L204" s="383">
        <f>F204+74</f>
        <v>17314.8</v>
      </c>
      <c r="M204" s="345">
        <f t="shared" ref="M204" si="410">+L204*$X$1</f>
        <v>17314.8</v>
      </c>
      <c r="N204" s="383">
        <f t="shared" si="377"/>
        <v>17286.8</v>
      </c>
      <c r="O204" s="345">
        <f t="shared" si="402"/>
        <v>17286.8</v>
      </c>
      <c r="P204" s="383">
        <f t="shared" si="379"/>
        <v>17282.8</v>
      </c>
      <c r="Q204" s="345">
        <f t="shared" si="403"/>
        <v>17282.8</v>
      </c>
      <c r="R204" s="383">
        <f t="shared" si="381"/>
        <v>17275.8</v>
      </c>
      <c r="S204" s="345">
        <f t="shared" si="404"/>
        <v>17275.8</v>
      </c>
      <c r="T204" s="108">
        <f t="shared" si="383"/>
        <v>17269.8</v>
      </c>
      <c r="U204" s="304">
        <f t="shared" si="405"/>
        <v>17269.8</v>
      </c>
      <c r="V204" s="108">
        <f t="shared" si="385"/>
        <v>17264.8</v>
      </c>
      <c r="W204" s="304">
        <f t="shared" si="406"/>
        <v>17264.8</v>
      </c>
      <c r="X204" s="161"/>
      <c r="Y204" s="161"/>
      <c r="Z204" s="161"/>
      <c r="AA204" s="161"/>
      <c r="AB204" s="208">
        <v>542</v>
      </c>
    </row>
    <row r="205" spans="1:28" ht="12.6" customHeight="1" x14ac:dyDescent="0.2">
      <c r="A205" s="20"/>
      <c r="B205" s="712" t="s">
        <v>566</v>
      </c>
      <c r="C205" s="699"/>
      <c r="D205" s="699"/>
      <c r="E205" s="699"/>
      <c r="F205" s="346"/>
      <c r="G205" s="346"/>
      <c r="H205" s="619"/>
      <c r="I205" s="619"/>
      <c r="J205" s="619"/>
      <c r="K205" s="346"/>
      <c r="L205" s="619"/>
      <c r="M205" s="346"/>
      <c r="N205" s="619"/>
      <c r="O205" s="346"/>
      <c r="P205" s="619"/>
      <c r="Q205" s="346"/>
      <c r="R205" s="619"/>
      <c r="S205" s="346"/>
      <c r="T205" s="619"/>
      <c r="U205" s="346"/>
      <c r="V205" s="93"/>
      <c r="W205" s="422"/>
      <c r="X205" s="161"/>
      <c r="Y205" s="161"/>
      <c r="Z205" s="161"/>
      <c r="AA205" s="161"/>
      <c r="AB205" s="208">
        <v>544</v>
      </c>
    </row>
    <row r="206" spans="1:28" ht="12.6" customHeight="1" x14ac:dyDescent="0.2">
      <c r="A206" s="20"/>
      <c r="B206" s="726" t="s">
        <v>207</v>
      </c>
      <c r="C206" s="727"/>
      <c r="D206" s="727"/>
      <c r="E206" s="727"/>
      <c r="F206" s="411">
        <v>350</v>
      </c>
      <c r="G206" s="410">
        <f t="shared" ref="G206:G211" si="411">+F206*$X$1</f>
        <v>350</v>
      </c>
      <c r="H206" s="342"/>
      <c r="I206" s="342"/>
      <c r="J206" s="601">
        <f t="shared" ref="J206:J212" si="412">F206+120</f>
        <v>470</v>
      </c>
      <c r="K206" s="410">
        <f t="shared" ref="K206" si="413">+J206*$X$1</f>
        <v>470</v>
      </c>
      <c r="L206" s="601">
        <f t="shared" ref="L206:L212" si="414">F206+74</f>
        <v>424</v>
      </c>
      <c r="M206" s="410">
        <f t="shared" ref="M206" si="415">+L206*$X$1</f>
        <v>424</v>
      </c>
      <c r="N206" s="601">
        <f t="shared" ref="N206:N212" si="416">F206+46</f>
        <v>396</v>
      </c>
      <c r="O206" s="410">
        <f t="shared" ref="O206" si="417">+N206*$X$1</f>
        <v>396</v>
      </c>
      <c r="P206" s="109"/>
      <c r="Q206" s="1173" t="s">
        <v>155</v>
      </c>
      <c r="R206" s="1174"/>
      <c r="S206" s="1174"/>
      <c r="T206" s="1174"/>
      <c r="U206" s="1174"/>
      <c r="V206" s="1174"/>
      <c r="W206" s="1175"/>
      <c r="X206" s="141"/>
      <c r="Y206" s="141"/>
      <c r="Z206" s="141"/>
      <c r="AA206" s="141"/>
      <c r="AB206" s="208">
        <v>547</v>
      </c>
    </row>
    <row r="207" spans="1:28" ht="12.6" customHeight="1" x14ac:dyDescent="0.2">
      <c r="A207" s="20"/>
      <c r="B207" s="714" t="s">
        <v>429</v>
      </c>
      <c r="C207" s="715"/>
      <c r="D207" s="715"/>
      <c r="E207" s="716"/>
      <c r="F207" s="345">
        <v>3100</v>
      </c>
      <c r="G207" s="345">
        <f t="shared" si="411"/>
        <v>3100</v>
      </c>
      <c r="H207" s="336"/>
      <c r="I207" s="336"/>
      <c r="J207" s="383">
        <f t="shared" si="412"/>
        <v>3220</v>
      </c>
      <c r="K207" s="345">
        <f t="shared" ref="K207:K212" si="418">+J207*$X$1</f>
        <v>3220</v>
      </c>
      <c r="L207" s="383">
        <f t="shared" si="414"/>
        <v>3174</v>
      </c>
      <c r="M207" s="345">
        <f t="shared" ref="M207:M212" si="419">+L207*$X$1</f>
        <v>3174</v>
      </c>
      <c r="N207" s="383">
        <f t="shared" si="416"/>
        <v>3146</v>
      </c>
      <c r="O207" s="345">
        <f t="shared" ref="O207:O212" si="420">+N207*$X$1</f>
        <v>3146</v>
      </c>
      <c r="P207" s="383">
        <f t="shared" ref="P207:P212" si="421">F207+42</f>
        <v>3142</v>
      </c>
      <c r="Q207" s="345">
        <f t="shared" ref="Q207:Q212" si="422">+P207*$X$1</f>
        <v>3142</v>
      </c>
      <c r="R207" s="383">
        <f t="shared" ref="R207:R212" si="423">F207+35</f>
        <v>3135</v>
      </c>
      <c r="S207" s="345">
        <f t="shared" ref="S207:S212" si="424">+R207*$X$1</f>
        <v>3135</v>
      </c>
      <c r="T207" s="108">
        <f t="shared" ref="T207:T212" si="425">F207+29</f>
        <v>3129</v>
      </c>
      <c r="U207" s="304">
        <f t="shared" ref="U207:U212" si="426">+T207*$X$1</f>
        <v>3129</v>
      </c>
      <c r="V207" s="108">
        <f t="shared" ref="V207:V212" si="427">F207+24</f>
        <v>3124</v>
      </c>
      <c r="W207" s="304">
        <f t="shared" ref="W207:W212" si="428">+V207*$X$1</f>
        <v>3124</v>
      </c>
      <c r="X207" s="141"/>
      <c r="Y207" s="141"/>
      <c r="Z207" s="141"/>
      <c r="AA207" s="141"/>
      <c r="AB207" s="555"/>
    </row>
    <row r="208" spans="1:28" ht="12.6" customHeight="1" x14ac:dyDescent="0.2">
      <c r="A208" s="20"/>
      <c r="B208" s="774" t="s">
        <v>586</v>
      </c>
      <c r="C208" s="775"/>
      <c r="D208" s="775"/>
      <c r="E208" s="776"/>
      <c r="F208" s="388">
        <v>890</v>
      </c>
      <c r="G208" s="346">
        <f t="shared" si="411"/>
        <v>890</v>
      </c>
      <c r="H208" s="335"/>
      <c r="I208" s="335"/>
      <c r="J208" s="600">
        <f t="shared" si="412"/>
        <v>1010</v>
      </c>
      <c r="K208" s="346">
        <f t="shared" si="418"/>
        <v>1010</v>
      </c>
      <c r="L208" s="600">
        <f t="shared" si="414"/>
        <v>964</v>
      </c>
      <c r="M208" s="346">
        <f t="shared" si="419"/>
        <v>964</v>
      </c>
      <c r="N208" s="600">
        <f t="shared" si="416"/>
        <v>936</v>
      </c>
      <c r="O208" s="346">
        <f t="shared" si="420"/>
        <v>936</v>
      </c>
      <c r="P208" s="600">
        <f t="shared" si="421"/>
        <v>932</v>
      </c>
      <c r="Q208" s="346">
        <f t="shared" si="422"/>
        <v>932</v>
      </c>
      <c r="R208" s="600">
        <f t="shared" si="423"/>
        <v>925</v>
      </c>
      <c r="S208" s="346">
        <f t="shared" si="424"/>
        <v>925</v>
      </c>
      <c r="T208" s="107">
        <f t="shared" si="425"/>
        <v>919</v>
      </c>
      <c r="U208" s="371">
        <f t="shared" si="426"/>
        <v>919</v>
      </c>
      <c r="V208" s="107">
        <f t="shared" si="427"/>
        <v>914</v>
      </c>
      <c r="W208" s="371">
        <f t="shared" si="428"/>
        <v>914</v>
      </c>
      <c r="X208" s="161"/>
      <c r="Y208" s="161"/>
      <c r="Z208" s="161"/>
      <c r="AA208" s="161"/>
      <c r="AB208" s="208"/>
    </row>
    <row r="209" spans="1:28" ht="12.6" customHeight="1" x14ac:dyDescent="0.2">
      <c r="A209" s="20"/>
      <c r="B209" s="714" t="s">
        <v>538</v>
      </c>
      <c r="C209" s="715"/>
      <c r="D209" s="715"/>
      <c r="E209" s="716"/>
      <c r="F209" s="345">
        <v>2990</v>
      </c>
      <c r="G209" s="345">
        <f t="shared" si="411"/>
        <v>2990</v>
      </c>
      <c r="H209" s="336"/>
      <c r="I209" s="336"/>
      <c r="J209" s="383">
        <f t="shared" si="412"/>
        <v>3110</v>
      </c>
      <c r="K209" s="345">
        <f t="shared" si="418"/>
        <v>3110</v>
      </c>
      <c r="L209" s="383">
        <f t="shared" si="414"/>
        <v>3064</v>
      </c>
      <c r="M209" s="345">
        <f t="shared" si="419"/>
        <v>3064</v>
      </c>
      <c r="N209" s="383">
        <f t="shared" si="416"/>
        <v>3036</v>
      </c>
      <c r="O209" s="345">
        <f t="shared" si="420"/>
        <v>3036</v>
      </c>
      <c r="P209" s="383">
        <f t="shared" si="421"/>
        <v>3032</v>
      </c>
      <c r="Q209" s="345">
        <f t="shared" si="422"/>
        <v>3032</v>
      </c>
      <c r="R209" s="383">
        <f t="shared" si="423"/>
        <v>3025</v>
      </c>
      <c r="S209" s="345">
        <f t="shared" si="424"/>
        <v>3025</v>
      </c>
      <c r="T209" s="108">
        <f t="shared" si="425"/>
        <v>3019</v>
      </c>
      <c r="U209" s="304">
        <f t="shared" si="426"/>
        <v>3019</v>
      </c>
      <c r="V209" s="108">
        <f t="shared" si="427"/>
        <v>3014</v>
      </c>
      <c r="W209" s="304">
        <f t="shared" si="428"/>
        <v>3014</v>
      </c>
      <c r="X209" s="141"/>
      <c r="Y209" s="141"/>
      <c r="Z209" s="141"/>
      <c r="AA209" s="141"/>
      <c r="AB209" s="208">
        <v>551</v>
      </c>
    </row>
    <row r="210" spans="1:28" ht="12.6" customHeight="1" x14ac:dyDescent="0.2">
      <c r="A210" s="20"/>
      <c r="B210" s="731" t="s">
        <v>536</v>
      </c>
      <c r="C210" s="732"/>
      <c r="D210" s="732"/>
      <c r="E210" s="733"/>
      <c r="F210" s="388">
        <v>3350</v>
      </c>
      <c r="G210" s="346">
        <f t="shared" si="411"/>
        <v>3350</v>
      </c>
      <c r="H210" s="335"/>
      <c r="I210" s="335"/>
      <c r="J210" s="600">
        <f t="shared" si="412"/>
        <v>3470</v>
      </c>
      <c r="K210" s="346">
        <f t="shared" si="418"/>
        <v>3470</v>
      </c>
      <c r="L210" s="600">
        <f t="shared" si="414"/>
        <v>3424</v>
      </c>
      <c r="M210" s="346">
        <f t="shared" si="419"/>
        <v>3424</v>
      </c>
      <c r="N210" s="600">
        <f t="shared" si="416"/>
        <v>3396</v>
      </c>
      <c r="O210" s="346">
        <f t="shared" si="420"/>
        <v>3396</v>
      </c>
      <c r="P210" s="600">
        <f t="shared" si="421"/>
        <v>3392</v>
      </c>
      <c r="Q210" s="346">
        <f t="shared" si="422"/>
        <v>3392</v>
      </c>
      <c r="R210" s="600">
        <f t="shared" si="423"/>
        <v>3385</v>
      </c>
      <c r="S210" s="346">
        <f t="shared" si="424"/>
        <v>3385</v>
      </c>
      <c r="T210" s="107">
        <f t="shared" si="425"/>
        <v>3379</v>
      </c>
      <c r="U210" s="371">
        <f t="shared" si="426"/>
        <v>3379</v>
      </c>
      <c r="V210" s="107">
        <f t="shared" si="427"/>
        <v>3374</v>
      </c>
      <c r="W210" s="371">
        <f t="shared" si="428"/>
        <v>3374</v>
      </c>
      <c r="X210" s="141"/>
      <c r="Y210" s="141"/>
      <c r="Z210" s="141"/>
      <c r="AA210" s="141"/>
      <c r="AB210" s="208" t="s">
        <v>535</v>
      </c>
    </row>
    <row r="211" spans="1:28" ht="12.6" customHeight="1" x14ac:dyDescent="0.2">
      <c r="A211" s="20"/>
      <c r="B211" s="1122" t="s">
        <v>537</v>
      </c>
      <c r="C211" s="1057"/>
      <c r="D211" s="1057"/>
      <c r="E211" s="1058"/>
      <c r="F211" s="372">
        <v>3600</v>
      </c>
      <c r="G211" s="345">
        <f t="shared" si="411"/>
        <v>3600</v>
      </c>
      <c r="H211" s="336"/>
      <c r="I211" s="336"/>
      <c r="J211" s="383">
        <f t="shared" si="412"/>
        <v>3720</v>
      </c>
      <c r="K211" s="345">
        <f t="shared" si="418"/>
        <v>3720</v>
      </c>
      <c r="L211" s="383">
        <f t="shared" si="414"/>
        <v>3674</v>
      </c>
      <c r="M211" s="345">
        <f t="shared" si="419"/>
        <v>3674</v>
      </c>
      <c r="N211" s="383">
        <f t="shared" si="416"/>
        <v>3646</v>
      </c>
      <c r="O211" s="345">
        <f t="shared" si="420"/>
        <v>3646</v>
      </c>
      <c r="P211" s="383">
        <f t="shared" si="421"/>
        <v>3642</v>
      </c>
      <c r="Q211" s="345">
        <f t="shared" si="422"/>
        <v>3642</v>
      </c>
      <c r="R211" s="383">
        <f t="shared" si="423"/>
        <v>3635</v>
      </c>
      <c r="S211" s="345">
        <f t="shared" si="424"/>
        <v>3635</v>
      </c>
      <c r="T211" s="108">
        <f t="shared" si="425"/>
        <v>3629</v>
      </c>
      <c r="U211" s="304">
        <f t="shared" si="426"/>
        <v>3629</v>
      </c>
      <c r="V211" s="108">
        <f t="shared" si="427"/>
        <v>3624</v>
      </c>
      <c r="W211" s="304">
        <f t="shared" si="428"/>
        <v>3624</v>
      </c>
      <c r="X211" s="141"/>
      <c r="Y211" s="141"/>
      <c r="Z211" s="141"/>
      <c r="AA211" s="141"/>
      <c r="AB211" s="208" t="s">
        <v>539</v>
      </c>
    </row>
    <row r="212" spans="1:28" ht="12.6" customHeight="1" x14ac:dyDescent="0.2">
      <c r="A212" s="20"/>
      <c r="B212" s="712" t="s">
        <v>481</v>
      </c>
      <c r="C212" s="713"/>
      <c r="D212" s="713"/>
      <c r="E212" s="713"/>
      <c r="F212" s="346">
        <v>3220</v>
      </c>
      <c r="G212" s="346">
        <f t="shared" ref="G212" si="429">+F212*$X$1</f>
        <v>3220</v>
      </c>
      <c r="H212" s="335"/>
      <c r="I212" s="335"/>
      <c r="J212" s="600">
        <f t="shared" si="412"/>
        <v>3340</v>
      </c>
      <c r="K212" s="346">
        <f t="shared" si="418"/>
        <v>3340</v>
      </c>
      <c r="L212" s="600">
        <f t="shared" si="414"/>
        <v>3294</v>
      </c>
      <c r="M212" s="346">
        <f t="shared" si="419"/>
        <v>3294</v>
      </c>
      <c r="N212" s="600">
        <f t="shared" si="416"/>
        <v>3266</v>
      </c>
      <c r="O212" s="346">
        <f t="shared" si="420"/>
        <v>3266</v>
      </c>
      <c r="P212" s="600">
        <f t="shared" si="421"/>
        <v>3262</v>
      </c>
      <c r="Q212" s="346">
        <f t="shared" si="422"/>
        <v>3262</v>
      </c>
      <c r="R212" s="600">
        <f t="shared" si="423"/>
        <v>3255</v>
      </c>
      <c r="S212" s="346">
        <f t="shared" si="424"/>
        <v>3255</v>
      </c>
      <c r="T212" s="107">
        <f t="shared" si="425"/>
        <v>3249</v>
      </c>
      <c r="U212" s="371">
        <f t="shared" si="426"/>
        <v>3249</v>
      </c>
      <c r="V212" s="107">
        <f t="shared" si="427"/>
        <v>3244</v>
      </c>
      <c r="W212" s="371">
        <f t="shared" si="428"/>
        <v>3244</v>
      </c>
      <c r="X212" s="141"/>
      <c r="Y212" s="141"/>
      <c r="Z212" s="141"/>
      <c r="AA212" s="141"/>
      <c r="AB212" s="208">
        <v>553</v>
      </c>
    </row>
    <row r="213" spans="1:28" ht="12.6" customHeight="1" x14ac:dyDescent="0.2">
      <c r="A213" s="20"/>
      <c r="B213" s="714" t="s">
        <v>520</v>
      </c>
      <c r="C213" s="717"/>
      <c r="D213" s="717"/>
      <c r="E213" s="718"/>
      <c r="F213" s="383"/>
      <c r="G213" s="383"/>
      <c r="H213" s="383"/>
      <c r="I213" s="383"/>
      <c r="J213" s="383"/>
      <c r="K213" s="383"/>
      <c r="L213" s="383"/>
      <c r="M213" s="383"/>
      <c r="N213" s="383"/>
      <c r="O213" s="383"/>
      <c r="P213" s="383"/>
      <c r="Q213" s="383"/>
      <c r="R213" s="75"/>
      <c r="S213" s="75"/>
      <c r="T213" s="75"/>
      <c r="U213" s="75"/>
      <c r="V213" s="75"/>
      <c r="W213" s="75"/>
      <c r="X213" s="164"/>
      <c r="Y213" s="146"/>
      <c r="Z213" s="141"/>
      <c r="AA213" s="141"/>
      <c r="AB213" s="208">
        <v>563</v>
      </c>
    </row>
    <row r="214" spans="1:28" ht="12.6" customHeight="1" x14ac:dyDescent="0.2">
      <c r="A214" s="20"/>
      <c r="B214" s="799" t="s">
        <v>744</v>
      </c>
      <c r="C214" s="936"/>
      <c r="D214" s="936"/>
      <c r="E214" s="936"/>
      <c r="F214" s="486">
        <f>7.391*X2</f>
        <v>6799.72</v>
      </c>
      <c r="G214" s="413">
        <f t="shared" ref="G214" si="430">+F214*$X$1</f>
        <v>6799.72</v>
      </c>
      <c r="H214" s="335"/>
      <c r="I214" s="335"/>
      <c r="J214" s="683">
        <f>F214+120</f>
        <v>6919.72</v>
      </c>
      <c r="K214" s="346">
        <f t="shared" ref="K214" si="431">+J214*$X$1</f>
        <v>6919.72</v>
      </c>
      <c r="L214" s="683">
        <f t="shared" ref="L214:L222" si="432">F214+74</f>
        <v>6873.72</v>
      </c>
      <c r="M214" s="346">
        <f t="shared" ref="M214" si="433">+L214*$X$1</f>
        <v>6873.72</v>
      </c>
      <c r="N214" s="683">
        <f t="shared" ref="N214:N222" si="434">F214+46</f>
        <v>6845.72</v>
      </c>
      <c r="O214" s="346">
        <f t="shared" ref="O214" si="435">+N214*$X$1</f>
        <v>6845.72</v>
      </c>
      <c r="P214" s="683">
        <f>F214+42</f>
        <v>6841.72</v>
      </c>
      <c r="Q214" s="346">
        <f t="shared" ref="Q214" si="436">+P214*$X$1</f>
        <v>6841.72</v>
      </c>
      <c r="R214" s="683">
        <f>F214+35</f>
        <v>6834.72</v>
      </c>
      <c r="S214" s="346">
        <f t="shared" ref="S214" si="437">+R214*$X$1</f>
        <v>6834.72</v>
      </c>
      <c r="T214" s="107">
        <f>F214+29</f>
        <v>6828.72</v>
      </c>
      <c r="U214" s="371">
        <f t="shared" ref="U214" si="438">+T214*$X$1</f>
        <v>6828.72</v>
      </c>
      <c r="V214" s="107">
        <f>F214+24</f>
        <v>6823.72</v>
      </c>
      <c r="W214" s="371">
        <f t="shared" ref="W214" si="439">+V214*$X$1</f>
        <v>6823.72</v>
      </c>
      <c r="X214" s="161"/>
      <c r="Y214" s="161"/>
      <c r="Z214" s="161"/>
      <c r="AA214" s="161"/>
      <c r="AB214" s="208">
        <v>616</v>
      </c>
    </row>
    <row r="215" spans="1:28" ht="12.6" customHeight="1" x14ac:dyDescent="0.2">
      <c r="A215" s="20"/>
      <c r="B215" s="1127" t="s">
        <v>421</v>
      </c>
      <c r="C215" s="1128"/>
      <c r="D215" s="1128"/>
      <c r="E215" s="1128"/>
      <c r="F215" s="410">
        <v>180</v>
      </c>
      <c r="G215" s="410">
        <f t="shared" ref="G215:G218" si="440">+F215*$X$1</f>
        <v>180</v>
      </c>
      <c r="H215" s="342"/>
      <c r="I215" s="419"/>
      <c r="J215" s="109">
        <f>F215+120</f>
        <v>300</v>
      </c>
      <c r="K215" s="410">
        <f>+J215*$X$1</f>
        <v>300</v>
      </c>
      <c r="L215" s="601">
        <f t="shared" si="432"/>
        <v>254</v>
      </c>
      <c r="M215" s="410">
        <f t="shared" ref="M215:M222" si="441">+L215*$X$1</f>
        <v>254</v>
      </c>
      <c r="N215" s="601">
        <f t="shared" si="434"/>
        <v>226</v>
      </c>
      <c r="O215" s="410">
        <f t="shared" ref="O215" si="442">+N215*$X$1</f>
        <v>226</v>
      </c>
      <c r="P215" s="601"/>
      <c r="Q215" s="601"/>
      <c r="R215" s="601"/>
      <c r="S215" s="601"/>
      <c r="T215" s="601"/>
      <c r="U215" s="601"/>
      <c r="V215" s="109"/>
      <c r="W215" s="109"/>
      <c r="X215" s="161"/>
      <c r="Y215" s="161"/>
      <c r="Z215" s="161"/>
      <c r="AA215" s="161"/>
      <c r="AB215" s="208">
        <v>618</v>
      </c>
    </row>
    <row r="216" spans="1:28" ht="12.6" customHeight="1" x14ac:dyDescent="0.2">
      <c r="A216" s="111"/>
      <c r="B216" s="943" t="s">
        <v>578</v>
      </c>
      <c r="C216" s="910"/>
      <c r="D216" s="910"/>
      <c r="E216" s="910"/>
      <c r="F216" s="410">
        <v>400</v>
      </c>
      <c r="G216" s="410">
        <f t="shared" si="440"/>
        <v>400</v>
      </c>
      <c r="H216" s="618"/>
      <c r="I216" s="410"/>
      <c r="J216" s="342"/>
      <c r="K216" s="419"/>
      <c r="L216" s="618">
        <f t="shared" si="432"/>
        <v>474</v>
      </c>
      <c r="M216" s="410">
        <f t="shared" si="441"/>
        <v>474</v>
      </c>
      <c r="N216" s="618"/>
      <c r="O216" s="410"/>
      <c r="P216" s="618">
        <f>F216+5.1</f>
        <v>405.1</v>
      </c>
      <c r="Q216" s="1132" t="s">
        <v>155</v>
      </c>
      <c r="R216" s="1133"/>
      <c r="S216" s="1133"/>
      <c r="T216" s="1133"/>
      <c r="U216" s="1133"/>
      <c r="V216" s="1133"/>
      <c r="W216" s="1133"/>
      <c r="X216" s="142"/>
      <c r="Y216" s="161"/>
      <c r="Z216" s="161"/>
      <c r="AA216" s="161"/>
      <c r="AB216" s="208">
        <v>621</v>
      </c>
    </row>
    <row r="217" spans="1:28" ht="12.6" customHeight="1" x14ac:dyDescent="0.2">
      <c r="A217" s="23"/>
      <c r="B217" s="719" t="s">
        <v>208</v>
      </c>
      <c r="C217" s="762"/>
      <c r="D217" s="762"/>
      <c r="E217" s="762"/>
      <c r="F217" s="481">
        <f>2.93*X2</f>
        <v>2695.6000000000004</v>
      </c>
      <c r="G217" s="345">
        <f>+F217*$X$1</f>
        <v>2695.6000000000004</v>
      </c>
      <c r="H217" s="387"/>
      <c r="I217" s="420"/>
      <c r="J217" s="383">
        <f t="shared" ref="J217:J222" si="443">F217+120</f>
        <v>2815.6000000000004</v>
      </c>
      <c r="K217" s="345">
        <f t="shared" ref="K217:K223" si="444">+J217*$X$1</f>
        <v>2815.6000000000004</v>
      </c>
      <c r="L217" s="383">
        <f t="shared" si="432"/>
        <v>2769.6000000000004</v>
      </c>
      <c r="M217" s="345">
        <f t="shared" si="441"/>
        <v>2769.6000000000004</v>
      </c>
      <c r="N217" s="383">
        <f t="shared" si="434"/>
        <v>2741.6000000000004</v>
      </c>
      <c r="O217" s="345">
        <f t="shared" ref="O217:O222" si="445">+N217*$X$1</f>
        <v>2741.6000000000004</v>
      </c>
      <c r="P217" s="383">
        <f t="shared" ref="P217:P222" si="446">F217+42</f>
        <v>2737.6000000000004</v>
      </c>
      <c r="Q217" s="345">
        <f t="shared" ref="Q217:Q222" si="447">+P217*$X$1</f>
        <v>2737.6000000000004</v>
      </c>
      <c r="R217" s="383">
        <f t="shared" ref="R217:R222" si="448">F217+35</f>
        <v>2730.6000000000004</v>
      </c>
      <c r="S217" s="345">
        <f t="shared" ref="S217:S222" si="449">+R217*$X$1</f>
        <v>2730.6000000000004</v>
      </c>
      <c r="T217" s="108">
        <f t="shared" ref="T217:T222" si="450">F217+29</f>
        <v>2724.6000000000004</v>
      </c>
      <c r="U217" s="304">
        <f t="shared" ref="U217:U222" si="451">+T217*$X$1</f>
        <v>2724.6000000000004</v>
      </c>
      <c r="V217" s="108">
        <f t="shared" ref="V217:V222" si="452">F217+24</f>
        <v>2719.6000000000004</v>
      </c>
      <c r="W217" s="304">
        <f t="shared" ref="W217:W222" si="453">+V217*$X$1</f>
        <v>2719.6000000000004</v>
      </c>
      <c r="X217" s="161"/>
      <c r="Y217" s="170"/>
      <c r="Z217" s="161"/>
      <c r="AA217" s="161"/>
      <c r="AB217" s="208">
        <v>624</v>
      </c>
    </row>
    <row r="218" spans="1:28" ht="12.6" customHeight="1" x14ac:dyDescent="0.2">
      <c r="A218" s="23"/>
      <c r="B218" s="1094" t="s">
        <v>209</v>
      </c>
      <c r="C218" s="939"/>
      <c r="D218" s="939"/>
      <c r="E218" s="939"/>
      <c r="F218" s="482">
        <f>5.057*X2</f>
        <v>4652.4400000000005</v>
      </c>
      <c r="G218" s="346">
        <f t="shared" si="440"/>
        <v>4652.4400000000005</v>
      </c>
      <c r="H218" s="344"/>
      <c r="I218" s="421"/>
      <c r="J218" s="600">
        <f t="shared" si="443"/>
        <v>4772.4400000000005</v>
      </c>
      <c r="K218" s="346">
        <f t="shared" si="444"/>
        <v>4772.4400000000005</v>
      </c>
      <c r="L218" s="600">
        <f t="shared" si="432"/>
        <v>4726.4400000000005</v>
      </c>
      <c r="M218" s="346">
        <f t="shared" si="441"/>
        <v>4726.4400000000005</v>
      </c>
      <c r="N218" s="600">
        <f t="shared" si="434"/>
        <v>4698.4400000000005</v>
      </c>
      <c r="O218" s="346">
        <f t="shared" si="445"/>
        <v>4698.4400000000005</v>
      </c>
      <c r="P218" s="600">
        <f t="shared" si="446"/>
        <v>4694.4400000000005</v>
      </c>
      <c r="Q218" s="346">
        <f t="shared" si="447"/>
        <v>4694.4400000000005</v>
      </c>
      <c r="R218" s="600">
        <f t="shared" si="448"/>
        <v>4687.4400000000005</v>
      </c>
      <c r="S218" s="346">
        <f t="shared" si="449"/>
        <v>4687.4400000000005</v>
      </c>
      <c r="T218" s="107">
        <f t="shared" si="450"/>
        <v>4681.4400000000005</v>
      </c>
      <c r="U218" s="371">
        <f t="shared" si="451"/>
        <v>4681.4400000000005</v>
      </c>
      <c r="V218" s="107">
        <f t="shared" si="452"/>
        <v>4676.4400000000005</v>
      </c>
      <c r="W218" s="371">
        <f t="shared" si="453"/>
        <v>4676.4400000000005</v>
      </c>
      <c r="X218" s="161"/>
      <c r="Y218" s="170"/>
      <c r="Z218" s="161"/>
      <c r="AA218" s="161"/>
      <c r="AB218" s="208" t="s">
        <v>210</v>
      </c>
    </row>
    <row r="219" spans="1:28" ht="12.6" customHeight="1" x14ac:dyDescent="0.2">
      <c r="A219" s="23"/>
      <c r="B219" s="714" t="s">
        <v>211</v>
      </c>
      <c r="C219" s="717"/>
      <c r="D219" s="717"/>
      <c r="E219" s="718"/>
      <c r="F219" s="481">
        <f>5.595*X2</f>
        <v>5147.3999999999996</v>
      </c>
      <c r="G219" s="345">
        <f t="shared" ref="G219:G224" si="454">+F219*$X$1</f>
        <v>5147.3999999999996</v>
      </c>
      <c r="H219" s="387"/>
      <c r="I219" s="420"/>
      <c r="J219" s="383">
        <f t="shared" si="443"/>
        <v>5267.4</v>
      </c>
      <c r="K219" s="345">
        <f t="shared" si="444"/>
        <v>5267.4</v>
      </c>
      <c r="L219" s="383">
        <f t="shared" si="432"/>
        <v>5221.3999999999996</v>
      </c>
      <c r="M219" s="345">
        <f t="shared" si="441"/>
        <v>5221.3999999999996</v>
      </c>
      <c r="N219" s="383">
        <f t="shared" si="434"/>
        <v>5193.3999999999996</v>
      </c>
      <c r="O219" s="345">
        <f t="shared" si="445"/>
        <v>5193.3999999999996</v>
      </c>
      <c r="P219" s="383">
        <f t="shared" si="446"/>
        <v>5189.3999999999996</v>
      </c>
      <c r="Q219" s="345">
        <f t="shared" si="447"/>
        <v>5189.3999999999996</v>
      </c>
      <c r="R219" s="383">
        <f t="shared" si="448"/>
        <v>5182.3999999999996</v>
      </c>
      <c r="S219" s="345">
        <f t="shared" si="449"/>
        <v>5182.3999999999996</v>
      </c>
      <c r="T219" s="108">
        <f t="shared" si="450"/>
        <v>5176.3999999999996</v>
      </c>
      <c r="U219" s="304">
        <f t="shared" si="451"/>
        <v>5176.3999999999996</v>
      </c>
      <c r="V219" s="108">
        <f t="shared" si="452"/>
        <v>5171.3999999999996</v>
      </c>
      <c r="W219" s="304">
        <f t="shared" si="453"/>
        <v>5171.3999999999996</v>
      </c>
      <c r="X219" s="161"/>
      <c r="Y219" s="170"/>
      <c r="Z219" s="161"/>
      <c r="AA219" s="161"/>
      <c r="AB219" s="208">
        <v>629</v>
      </c>
    </row>
    <row r="220" spans="1:28" ht="12.6" customHeight="1" x14ac:dyDescent="0.2">
      <c r="A220" s="23"/>
      <c r="B220" s="774" t="s">
        <v>492</v>
      </c>
      <c r="C220" s="775"/>
      <c r="D220" s="775"/>
      <c r="E220" s="776"/>
      <c r="F220" s="482">
        <f>10.631*X2</f>
        <v>9780.52</v>
      </c>
      <c r="G220" s="346">
        <f t="shared" si="454"/>
        <v>9780.52</v>
      </c>
      <c r="H220" s="344"/>
      <c r="I220" s="421"/>
      <c r="J220" s="600">
        <f t="shared" si="443"/>
        <v>9900.52</v>
      </c>
      <c r="K220" s="346">
        <f t="shared" si="444"/>
        <v>9900.52</v>
      </c>
      <c r="L220" s="600">
        <f t="shared" si="432"/>
        <v>9854.52</v>
      </c>
      <c r="M220" s="346">
        <f t="shared" si="441"/>
        <v>9854.52</v>
      </c>
      <c r="N220" s="600">
        <f t="shared" si="434"/>
        <v>9826.52</v>
      </c>
      <c r="O220" s="346">
        <f t="shared" si="445"/>
        <v>9826.52</v>
      </c>
      <c r="P220" s="600">
        <f t="shared" si="446"/>
        <v>9822.52</v>
      </c>
      <c r="Q220" s="346">
        <f t="shared" si="447"/>
        <v>9822.52</v>
      </c>
      <c r="R220" s="600">
        <f t="shared" si="448"/>
        <v>9815.52</v>
      </c>
      <c r="S220" s="346">
        <f t="shared" si="449"/>
        <v>9815.52</v>
      </c>
      <c r="T220" s="107">
        <f t="shared" si="450"/>
        <v>9809.52</v>
      </c>
      <c r="U220" s="371">
        <f t="shared" si="451"/>
        <v>9809.52</v>
      </c>
      <c r="V220" s="107">
        <f t="shared" si="452"/>
        <v>9804.52</v>
      </c>
      <c r="W220" s="371">
        <f t="shared" si="453"/>
        <v>9804.52</v>
      </c>
      <c r="X220" s="161"/>
      <c r="Y220" s="170"/>
      <c r="Z220" s="161"/>
      <c r="AA220" s="161"/>
      <c r="AB220" s="208">
        <v>630</v>
      </c>
    </row>
    <row r="221" spans="1:28" ht="12.6" customHeight="1" x14ac:dyDescent="0.2">
      <c r="A221" s="23"/>
      <c r="B221" s="714" t="s">
        <v>644</v>
      </c>
      <c r="C221" s="717"/>
      <c r="D221" s="717"/>
      <c r="E221" s="718"/>
      <c r="F221" s="481">
        <f>1.326*X2</f>
        <v>1219.92</v>
      </c>
      <c r="G221" s="347">
        <f t="shared" ref="G221" si="455">+F221*$X$1</f>
        <v>1219.92</v>
      </c>
      <c r="H221" s="387"/>
      <c r="I221" s="429"/>
      <c r="J221" s="383">
        <f t="shared" si="443"/>
        <v>1339.92</v>
      </c>
      <c r="K221" s="345">
        <f t="shared" si="444"/>
        <v>1339.92</v>
      </c>
      <c r="L221" s="383">
        <f t="shared" si="432"/>
        <v>1293.92</v>
      </c>
      <c r="M221" s="345">
        <f t="shared" si="441"/>
        <v>1293.92</v>
      </c>
      <c r="N221" s="383">
        <f t="shared" si="434"/>
        <v>1265.92</v>
      </c>
      <c r="O221" s="345">
        <f t="shared" si="445"/>
        <v>1265.92</v>
      </c>
      <c r="P221" s="383">
        <f t="shared" si="446"/>
        <v>1261.92</v>
      </c>
      <c r="Q221" s="345">
        <f t="shared" si="447"/>
        <v>1261.92</v>
      </c>
      <c r="R221" s="383">
        <f t="shared" si="448"/>
        <v>1254.92</v>
      </c>
      <c r="S221" s="345">
        <f t="shared" si="449"/>
        <v>1254.92</v>
      </c>
      <c r="T221" s="108">
        <f t="shared" si="450"/>
        <v>1248.92</v>
      </c>
      <c r="U221" s="304">
        <f t="shared" si="451"/>
        <v>1248.92</v>
      </c>
      <c r="V221" s="108">
        <f t="shared" si="452"/>
        <v>1243.92</v>
      </c>
      <c r="W221" s="304">
        <f t="shared" si="453"/>
        <v>1243.92</v>
      </c>
      <c r="X221" s="161"/>
      <c r="Y221" s="170"/>
      <c r="Z221" s="161"/>
      <c r="AA221" s="161"/>
      <c r="AB221" s="208">
        <v>631</v>
      </c>
    </row>
    <row r="222" spans="1:28" ht="12.6" customHeight="1" x14ac:dyDescent="0.2">
      <c r="A222" s="23"/>
      <c r="B222" s="774" t="s">
        <v>601</v>
      </c>
      <c r="C222" s="775"/>
      <c r="D222" s="775"/>
      <c r="E222" s="776"/>
      <c r="F222" s="482">
        <f>1.352*X2</f>
        <v>1243.8400000000001</v>
      </c>
      <c r="G222" s="348">
        <f t="shared" si="454"/>
        <v>1243.8400000000001</v>
      </c>
      <c r="H222" s="344"/>
      <c r="I222" s="430"/>
      <c r="J222" s="600">
        <f t="shared" si="443"/>
        <v>1363.8400000000001</v>
      </c>
      <c r="K222" s="346">
        <f t="shared" si="444"/>
        <v>1363.8400000000001</v>
      </c>
      <c r="L222" s="600">
        <f t="shared" si="432"/>
        <v>1317.8400000000001</v>
      </c>
      <c r="M222" s="346">
        <f t="shared" si="441"/>
        <v>1317.8400000000001</v>
      </c>
      <c r="N222" s="600">
        <f t="shared" si="434"/>
        <v>1289.8400000000001</v>
      </c>
      <c r="O222" s="346">
        <f t="shared" si="445"/>
        <v>1289.8400000000001</v>
      </c>
      <c r="P222" s="600">
        <f t="shared" si="446"/>
        <v>1285.8400000000001</v>
      </c>
      <c r="Q222" s="346">
        <f t="shared" si="447"/>
        <v>1285.8400000000001</v>
      </c>
      <c r="R222" s="600">
        <f t="shared" si="448"/>
        <v>1278.8400000000001</v>
      </c>
      <c r="S222" s="346">
        <f t="shared" si="449"/>
        <v>1278.8400000000001</v>
      </c>
      <c r="T222" s="107">
        <f t="shared" si="450"/>
        <v>1272.8400000000001</v>
      </c>
      <c r="U222" s="371">
        <f t="shared" si="451"/>
        <v>1272.8400000000001</v>
      </c>
      <c r="V222" s="107">
        <f t="shared" si="452"/>
        <v>1267.8400000000001</v>
      </c>
      <c r="W222" s="371">
        <f t="shared" si="453"/>
        <v>1267.8400000000001</v>
      </c>
      <c r="X222" s="161"/>
      <c r="Y222" s="170"/>
      <c r="Z222" s="161"/>
      <c r="AA222" s="161"/>
      <c r="AB222" s="208">
        <v>640</v>
      </c>
    </row>
    <row r="223" spans="1:28" ht="12.6" customHeight="1" x14ac:dyDescent="0.2">
      <c r="A223" s="23"/>
      <c r="B223" s="714" t="s">
        <v>623</v>
      </c>
      <c r="C223" s="717"/>
      <c r="D223" s="717"/>
      <c r="E223" s="718"/>
      <c r="F223" s="481">
        <f>21.95*X2</f>
        <v>20194</v>
      </c>
      <c r="G223" s="347">
        <f t="shared" si="454"/>
        <v>20194</v>
      </c>
      <c r="H223" s="383">
        <f>F223+250</f>
        <v>20444</v>
      </c>
      <c r="I223" s="345">
        <f t="shared" ref="I223" si="456">+H223*$X$1</f>
        <v>20444</v>
      </c>
      <c r="J223" s="383">
        <f>F223+80</f>
        <v>20274</v>
      </c>
      <c r="K223" s="345">
        <f t="shared" si="444"/>
        <v>20274</v>
      </c>
      <c r="L223" s="383"/>
      <c r="M223" s="345"/>
      <c r="N223" s="383"/>
      <c r="O223" s="345"/>
      <c r="P223" s="383"/>
      <c r="Q223" s="345"/>
      <c r="R223" s="383"/>
      <c r="S223" s="345"/>
      <c r="T223" s="383"/>
      <c r="U223" s="345"/>
      <c r="V223" s="383"/>
      <c r="W223" s="345"/>
      <c r="X223" s="161"/>
      <c r="Y223" s="170"/>
      <c r="Z223" s="161"/>
      <c r="AA223" s="161"/>
      <c r="AB223" s="208">
        <v>672</v>
      </c>
    </row>
    <row r="224" spans="1:28" ht="12.6" customHeight="1" x14ac:dyDescent="0.2">
      <c r="A224" s="20"/>
      <c r="B224" s="712" t="s">
        <v>212</v>
      </c>
      <c r="C224" s="699"/>
      <c r="D224" s="699"/>
      <c r="E224" s="699"/>
      <c r="F224" s="482">
        <f>6.848*X2</f>
        <v>6300.16</v>
      </c>
      <c r="G224" s="346">
        <f t="shared" si="454"/>
        <v>6300.16</v>
      </c>
      <c r="H224" s="600">
        <f>F224+250</f>
        <v>6550.16</v>
      </c>
      <c r="I224" s="346">
        <f t="shared" ref="I224" si="457">+H224*$X$1</f>
        <v>6550.16</v>
      </c>
      <c r="J224" s="600">
        <f>F224+80</f>
        <v>6380.16</v>
      </c>
      <c r="K224" s="346">
        <f t="shared" ref="K224" si="458">+J224*$X$1</f>
        <v>6380.16</v>
      </c>
      <c r="L224" s="600">
        <f>F224+60</f>
        <v>6360.16</v>
      </c>
      <c r="M224" s="346">
        <f t="shared" ref="M224" si="459">+L224*$X$1</f>
        <v>6360.16</v>
      </c>
      <c r="N224" s="600">
        <f>F224+40</f>
        <v>6340.16</v>
      </c>
      <c r="O224" s="346">
        <f t="shared" ref="O224" si="460">+N224*$X$1</f>
        <v>6340.16</v>
      </c>
      <c r="P224" s="600">
        <f>F224+37</f>
        <v>6337.16</v>
      </c>
      <c r="Q224" s="346">
        <f t="shared" ref="Q224" si="461">+P224*$X$1</f>
        <v>6337.16</v>
      </c>
      <c r="R224" s="600">
        <f>F224+33</f>
        <v>6333.16</v>
      </c>
      <c r="S224" s="346">
        <f t="shared" ref="S224" si="462">+R224*$X$1</f>
        <v>6333.16</v>
      </c>
      <c r="T224" s="600">
        <f t="shared" ref="T224:T234" si="463">F224+29</f>
        <v>6329.16</v>
      </c>
      <c r="U224" s="346">
        <f t="shared" ref="U224:U225" si="464">+T224*$X$1</f>
        <v>6329.16</v>
      </c>
      <c r="V224" s="600">
        <f t="shared" ref="V224:V234" si="465">F224+24</f>
        <v>6324.16</v>
      </c>
      <c r="W224" s="346">
        <f t="shared" ref="W224:W225" si="466">+V224*$X$1</f>
        <v>6324.16</v>
      </c>
      <c r="X224" s="710"/>
      <c r="Y224" s="734"/>
      <c r="Z224" s="734"/>
      <c r="AA224" s="711"/>
      <c r="AB224" s="208">
        <v>705</v>
      </c>
    </row>
    <row r="225" spans="1:34" ht="12.6" customHeight="1" x14ac:dyDescent="0.2">
      <c r="A225" s="20"/>
      <c r="B225" s="719" t="s">
        <v>617</v>
      </c>
      <c r="C225" s="720"/>
      <c r="D225" s="720"/>
      <c r="E225" s="720"/>
      <c r="F225" s="401">
        <v>7700</v>
      </c>
      <c r="G225" s="345">
        <f t="shared" ref="G225" si="467">+F225*$X$1</f>
        <v>7700</v>
      </c>
      <c r="H225" s="383">
        <f t="shared" ref="H225:H234" si="468">F225+290</f>
        <v>7990</v>
      </c>
      <c r="I225" s="345">
        <f t="shared" ref="I225:I234" si="469">+H225*$X$1</f>
        <v>7990</v>
      </c>
      <c r="J225" s="383">
        <f t="shared" ref="J225:J234" si="470">F225+120</f>
        <v>7820</v>
      </c>
      <c r="K225" s="345">
        <f t="shared" ref="K225" si="471">+J225*$X$1</f>
        <v>7820</v>
      </c>
      <c r="L225" s="383">
        <f t="shared" ref="L225:L234" si="472">F225+74</f>
        <v>7774</v>
      </c>
      <c r="M225" s="345">
        <f t="shared" ref="M225" si="473">+L225*$X$1</f>
        <v>7774</v>
      </c>
      <c r="N225" s="383">
        <f t="shared" ref="N225:N234" si="474">F225+46</f>
        <v>7746</v>
      </c>
      <c r="O225" s="345">
        <f t="shared" ref="O225" si="475">+N225*$X$1</f>
        <v>7746</v>
      </c>
      <c r="P225" s="383">
        <f t="shared" ref="P225:P234" si="476">F225+42</f>
        <v>7742</v>
      </c>
      <c r="Q225" s="345">
        <f t="shared" ref="Q225" si="477">+P225*$X$1</f>
        <v>7742</v>
      </c>
      <c r="R225" s="383">
        <f t="shared" ref="R225:R234" si="478">F225+35</f>
        <v>7735</v>
      </c>
      <c r="S225" s="345">
        <f t="shared" ref="S225" si="479">+R225*$X$1</f>
        <v>7735</v>
      </c>
      <c r="T225" s="108">
        <f t="shared" si="463"/>
        <v>7729</v>
      </c>
      <c r="U225" s="304">
        <f t="shared" si="464"/>
        <v>7729</v>
      </c>
      <c r="V225" s="108">
        <f t="shared" si="465"/>
        <v>7724</v>
      </c>
      <c r="W225" s="304">
        <f t="shared" si="466"/>
        <v>7724</v>
      </c>
      <c r="X225" s="704"/>
      <c r="Y225" s="735"/>
      <c r="Z225" s="735"/>
      <c r="AA225" s="706"/>
      <c r="AB225" s="208">
        <v>815</v>
      </c>
    </row>
    <row r="226" spans="1:34" ht="12.6" customHeight="1" x14ac:dyDescent="0.2">
      <c r="A226" s="20"/>
      <c r="B226" s="712" t="s">
        <v>616</v>
      </c>
      <c r="C226" s="699"/>
      <c r="D226" s="699"/>
      <c r="E226" s="699"/>
      <c r="F226" s="400">
        <v>13720</v>
      </c>
      <c r="G226" s="346">
        <f t="shared" ref="G226" si="480">+F226*$X$1</f>
        <v>13720</v>
      </c>
      <c r="H226" s="600">
        <f t="shared" si="468"/>
        <v>14010</v>
      </c>
      <c r="I226" s="346">
        <f t="shared" si="469"/>
        <v>14010</v>
      </c>
      <c r="J226" s="600">
        <f t="shared" si="470"/>
        <v>13840</v>
      </c>
      <c r="K226" s="346">
        <f t="shared" ref="K226:K234" si="481">+J226*$X$1</f>
        <v>13840</v>
      </c>
      <c r="L226" s="600">
        <f t="shared" si="472"/>
        <v>13794</v>
      </c>
      <c r="M226" s="346">
        <f t="shared" ref="M226:M234" si="482">+L226*$X$1</f>
        <v>13794</v>
      </c>
      <c r="N226" s="600">
        <f t="shared" si="474"/>
        <v>13766</v>
      </c>
      <c r="O226" s="346">
        <f t="shared" ref="O226:O234" si="483">+N226*$X$1</f>
        <v>13766</v>
      </c>
      <c r="P226" s="600">
        <f t="shared" si="476"/>
        <v>13762</v>
      </c>
      <c r="Q226" s="346">
        <f t="shared" ref="Q226:Q234" si="484">+P226*$X$1</f>
        <v>13762</v>
      </c>
      <c r="R226" s="600">
        <f t="shared" si="478"/>
        <v>13755</v>
      </c>
      <c r="S226" s="346">
        <f t="shared" ref="S226:S234" si="485">+R226*$X$1</f>
        <v>13755</v>
      </c>
      <c r="T226" s="107">
        <f t="shared" si="463"/>
        <v>13749</v>
      </c>
      <c r="U226" s="371">
        <f t="shared" ref="U226:U234" si="486">+T226*$X$1</f>
        <v>13749</v>
      </c>
      <c r="V226" s="107">
        <f t="shared" si="465"/>
        <v>13744</v>
      </c>
      <c r="W226" s="371">
        <f t="shared" ref="W226:W234" si="487">+V226*$X$1</f>
        <v>13744</v>
      </c>
      <c r="X226" s="704"/>
      <c r="Y226" s="735"/>
      <c r="Z226" s="735"/>
      <c r="AA226" s="706"/>
      <c r="AB226" s="208">
        <v>819</v>
      </c>
    </row>
    <row r="227" spans="1:34" ht="12.6" customHeight="1" x14ac:dyDescent="0.2">
      <c r="A227" s="20"/>
      <c r="B227" s="724" t="s">
        <v>841</v>
      </c>
      <c r="C227" s="725"/>
      <c r="D227" s="725"/>
      <c r="E227" s="725"/>
      <c r="F227" s="481">
        <f>7.8*X2</f>
        <v>7176</v>
      </c>
      <c r="G227" s="345">
        <f>+F227*$X$1</f>
        <v>7176</v>
      </c>
      <c r="H227" s="383">
        <f t="shared" si="468"/>
        <v>7466</v>
      </c>
      <c r="I227" s="345">
        <f t="shared" si="469"/>
        <v>7466</v>
      </c>
      <c r="J227" s="383">
        <f t="shared" si="470"/>
        <v>7296</v>
      </c>
      <c r="K227" s="345">
        <f t="shared" si="481"/>
        <v>7296</v>
      </c>
      <c r="L227" s="383">
        <f t="shared" si="472"/>
        <v>7250</v>
      </c>
      <c r="M227" s="345">
        <f t="shared" si="482"/>
        <v>7250</v>
      </c>
      <c r="N227" s="383">
        <f t="shared" si="474"/>
        <v>7222</v>
      </c>
      <c r="O227" s="345">
        <f t="shared" si="483"/>
        <v>7222</v>
      </c>
      <c r="P227" s="383">
        <f t="shared" si="476"/>
        <v>7218</v>
      </c>
      <c r="Q227" s="345">
        <f t="shared" si="484"/>
        <v>7218</v>
      </c>
      <c r="R227" s="383">
        <f t="shared" si="478"/>
        <v>7211</v>
      </c>
      <c r="S227" s="345">
        <f t="shared" si="485"/>
        <v>7211</v>
      </c>
      <c r="T227" s="108">
        <f t="shared" si="463"/>
        <v>7205</v>
      </c>
      <c r="U227" s="304">
        <f t="shared" si="486"/>
        <v>7205</v>
      </c>
      <c r="V227" s="108">
        <f t="shared" si="465"/>
        <v>7200</v>
      </c>
      <c r="W227" s="304">
        <f t="shared" si="487"/>
        <v>7200</v>
      </c>
      <c r="X227" s="704"/>
      <c r="Y227" s="735"/>
      <c r="Z227" s="735"/>
      <c r="AA227" s="706"/>
      <c r="AB227" s="208"/>
    </row>
    <row r="228" spans="1:34" ht="12.6" customHeight="1" x14ac:dyDescent="0.2">
      <c r="A228" s="20"/>
      <c r="B228" s="712" t="s">
        <v>610</v>
      </c>
      <c r="C228" s="699"/>
      <c r="D228" s="699"/>
      <c r="E228" s="699"/>
      <c r="F228" s="400">
        <v>10920</v>
      </c>
      <c r="G228" s="346">
        <f t="shared" ref="G228:G231" si="488">+F228*$X$1</f>
        <v>10920</v>
      </c>
      <c r="H228" s="619">
        <f t="shared" si="468"/>
        <v>11210</v>
      </c>
      <c r="I228" s="346">
        <f t="shared" si="469"/>
        <v>11210</v>
      </c>
      <c r="J228" s="619">
        <f t="shared" si="470"/>
        <v>11040</v>
      </c>
      <c r="K228" s="346">
        <f t="shared" si="481"/>
        <v>11040</v>
      </c>
      <c r="L228" s="619">
        <f t="shared" si="472"/>
        <v>10994</v>
      </c>
      <c r="M228" s="346">
        <f t="shared" si="482"/>
        <v>10994</v>
      </c>
      <c r="N228" s="619">
        <f t="shared" si="474"/>
        <v>10966</v>
      </c>
      <c r="O228" s="346">
        <f t="shared" si="483"/>
        <v>10966</v>
      </c>
      <c r="P228" s="619">
        <f t="shared" si="476"/>
        <v>10962</v>
      </c>
      <c r="Q228" s="346">
        <f t="shared" si="484"/>
        <v>10962</v>
      </c>
      <c r="R228" s="619">
        <f t="shared" si="478"/>
        <v>10955</v>
      </c>
      <c r="S228" s="346">
        <f t="shared" si="485"/>
        <v>10955</v>
      </c>
      <c r="T228" s="107">
        <f t="shared" si="463"/>
        <v>10949</v>
      </c>
      <c r="U228" s="371">
        <f t="shared" si="486"/>
        <v>10949</v>
      </c>
      <c r="V228" s="107">
        <f t="shared" si="465"/>
        <v>10944</v>
      </c>
      <c r="W228" s="371">
        <f t="shared" si="487"/>
        <v>10944</v>
      </c>
      <c r="X228" s="704"/>
      <c r="Y228" s="735"/>
      <c r="Z228" s="735"/>
      <c r="AA228" s="706"/>
      <c r="AB228" s="208">
        <v>823</v>
      </c>
    </row>
    <row r="229" spans="1:34" ht="12.6" customHeight="1" x14ac:dyDescent="0.2">
      <c r="A229" s="20"/>
      <c r="B229" s="724" t="s">
        <v>835</v>
      </c>
      <c r="C229" s="725"/>
      <c r="D229" s="725"/>
      <c r="E229" s="725"/>
      <c r="F229" s="481">
        <f>7.5*X2</f>
        <v>6900</v>
      </c>
      <c r="G229" s="345">
        <f>+F229*$X$1</f>
        <v>6900</v>
      </c>
      <c r="H229" s="383">
        <f t="shared" si="468"/>
        <v>7190</v>
      </c>
      <c r="I229" s="345">
        <f t="shared" si="469"/>
        <v>7190</v>
      </c>
      <c r="J229" s="383">
        <f t="shared" si="470"/>
        <v>7020</v>
      </c>
      <c r="K229" s="345">
        <f t="shared" si="481"/>
        <v>7020</v>
      </c>
      <c r="L229" s="383">
        <f t="shared" si="472"/>
        <v>6974</v>
      </c>
      <c r="M229" s="345">
        <f t="shared" si="482"/>
        <v>6974</v>
      </c>
      <c r="N229" s="383">
        <f t="shared" si="474"/>
        <v>6946</v>
      </c>
      <c r="O229" s="345">
        <f t="shared" si="483"/>
        <v>6946</v>
      </c>
      <c r="P229" s="383">
        <f t="shared" si="476"/>
        <v>6942</v>
      </c>
      <c r="Q229" s="345">
        <f t="shared" si="484"/>
        <v>6942</v>
      </c>
      <c r="R229" s="383">
        <f t="shared" si="478"/>
        <v>6935</v>
      </c>
      <c r="S229" s="345">
        <f t="shared" si="485"/>
        <v>6935</v>
      </c>
      <c r="T229" s="108">
        <f t="shared" si="463"/>
        <v>6929</v>
      </c>
      <c r="U229" s="304">
        <f t="shared" si="486"/>
        <v>6929</v>
      </c>
      <c r="V229" s="108">
        <f t="shared" si="465"/>
        <v>6924</v>
      </c>
      <c r="W229" s="304">
        <f t="shared" si="487"/>
        <v>6924</v>
      </c>
      <c r="X229" s="704"/>
      <c r="Y229" s="735"/>
      <c r="Z229" s="735"/>
      <c r="AA229" s="706"/>
      <c r="AB229" s="208">
        <v>826</v>
      </c>
    </row>
    <row r="230" spans="1:34" ht="12.6" customHeight="1" x14ac:dyDescent="0.2">
      <c r="A230" s="20"/>
      <c r="B230" s="724" t="s">
        <v>836</v>
      </c>
      <c r="C230" s="725"/>
      <c r="D230" s="725"/>
      <c r="E230" s="725"/>
      <c r="F230" s="482">
        <f>8.781*X2</f>
        <v>8078.52</v>
      </c>
      <c r="G230" s="346">
        <f>+F230*$X$1</f>
        <v>8078.52</v>
      </c>
      <c r="H230" s="619">
        <f t="shared" ref="H230" si="489">F230+290</f>
        <v>8368.52</v>
      </c>
      <c r="I230" s="346">
        <f t="shared" ref="I230" si="490">+H230*$X$1</f>
        <v>8368.52</v>
      </c>
      <c r="J230" s="619">
        <f t="shared" ref="J230" si="491">F230+120</f>
        <v>8198.52</v>
      </c>
      <c r="K230" s="346">
        <f t="shared" ref="K230" si="492">+J230*$X$1</f>
        <v>8198.52</v>
      </c>
      <c r="L230" s="619">
        <f t="shared" ref="L230" si="493">F230+74</f>
        <v>8152.52</v>
      </c>
      <c r="M230" s="346">
        <f t="shared" ref="M230" si="494">+L230*$X$1</f>
        <v>8152.52</v>
      </c>
      <c r="N230" s="619">
        <f t="shared" ref="N230" si="495">F230+46</f>
        <v>8124.52</v>
      </c>
      <c r="O230" s="346">
        <f t="shared" ref="O230" si="496">+N230*$X$1</f>
        <v>8124.52</v>
      </c>
      <c r="P230" s="619">
        <f t="shared" ref="P230" si="497">F230+42</f>
        <v>8120.52</v>
      </c>
      <c r="Q230" s="346">
        <f t="shared" ref="Q230" si="498">+P230*$X$1</f>
        <v>8120.52</v>
      </c>
      <c r="R230" s="619">
        <f t="shared" ref="R230" si="499">F230+35</f>
        <v>8113.52</v>
      </c>
      <c r="S230" s="346">
        <f t="shared" ref="S230" si="500">+R230*$X$1</f>
        <v>8113.52</v>
      </c>
      <c r="T230" s="107">
        <f t="shared" ref="T230" si="501">F230+29</f>
        <v>8107.52</v>
      </c>
      <c r="U230" s="371">
        <f t="shared" ref="U230" si="502">+T230*$X$1</f>
        <v>8107.52</v>
      </c>
      <c r="V230" s="107">
        <f t="shared" ref="V230" si="503">F230+24</f>
        <v>8102.52</v>
      </c>
      <c r="W230" s="371">
        <f t="shared" ref="W230" si="504">+V230*$X$1</f>
        <v>8102.52</v>
      </c>
      <c r="X230" s="704"/>
      <c r="Y230" s="735"/>
      <c r="Z230" s="735"/>
      <c r="AA230" s="706"/>
      <c r="AB230" s="208">
        <v>828</v>
      </c>
    </row>
    <row r="231" spans="1:34" ht="12.6" customHeight="1" x14ac:dyDescent="0.2">
      <c r="A231" s="20"/>
      <c r="B231" s="719" t="s">
        <v>740</v>
      </c>
      <c r="C231" s="720"/>
      <c r="D231" s="720"/>
      <c r="E231" s="720"/>
      <c r="F231" s="481">
        <f>3.612*X2</f>
        <v>3323.04</v>
      </c>
      <c r="G231" s="345">
        <f t="shared" si="488"/>
        <v>3323.04</v>
      </c>
      <c r="H231" s="383">
        <f t="shared" si="468"/>
        <v>3613.04</v>
      </c>
      <c r="I231" s="345">
        <f t="shared" si="469"/>
        <v>3613.04</v>
      </c>
      <c r="J231" s="383">
        <f t="shared" si="470"/>
        <v>3443.04</v>
      </c>
      <c r="K231" s="345">
        <f t="shared" si="481"/>
        <v>3443.04</v>
      </c>
      <c r="L231" s="383">
        <f t="shared" si="472"/>
        <v>3397.04</v>
      </c>
      <c r="M231" s="345">
        <f t="shared" si="482"/>
        <v>3397.04</v>
      </c>
      <c r="N231" s="383">
        <f t="shared" si="474"/>
        <v>3369.04</v>
      </c>
      <c r="O231" s="345">
        <f t="shared" si="483"/>
        <v>3369.04</v>
      </c>
      <c r="P231" s="383">
        <f t="shared" si="476"/>
        <v>3365.04</v>
      </c>
      <c r="Q231" s="345">
        <f t="shared" si="484"/>
        <v>3365.04</v>
      </c>
      <c r="R231" s="383">
        <f t="shared" si="478"/>
        <v>3358.04</v>
      </c>
      <c r="S231" s="345">
        <f t="shared" si="485"/>
        <v>3358.04</v>
      </c>
      <c r="T231" s="108">
        <f t="shared" si="463"/>
        <v>3352.04</v>
      </c>
      <c r="U231" s="304">
        <f t="shared" si="486"/>
        <v>3352.04</v>
      </c>
      <c r="V231" s="108">
        <f t="shared" si="465"/>
        <v>3347.04</v>
      </c>
      <c r="W231" s="304">
        <f t="shared" si="487"/>
        <v>3347.04</v>
      </c>
      <c r="X231" s="704"/>
      <c r="Y231" s="735"/>
      <c r="Z231" s="735"/>
      <c r="AA231" s="706"/>
      <c r="AB231" s="208">
        <v>829</v>
      </c>
    </row>
    <row r="232" spans="1:34" ht="12.6" customHeight="1" x14ac:dyDescent="0.2">
      <c r="A232" s="20"/>
      <c r="B232" s="724" t="s">
        <v>672</v>
      </c>
      <c r="C232" s="725"/>
      <c r="D232" s="725"/>
      <c r="E232" s="725"/>
      <c r="F232" s="482">
        <f>13.042*X2</f>
        <v>11998.64</v>
      </c>
      <c r="G232" s="346">
        <f t="shared" ref="G232" si="505">+F232*$X$1</f>
        <v>11998.64</v>
      </c>
      <c r="H232" s="619">
        <f t="shared" si="468"/>
        <v>12288.64</v>
      </c>
      <c r="I232" s="346">
        <f t="shared" si="469"/>
        <v>12288.64</v>
      </c>
      <c r="J232" s="619">
        <f t="shared" si="470"/>
        <v>12118.64</v>
      </c>
      <c r="K232" s="346">
        <f t="shared" si="481"/>
        <v>12118.64</v>
      </c>
      <c r="L232" s="619">
        <f t="shared" si="472"/>
        <v>12072.64</v>
      </c>
      <c r="M232" s="346">
        <f t="shared" si="482"/>
        <v>12072.64</v>
      </c>
      <c r="N232" s="619">
        <f t="shared" si="474"/>
        <v>12044.64</v>
      </c>
      <c r="O232" s="346">
        <f t="shared" si="483"/>
        <v>12044.64</v>
      </c>
      <c r="P232" s="619">
        <f t="shared" si="476"/>
        <v>12040.64</v>
      </c>
      <c r="Q232" s="346">
        <f t="shared" si="484"/>
        <v>12040.64</v>
      </c>
      <c r="R232" s="619">
        <f t="shared" si="478"/>
        <v>12033.64</v>
      </c>
      <c r="S232" s="346">
        <f t="shared" si="485"/>
        <v>12033.64</v>
      </c>
      <c r="T232" s="107">
        <f t="shared" si="463"/>
        <v>12027.64</v>
      </c>
      <c r="U232" s="371">
        <f t="shared" si="486"/>
        <v>12027.64</v>
      </c>
      <c r="V232" s="107">
        <f t="shared" si="465"/>
        <v>12022.64</v>
      </c>
      <c r="W232" s="371">
        <f t="shared" si="487"/>
        <v>12022.64</v>
      </c>
      <c r="X232" s="704"/>
      <c r="Y232" s="735"/>
      <c r="Z232" s="735"/>
      <c r="AA232" s="706"/>
      <c r="AB232" s="208">
        <v>833</v>
      </c>
    </row>
    <row r="233" spans="1:34" ht="12.6" customHeight="1" x14ac:dyDescent="0.2">
      <c r="A233" s="20"/>
      <c r="B233" s="724" t="s">
        <v>735</v>
      </c>
      <c r="C233" s="725"/>
      <c r="D233" s="725"/>
      <c r="E233" s="725"/>
      <c r="F233" s="481">
        <f>9.8*X2</f>
        <v>9016</v>
      </c>
      <c r="G233" s="345">
        <f t="shared" ref="G233:G234" si="506">+F233*$X$1</f>
        <v>9016</v>
      </c>
      <c r="H233" s="383">
        <f t="shared" si="468"/>
        <v>9306</v>
      </c>
      <c r="I233" s="345">
        <f t="shared" si="469"/>
        <v>9306</v>
      </c>
      <c r="J233" s="383">
        <f t="shared" si="470"/>
        <v>9136</v>
      </c>
      <c r="K233" s="345">
        <f t="shared" si="481"/>
        <v>9136</v>
      </c>
      <c r="L233" s="383">
        <f t="shared" si="472"/>
        <v>9090</v>
      </c>
      <c r="M233" s="345">
        <f t="shared" si="482"/>
        <v>9090</v>
      </c>
      <c r="N233" s="383">
        <f t="shared" si="474"/>
        <v>9062</v>
      </c>
      <c r="O233" s="345">
        <f t="shared" si="483"/>
        <v>9062</v>
      </c>
      <c r="P233" s="383">
        <f t="shared" si="476"/>
        <v>9058</v>
      </c>
      <c r="Q233" s="345">
        <f t="shared" si="484"/>
        <v>9058</v>
      </c>
      <c r="R233" s="383">
        <f t="shared" si="478"/>
        <v>9051</v>
      </c>
      <c r="S233" s="345">
        <f t="shared" si="485"/>
        <v>9051</v>
      </c>
      <c r="T233" s="108">
        <f t="shared" si="463"/>
        <v>9045</v>
      </c>
      <c r="U233" s="304">
        <f t="shared" si="486"/>
        <v>9045</v>
      </c>
      <c r="V233" s="108">
        <f t="shared" si="465"/>
        <v>9040</v>
      </c>
      <c r="W233" s="304">
        <f t="shared" si="487"/>
        <v>9040</v>
      </c>
      <c r="X233" s="704"/>
      <c r="Y233" s="735"/>
      <c r="Z233" s="735"/>
      <c r="AA233" s="706"/>
      <c r="AB233" s="208">
        <v>834</v>
      </c>
    </row>
    <row r="234" spans="1:34" ht="12.6" customHeight="1" x14ac:dyDescent="0.2">
      <c r="A234" s="20"/>
      <c r="B234" s="712" t="s">
        <v>738</v>
      </c>
      <c r="C234" s="699"/>
      <c r="D234" s="699"/>
      <c r="E234" s="699"/>
      <c r="F234" s="482">
        <f>7.188*X2</f>
        <v>6612.96</v>
      </c>
      <c r="G234" s="346">
        <f t="shared" si="506"/>
        <v>6612.96</v>
      </c>
      <c r="H234" s="619">
        <f t="shared" si="468"/>
        <v>6902.96</v>
      </c>
      <c r="I234" s="346">
        <f t="shared" si="469"/>
        <v>6902.96</v>
      </c>
      <c r="J234" s="619">
        <f t="shared" si="470"/>
        <v>6732.96</v>
      </c>
      <c r="K234" s="346">
        <f t="shared" si="481"/>
        <v>6732.96</v>
      </c>
      <c r="L234" s="619">
        <f t="shared" si="472"/>
        <v>6686.96</v>
      </c>
      <c r="M234" s="346">
        <f t="shared" si="482"/>
        <v>6686.96</v>
      </c>
      <c r="N234" s="619">
        <f t="shared" si="474"/>
        <v>6658.96</v>
      </c>
      <c r="O234" s="346">
        <f t="shared" si="483"/>
        <v>6658.96</v>
      </c>
      <c r="P234" s="619">
        <f t="shared" si="476"/>
        <v>6654.96</v>
      </c>
      <c r="Q234" s="346">
        <f t="shared" si="484"/>
        <v>6654.96</v>
      </c>
      <c r="R234" s="619">
        <f t="shared" si="478"/>
        <v>6647.96</v>
      </c>
      <c r="S234" s="346">
        <f t="shared" si="485"/>
        <v>6647.96</v>
      </c>
      <c r="T234" s="107">
        <f t="shared" si="463"/>
        <v>6641.96</v>
      </c>
      <c r="U234" s="371">
        <f t="shared" si="486"/>
        <v>6641.96</v>
      </c>
      <c r="V234" s="107">
        <f t="shared" si="465"/>
        <v>6636.96</v>
      </c>
      <c r="W234" s="371">
        <f t="shared" si="487"/>
        <v>6636.96</v>
      </c>
      <c r="X234" s="704"/>
      <c r="Y234" s="735"/>
      <c r="Z234" s="735"/>
      <c r="AA234" s="706"/>
      <c r="AB234" s="208">
        <v>836</v>
      </c>
    </row>
    <row r="235" spans="1:34" ht="12.6" customHeight="1" x14ac:dyDescent="0.2">
      <c r="A235" s="20"/>
      <c r="B235" s="719" t="s">
        <v>734</v>
      </c>
      <c r="C235" s="720"/>
      <c r="D235" s="720"/>
      <c r="E235" s="720"/>
      <c r="F235" s="481">
        <f>4.78*X2</f>
        <v>4397.6000000000004</v>
      </c>
      <c r="G235" s="345">
        <f t="shared" ref="G235" si="507">+F235*$X$1</f>
        <v>4397.6000000000004</v>
      </c>
      <c r="H235" s="383">
        <f>F235+290</f>
        <v>4687.6000000000004</v>
      </c>
      <c r="I235" s="345">
        <f>+H235*$X$1</f>
        <v>4687.6000000000004</v>
      </c>
      <c r="J235" s="383">
        <f>F235+120</f>
        <v>4517.6000000000004</v>
      </c>
      <c r="K235" s="345">
        <f>+J235*$X$1</f>
        <v>4517.6000000000004</v>
      </c>
      <c r="L235" s="383">
        <f>F235+74</f>
        <v>4471.6000000000004</v>
      </c>
      <c r="M235" s="345">
        <f>+L235*$X$1</f>
        <v>4471.6000000000004</v>
      </c>
      <c r="N235" s="383">
        <f>F235+46</f>
        <v>4443.6000000000004</v>
      </c>
      <c r="O235" s="345">
        <f>+N235*$X$1</f>
        <v>4443.6000000000004</v>
      </c>
      <c r="P235" s="383">
        <f>F235+42</f>
        <v>4439.6000000000004</v>
      </c>
      <c r="Q235" s="345">
        <f>+P235*$X$1</f>
        <v>4439.6000000000004</v>
      </c>
      <c r="R235" s="383">
        <f>F235+35</f>
        <v>4432.6000000000004</v>
      </c>
      <c r="S235" s="345">
        <f>+R235*$X$1</f>
        <v>4432.6000000000004</v>
      </c>
      <c r="T235" s="108">
        <f>F235+29</f>
        <v>4426.6000000000004</v>
      </c>
      <c r="U235" s="304">
        <f>+T235*$X$1</f>
        <v>4426.6000000000004</v>
      </c>
      <c r="V235" s="108">
        <f>F235+24</f>
        <v>4421.6000000000004</v>
      </c>
      <c r="W235" s="304">
        <f>+V235*$X$1</f>
        <v>4421.6000000000004</v>
      </c>
      <c r="X235" s="704"/>
      <c r="Y235" s="735"/>
      <c r="Z235" s="735"/>
      <c r="AA235" s="706"/>
      <c r="AB235" s="208">
        <v>837</v>
      </c>
    </row>
    <row r="236" spans="1:34" ht="12" customHeight="1" x14ac:dyDescent="0.2">
      <c r="A236" s="20"/>
      <c r="B236" s="3"/>
      <c r="C236" s="3"/>
      <c r="D236" s="3"/>
      <c r="E236" s="3"/>
      <c r="F236" s="4"/>
      <c r="G236" s="4"/>
      <c r="H236" s="3"/>
      <c r="I236" s="3"/>
      <c r="J236" s="3"/>
      <c r="K236" s="182"/>
      <c r="L236" s="183"/>
      <c r="M236" s="183"/>
      <c r="N236" s="183"/>
      <c r="O236" s="183"/>
      <c r="P236" s="183"/>
      <c r="Q236" s="183"/>
      <c r="R236" s="183"/>
      <c r="S236" s="183"/>
      <c r="T236" s="183"/>
      <c r="U236" s="183"/>
      <c r="V236" s="183"/>
      <c r="W236" s="183"/>
      <c r="AB236" s="104"/>
    </row>
    <row r="237" spans="1:34" ht="12" customHeight="1" x14ac:dyDescent="0.2">
      <c r="A237" s="20"/>
      <c r="B237" s="3"/>
      <c r="C237" s="3"/>
      <c r="D237" s="3"/>
      <c r="E237" s="3"/>
      <c r="F237" s="4"/>
      <c r="G237" s="4"/>
      <c r="H237" s="3"/>
      <c r="I237" s="3"/>
      <c r="J237" s="3"/>
      <c r="K237" s="182"/>
      <c r="L237" s="183"/>
      <c r="M237" s="183"/>
      <c r="N237" s="183"/>
      <c r="O237" s="183"/>
      <c r="P237" s="183"/>
      <c r="Q237" s="183"/>
      <c r="R237" s="183"/>
      <c r="S237" s="183"/>
      <c r="T237" s="183"/>
      <c r="U237" s="183"/>
      <c r="V237" s="183"/>
      <c r="W237" s="183"/>
      <c r="AB237" s="4"/>
    </row>
    <row r="238" spans="1:34" ht="12.6" customHeight="1" thickBot="1" x14ac:dyDescent="0.25">
      <c r="A238" s="20"/>
      <c r="B238" s="3"/>
      <c r="C238" s="3"/>
      <c r="D238" s="3"/>
      <c r="E238" s="79"/>
      <c r="F238" s="1134"/>
      <c r="G238" s="1134"/>
      <c r="H238" s="1134"/>
      <c r="I238" s="1134"/>
      <c r="J238" s="1134"/>
      <c r="K238" s="331"/>
      <c r="L238" s="330"/>
      <c r="M238" s="330"/>
      <c r="N238" s="183"/>
      <c r="O238" s="183"/>
      <c r="P238" s="183"/>
      <c r="Q238" s="183"/>
      <c r="R238" s="183"/>
      <c r="S238" s="183"/>
      <c r="T238" s="183"/>
      <c r="U238" s="183"/>
      <c r="V238" s="183"/>
      <c r="W238" s="183"/>
      <c r="AB238" s="4"/>
    </row>
    <row r="239" spans="1:34" ht="15.75" customHeight="1" x14ac:dyDescent="0.2">
      <c r="A239" s="20"/>
      <c r="B239" s="736" t="s">
        <v>11</v>
      </c>
      <c r="C239" s="1083" t="s">
        <v>12</v>
      </c>
      <c r="D239" s="1084"/>
      <c r="E239" s="1084"/>
      <c r="F239" s="817" t="s">
        <v>13</v>
      </c>
      <c r="G239" s="817" t="s">
        <v>13</v>
      </c>
      <c r="H239" s="765" t="s">
        <v>14</v>
      </c>
      <c r="I239" s="765"/>
      <c r="J239" s="766"/>
      <c r="K239" s="766"/>
      <c r="L239" s="766"/>
      <c r="M239" s="766"/>
      <c r="N239" s="766"/>
      <c r="O239" s="766"/>
      <c r="P239" s="766"/>
      <c r="Q239" s="766"/>
      <c r="R239" s="766"/>
      <c r="S239" s="766"/>
      <c r="T239" s="766"/>
      <c r="U239" s="766"/>
      <c r="V239" s="766"/>
      <c r="W239" s="767"/>
      <c r="X239" s="756" t="s">
        <v>15</v>
      </c>
      <c r="Y239" s="757"/>
      <c r="Z239" s="757"/>
      <c r="AA239" s="757"/>
      <c r="AB239" s="754" t="s">
        <v>16</v>
      </c>
      <c r="AF239" s="752" t="s">
        <v>3</v>
      </c>
      <c r="AG239" s="753"/>
      <c r="AH239" s="753"/>
    </row>
    <row r="240" spans="1:34" ht="11.25" customHeight="1" thickBot="1" x14ac:dyDescent="0.25">
      <c r="A240" s="20"/>
      <c r="B240" s="737"/>
      <c r="C240" s="1085"/>
      <c r="D240" s="1085"/>
      <c r="E240" s="1085"/>
      <c r="F240" s="818"/>
      <c r="G240" s="818"/>
      <c r="H240" s="296"/>
      <c r="I240" s="293" t="s">
        <v>311</v>
      </c>
      <c r="J240" s="297"/>
      <c r="K240" s="293" t="s">
        <v>18</v>
      </c>
      <c r="L240" s="298"/>
      <c r="M240" s="298" t="s">
        <v>19</v>
      </c>
      <c r="N240" s="298"/>
      <c r="O240" s="293" t="s">
        <v>20</v>
      </c>
      <c r="P240" s="298"/>
      <c r="Q240" s="298" t="s">
        <v>313</v>
      </c>
      <c r="R240" s="298"/>
      <c r="S240" s="298" t="s">
        <v>21</v>
      </c>
      <c r="T240" s="298"/>
      <c r="U240" s="298" t="s">
        <v>22</v>
      </c>
      <c r="V240" s="298"/>
      <c r="W240" s="300" t="s">
        <v>23</v>
      </c>
      <c r="X240" s="758"/>
      <c r="Y240" s="759"/>
      <c r="Z240" s="759"/>
      <c r="AA240" s="759"/>
      <c r="AB240" s="755"/>
    </row>
    <row r="241" spans="1:38" ht="12.6" customHeight="1" x14ac:dyDescent="0.2">
      <c r="A241" s="20"/>
      <c r="B241" s="712" t="s">
        <v>587</v>
      </c>
      <c r="C241" s="699"/>
      <c r="D241" s="699"/>
      <c r="E241" s="699"/>
      <c r="F241" s="482">
        <f>8.45*X2</f>
        <v>7773.9999999999991</v>
      </c>
      <c r="G241" s="346">
        <f>+F241*$X$1</f>
        <v>7773.9999999999991</v>
      </c>
      <c r="H241" s="631">
        <f>F241+290</f>
        <v>8063.9999999999991</v>
      </c>
      <c r="I241" s="346">
        <f>+H241*$X$1</f>
        <v>8063.9999999999991</v>
      </c>
      <c r="J241" s="631">
        <f>F241+120</f>
        <v>7893.9999999999991</v>
      </c>
      <c r="K241" s="346">
        <f>+J241*$X$1</f>
        <v>7893.9999999999991</v>
      </c>
      <c r="L241" s="631">
        <f>F241+74</f>
        <v>7847.9999999999991</v>
      </c>
      <c r="M241" s="346">
        <f>+L241*$X$1</f>
        <v>7847.9999999999991</v>
      </c>
      <c r="N241" s="631">
        <f>F241+46</f>
        <v>7819.9999999999991</v>
      </c>
      <c r="O241" s="346">
        <f>+N241*$X$1</f>
        <v>7819.9999999999991</v>
      </c>
      <c r="P241" s="631">
        <f>F241+42</f>
        <v>7815.9999999999991</v>
      </c>
      <c r="Q241" s="346">
        <f>+P241*$X$1</f>
        <v>7815.9999999999991</v>
      </c>
      <c r="R241" s="631">
        <f>F241+35</f>
        <v>7808.9999999999991</v>
      </c>
      <c r="S241" s="346">
        <f>+R241*$X$1</f>
        <v>7808.9999999999991</v>
      </c>
      <c r="T241" s="107">
        <f>F241+29</f>
        <v>7802.9999999999991</v>
      </c>
      <c r="U241" s="371">
        <f>+T241*$X$1</f>
        <v>7802.9999999999991</v>
      </c>
      <c r="V241" s="107">
        <f>F241+24</f>
        <v>7797.9999999999991</v>
      </c>
      <c r="W241" s="371">
        <f>+V241*$X$1</f>
        <v>7797.9999999999991</v>
      </c>
      <c r="X241" s="704"/>
      <c r="Y241" s="735"/>
      <c r="Z241" s="735"/>
      <c r="AA241" s="706"/>
      <c r="AB241" s="208">
        <v>916</v>
      </c>
    </row>
    <row r="242" spans="1:38" ht="12.6" customHeight="1" x14ac:dyDescent="0.2">
      <c r="A242" s="20"/>
      <c r="B242" s="719" t="s">
        <v>213</v>
      </c>
      <c r="C242" s="720"/>
      <c r="D242" s="720"/>
      <c r="E242" s="720"/>
      <c r="F242" s="481">
        <f>10.35*X2</f>
        <v>9522</v>
      </c>
      <c r="G242" s="345">
        <f t="shared" ref="G242:G245" si="508">+F242*$X$1</f>
        <v>9522</v>
      </c>
      <c r="H242" s="383">
        <f t="shared" ref="H242:H247" si="509">F242+290</f>
        <v>9812</v>
      </c>
      <c r="I242" s="345">
        <f t="shared" ref="I242:I247" si="510">+H242*$X$1</f>
        <v>9812</v>
      </c>
      <c r="J242" s="383">
        <f t="shared" ref="J242:J247" si="511">F242+120</f>
        <v>9642</v>
      </c>
      <c r="K242" s="345">
        <f t="shared" ref="K242" si="512">+J242*$X$1</f>
        <v>9642</v>
      </c>
      <c r="L242" s="383">
        <f t="shared" ref="L242:L247" si="513">F242+74</f>
        <v>9596</v>
      </c>
      <c r="M242" s="345">
        <f t="shared" ref="M242" si="514">+L242*$X$1</f>
        <v>9596</v>
      </c>
      <c r="N242" s="383">
        <f t="shared" ref="N242:N247" si="515">F242+46</f>
        <v>9568</v>
      </c>
      <c r="O242" s="345">
        <f t="shared" ref="O242" si="516">+N242*$X$1</f>
        <v>9568</v>
      </c>
      <c r="P242" s="383">
        <f t="shared" ref="P242:P247" si="517">F242+42</f>
        <v>9564</v>
      </c>
      <c r="Q242" s="345">
        <f t="shared" ref="Q242" si="518">+P242*$X$1</f>
        <v>9564</v>
      </c>
      <c r="R242" s="383">
        <f t="shared" ref="R242:R247" si="519">F242+35</f>
        <v>9557</v>
      </c>
      <c r="S242" s="345">
        <f t="shared" ref="S242" si="520">+R242*$X$1</f>
        <v>9557</v>
      </c>
      <c r="T242" s="108">
        <f t="shared" ref="T242:T247" si="521">F242+29</f>
        <v>9551</v>
      </c>
      <c r="U242" s="304">
        <f t="shared" ref="U242" si="522">+T242*$X$1</f>
        <v>9551</v>
      </c>
      <c r="V242" s="108">
        <f t="shared" ref="V242:V247" si="523">F242+24</f>
        <v>9546</v>
      </c>
      <c r="W242" s="304">
        <f t="shared" ref="W242" si="524">+V242*$X$1</f>
        <v>9546</v>
      </c>
      <c r="X242" s="1176"/>
      <c r="Y242" s="1177"/>
      <c r="Z242" s="1177"/>
      <c r="AA242" s="1178"/>
      <c r="AB242" s="546">
        <v>918</v>
      </c>
    </row>
    <row r="243" spans="1:38" ht="12.6" customHeight="1" x14ac:dyDescent="0.2">
      <c r="A243" s="20"/>
      <c r="B243" s="712" t="s">
        <v>527</v>
      </c>
      <c r="C243" s="699"/>
      <c r="D243" s="699"/>
      <c r="E243" s="699"/>
      <c r="F243" s="482">
        <f>9.331*X2</f>
        <v>8584.52</v>
      </c>
      <c r="G243" s="346">
        <f t="shared" si="508"/>
        <v>8584.52</v>
      </c>
      <c r="H243" s="631">
        <f t="shared" si="509"/>
        <v>8874.52</v>
      </c>
      <c r="I243" s="346">
        <f t="shared" si="510"/>
        <v>8874.52</v>
      </c>
      <c r="J243" s="631">
        <f t="shared" si="511"/>
        <v>8704.52</v>
      </c>
      <c r="K243" s="346">
        <f t="shared" ref="K243:K247" si="525">+J243*$X$1</f>
        <v>8704.52</v>
      </c>
      <c r="L243" s="631">
        <f t="shared" si="513"/>
        <v>8658.52</v>
      </c>
      <c r="M243" s="346">
        <f t="shared" ref="M243:M247" si="526">+L243*$X$1</f>
        <v>8658.52</v>
      </c>
      <c r="N243" s="631">
        <f t="shared" si="515"/>
        <v>8630.52</v>
      </c>
      <c r="O243" s="346">
        <f t="shared" ref="O243:O247" si="527">+N243*$X$1</f>
        <v>8630.52</v>
      </c>
      <c r="P243" s="631">
        <f t="shared" si="517"/>
        <v>8626.52</v>
      </c>
      <c r="Q243" s="346">
        <f t="shared" ref="Q243:Q247" si="528">+P243*$X$1</f>
        <v>8626.52</v>
      </c>
      <c r="R243" s="631">
        <f t="shared" si="519"/>
        <v>8619.52</v>
      </c>
      <c r="S243" s="346">
        <f t="shared" ref="S243:S247" si="529">+R243*$X$1</f>
        <v>8619.52</v>
      </c>
      <c r="T243" s="107">
        <f t="shared" si="521"/>
        <v>8613.52</v>
      </c>
      <c r="U243" s="371">
        <f t="shared" ref="U243:U247" si="530">+T243*$X$1</f>
        <v>8613.52</v>
      </c>
      <c r="V243" s="107">
        <f t="shared" si="523"/>
        <v>8608.52</v>
      </c>
      <c r="W243" s="371">
        <f t="shared" ref="W243:W247" si="531">+V243*$X$1</f>
        <v>8608.52</v>
      </c>
      <c r="X243" s="704"/>
      <c r="Y243" s="705"/>
      <c r="Z243" s="705"/>
      <c r="AA243" s="706"/>
      <c r="AB243" s="208">
        <v>919</v>
      </c>
    </row>
    <row r="244" spans="1:38" ht="12.6" customHeight="1" x14ac:dyDescent="0.2">
      <c r="A244" s="20"/>
      <c r="B244" s="719" t="s">
        <v>513</v>
      </c>
      <c r="C244" s="720"/>
      <c r="D244" s="720"/>
      <c r="E244" s="720"/>
      <c r="F244" s="481">
        <f>8.31*X2</f>
        <v>7645.2000000000007</v>
      </c>
      <c r="G244" s="345">
        <f t="shared" si="508"/>
        <v>7645.2000000000007</v>
      </c>
      <c r="H244" s="383">
        <f t="shared" si="509"/>
        <v>7935.2000000000007</v>
      </c>
      <c r="I244" s="345">
        <f t="shared" si="510"/>
        <v>7935.2000000000007</v>
      </c>
      <c r="J244" s="383">
        <f t="shared" si="511"/>
        <v>7765.2000000000007</v>
      </c>
      <c r="K244" s="345">
        <f t="shared" si="525"/>
        <v>7765.2000000000007</v>
      </c>
      <c r="L244" s="383">
        <f t="shared" si="513"/>
        <v>7719.2000000000007</v>
      </c>
      <c r="M244" s="345">
        <f t="shared" si="526"/>
        <v>7719.2000000000007</v>
      </c>
      <c r="N244" s="383">
        <f t="shared" si="515"/>
        <v>7691.2000000000007</v>
      </c>
      <c r="O244" s="345">
        <f t="shared" si="527"/>
        <v>7691.2000000000007</v>
      </c>
      <c r="P244" s="383">
        <f t="shared" si="517"/>
        <v>7687.2000000000007</v>
      </c>
      <c r="Q244" s="345">
        <f t="shared" si="528"/>
        <v>7687.2000000000007</v>
      </c>
      <c r="R244" s="383">
        <f t="shared" si="519"/>
        <v>7680.2000000000007</v>
      </c>
      <c r="S244" s="345">
        <f t="shared" si="529"/>
        <v>7680.2000000000007</v>
      </c>
      <c r="T244" s="108">
        <f t="shared" si="521"/>
        <v>7674.2000000000007</v>
      </c>
      <c r="U244" s="304">
        <f t="shared" si="530"/>
        <v>7674.2000000000007</v>
      </c>
      <c r="V244" s="108">
        <f t="shared" si="523"/>
        <v>7669.2000000000007</v>
      </c>
      <c r="W244" s="304">
        <f t="shared" si="531"/>
        <v>7669.2000000000007</v>
      </c>
      <c r="X244" s="704"/>
      <c r="Y244" s="735"/>
      <c r="Z244" s="735"/>
      <c r="AA244" s="706"/>
      <c r="AB244" s="208">
        <v>920</v>
      </c>
    </row>
    <row r="245" spans="1:38" ht="12.6" customHeight="1" x14ac:dyDescent="0.2">
      <c r="A245" s="20"/>
      <c r="B245" s="712" t="s">
        <v>609</v>
      </c>
      <c r="C245" s="699"/>
      <c r="D245" s="699"/>
      <c r="E245" s="699"/>
      <c r="F245" s="482">
        <f>8.1*X2</f>
        <v>7452</v>
      </c>
      <c r="G245" s="346">
        <f t="shared" si="508"/>
        <v>7452</v>
      </c>
      <c r="H245" s="631">
        <f t="shared" si="509"/>
        <v>7742</v>
      </c>
      <c r="I245" s="346">
        <f t="shared" si="510"/>
        <v>7742</v>
      </c>
      <c r="J245" s="631">
        <f t="shared" si="511"/>
        <v>7572</v>
      </c>
      <c r="K245" s="346">
        <f t="shared" si="525"/>
        <v>7572</v>
      </c>
      <c r="L245" s="631">
        <f t="shared" si="513"/>
        <v>7526</v>
      </c>
      <c r="M245" s="346">
        <f t="shared" si="526"/>
        <v>7526</v>
      </c>
      <c r="N245" s="631">
        <f t="shared" si="515"/>
        <v>7498</v>
      </c>
      <c r="O245" s="346">
        <f t="shared" si="527"/>
        <v>7498</v>
      </c>
      <c r="P245" s="631">
        <f t="shared" si="517"/>
        <v>7494</v>
      </c>
      <c r="Q245" s="346">
        <f t="shared" si="528"/>
        <v>7494</v>
      </c>
      <c r="R245" s="631">
        <f t="shared" si="519"/>
        <v>7487</v>
      </c>
      <c r="S245" s="346">
        <f t="shared" si="529"/>
        <v>7487</v>
      </c>
      <c r="T245" s="107">
        <f t="shared" si="521"/>
        <v>7481</v>
      </c>
      <c r="U245" s="371">
        <f t="shared" si="530"/>
        <v>7481</v>
      </c>
      <c r="V245" s="107">
        <f t="shared" si="523"/>
        <v>7476</v>
      </c>
      <c r="W245" s="371">
        <f t="shared" si="531"/>
        <v>7476</v>
      </c>
      <c r="X245" s="704"/>
      <c r="Y245" s="735"/>
      <c r="Z245" s="735"/>
      <c r="AA245" s="706"/>
      <c r="AB245" s="208">
        <v>921</v>
      </c>
    </row>
    <row r="246" spans="1:38" ht="12.6" customHeight="1" x14ac:dyDescent="0.2">
      <c r="A246" s="111"/>
      <c r="B246" s="719" t="s">
        <v>512</v>
      </c>
      <c r="C246" s="720"/>
      <c r="D246" s="720"/>
      <c r="E246" s="720"/>
      <c r="F246" s="481">
        <f>7.624*X2</f>
        <v>7014.08</v>
      </c>
      <c r="G246" s="345">
        <f t="shared" ref="G246:G248" si="532">+F246*$X$1</f>
        <v>7014.08</v>
      </c>
      <c r="H246" s="383">
        <f t="shared" si="509"/>
        <v>7304.08</v>
      </c>
      <c r="I246" s="345">
        <f t="shared" si="510"/>
        <v>7304.08</v>
      </c>
      <c r="J246" s="383">
        <f t="shared" si="511"/>
        <v>7134.08</v>
      </c>
      <c r="K246" s="345">
        <f t="shared" si="525"/>
        <v>7134.08</v>
      </c>
      <c r="L246" s="383">
        <f t="shared" si="513"/>
        <v>7088.08</v>
      </c>
      <c r="M246" s="345">
        <f t="shared" si="526"/>
        <v>7088.08</v>
      </c>
      <c r="N246" s="383">
        <f t="shared" si="515"/>
        <v>7060.08</v>
      </c>
      <c r="O246" s="345">
        <f t="shared" si="527"/>
        <v>7060.08</v>
      </c>
      <c r="P246" s="383">
        <f t="shared" si="517"/>
        <v>7056.08</v>
      </c>
      <c r="Q246" s="345">
        <f t="shared" si="528"/>
        <v>7056.08</v>
      </c>
      <c r="R246" s="383">
        <f t="shared" si="519"/>
        <v>7049.08</v>
      </c>
      <c r="S246" s="345">
        <f t="shared" si="529"/>
        <v>7049.08</v>
      </c>
      <c r="T246" s="108">
        <f t="shared" si="521"/>
        <v>7043.08</v>
      </c>
      <c r="U246" s="304">
        <f t="shared" si="530"/>
        <v>7043.08</v>
      </c>
      <c r="V246" s="108">
        <f t="shared" si="523"/>
        <v>7038.08</v>
      </c>
      <c r="W246" s="304">
        <f t="shared" si="531"/>
        <v>7038.08</v>
      </c>
      <c r="X246" s="704"/>
      <c r="Y246" s="735"/>
      <c r="Z246" s="735"/>
      <c r="AA246" s="706"/>
      <c r="AB246" s="208">
        <v>928</v>
      </c>
    </row>
    <row r="247" spans="1:38" ht="12.6" customHeight="1" x14ac:dyDescent="0.2">
      <c r="A247" s="20"/>
      <c r="B247" s="712" t="s">
        <v>459</v>
      </c>
      <c r="C247" s="699"/>
      <c r="D247" s="699"/>
      <c r="E247" s="699"/>
      <c r="F247" s="482">
        <f>7.96*X2</f>
        <v>7323.2</v>
      </c>
      <c r="G247" s="346">
        <f t="shared" si="532"/>
        <v>7323.2</v>
      </c>
      <c r="H247" s="631">
        <f t="shared" si="509"/>
        <v>7613.2</v>
      </c>
      <c r="I247" s="346">
        <f t="shared" si="510"/>
        <v>7613.2</v>
      </c>
      <c r="J247" s="631">
        <f t="shared" si="511"/>
        <v>7443.2</v>
      </c>
      <c r="K247" s="346">
        <f t="shared" si="525"/>
        <v>7443.2</v>
      </c>
      <c r="L247" s="631">
        <f t="shared" si="513"/>
        <v>7397.2</v>
      </c>
      <c r="M247" s="346">
        <f t="shared" si="526"/>
        <v>7397.2</v>
      </c>
      <c r="N247" s="631">
        <f t="shared" si="515"/>
        <v>7369.2</v>
      </c>
      <c r="O247" s="346">
        <f t="shared" si="527"/>
        <v>7369.2</v>
      </c>
      <c r="P247" s="631">
        <f t="shared" si="517"/>
        <v>7365.2</v>
      </c>
      <c r="Q247" s="346">
        <f t="shared" si="528"/>
        <v>7365.2</v>
      </c>
      <c r="R247" s="631">
        <f t="shared" si="519"/>
        <v>7358.2</v>
      </c>
      <c r="S247" s="346">
        <f t="shared" si="529"/>
        <v>7358.2</v>
      </c>
      <c r="T247" s="107">
        <f t="shared" si="521"/>
        <v>7352.2</v>
      </c>
      <c r="U247" s="371">
        <f t="shared" si="530"/>
        <v>7352.2</v>
      </c>
      <c r="V247" s="107">
        <f t="shared" si="523"/>
        <v>7347.2</v>
      </c>
      <c r="W247" s="371">
        <f t="shared" si="531"/>
        <v>7347.2</v>
      </c>
      <c r="X247" s="704"/>
      <c r="Y247" s="705"/>
      <c r="Z247" s="705"/>
      <c r="AA247" s="706"/>
      <c r="AB247" s="208">
        <v>931</v>
      </c>
    </row>
    <row r="248" spans="1:38" ht="12.6" customHeight="1" x14ac:dyDescent="0.2">
      <c r="A248" s="20"/>
      <c r="B248" s="719" t="s">
        <v>698</v>
      </c>
      <c r="C248" s="720"/>
      <c r="D248" s="720"/>
      <c r="E248" s="720"/>
      <c r="F248" s="481">
        <f>8.31*X2</f>
        <v>7645.2000000000007</v>
      </c>
      <c r="G248" s="345">
        <f t="shared" si="532"/>
        <v>7645.2000000000007</v>
      </c>
      <c r="H248" s="383">
        <f t="shared" ref="H248:H255" si="533">F248+290</f>
        <v>7935.2000000000007</v>
      </c>
      <c r="I248" s="345">
        <f>+H248*$X$1</f>
        <v>7935.2000000000007</v>
      </c>
      <c r="J248" s="383">
        <f>F248+120</f>
        <v>7765.2000000000007</v>
      </c>
      <c r="K248" s="345">
        <f t="shared" ref="K248:K252" si="534">+J248*$X$1</f>
        <v>7765.2000000000007</v>
      </c>
      <c r="L248" s="383">
        <f>F248+74</f>
        <v>7719.2000000000007</v>
      </c>
      <c r="M248" s="345">
        <f t="shared" ref="M248:M252" si="535">+L248*$X$1</f>
        <v>7719.2000000000007</v>
      </c>
      <c r="N248" s="383">
        <f>F248+46</f>
        <v>7691.2000000000007</v>
      </c>
      <c r="O248" s="345">
        <f t="shared" ref="O248:O252" si="536">+N248*$X$1</f>
        <v>7691.2000000000007</v>
      </c>
      <c r="P248" s="383">
        <f>F248+42</f>
        <v>7687.2000000000007</v>
      </c>
      <c r="Q248" s="345">
        <f t="shared" ref="Q248:Q252" si="537">+P248*$X$1</f>
        <v>7687.2000000000007</v>
      </c>
      <c r="R248" s="383">
        <f>F248+35</f>
        <v>7680.2000000000007</v>
      </c>
      <c r="S248" s="345">
        <f t="shared" ref="S248:S252" si="538">+R248*$X$1</f>
        <v>7680.2000000000007</v>
      </c>
      <c r="T248" s="108">
        <f>F248+29</f>
        <v>7674.2000000000007</v>
      </c>
      <c r="U248" s="304">
        <f t="shared" ref="U248:U252" si="539">+T248*$X$1</f>
        <v>7674.2000000000007</v>
      </c>
      <c r="V248" s="108">
        <f>F248+24</f>
        <v>7669.2000000000007</v>
      </c>
      <c r="W248" s="304">
        <f t="shared" ref="W248:W252" si="540">+V248*$X$1</f>
        <v>7669.2000000000007</v>
      </c>
      <c r="X248" s="472"/>
      <c r="Y248" s="472"/>
      <c r="Z248" s="472"/>
      <c r="AA248" s="472"/>
      <c r="AB248" s="208">
        <v>935</v>
      </c>
    </row>
    <row r="249" spans="1:38" ht="12.6" customHeight="1" x14ac:dyDescent="0.2">
      <c r="A249" s="20"/>
      <c r="B249" s="712" t="s">
        <v>739</v>
      </c>
      <c r="C249" s="699"/>
      <c r="D249" s="699"/>
      <c r="E249" s="699"/>
      <c r="F249" s="482">
        <f>10*X2</f>
        <v>9200</v>
      </c>
      <c r="G249" s="346">
        <f t="shared" ref="G249:G250" si="541">+F249*$X$1</f>
        <v>9200</v>
      </c>
      <c r="H249" s="631">
        <f t="shared" si="533"/>
        <v>9490</v>
      </c>
      <c r="I249" s="346">
        <f>+H249*$X$1</f>
        <v>9490</v>
      </c>
      <c r="J249" s="631">
        <f>F249+120</f>
        <v>9320</v>
      </c>
      <c r="K249" s="346">
        <f t="shared" si="534"/>
        <v>9320</v>
      </c>
      <c r="L249" s="631">
        <f>F249+74</f>
        <v>9274</v>
      </c>
      <c r="M249" s="346">
        <f t="shared" si="535"/>
        <v>9274</v>
      </c>
      <c r="N249" s="631">
        <f>F249+46</f>
        <v>9246</v>
      </c>
      <c r="O249" s="346">
        <f t="shared" si="536"/>
        <v>9246</v>
      </c>
      <c r="P249" s="631">
        <f>F249+42</f>
        <v>9242</v>
      </c>
      <c r="Q249" s="346">
        <f t="shared" si="537"/>
        <v>9242</v>
      </c>
      <c r="R249" s="631">
        <f>F249+35</f>
        <v>9235</v>
      </c>
      <c r="S249" s="346">
        <f t="shared" si="538"/>
        <v>9235</v>
      </c>
      <c r="T249" s="107">
        <f>F249+29</f>
        <v>9229</v>
      </c>
      <c r="U249" s="371">
        <f t="shared" si="539"/>
        <v>9229</v>
      </c>
      <c r="V249" s="107">
        <f>F249+24</f>
        <v>9224</v>
      </c>
      <c r="W249" s="371">
        <f t="shared" si="540"/>
        <v>9224</v>
      </c>
      <c r="X249" s="704"/>
      <c r="Y249" s="735"/>
      <c r="Z249" s="735"/>
      <c r="AA249" s="706"/>
      <c r="AB249" s="208">
        <v>936</v>
      </c>
    </row>
    <row r="250" spans="1:38" ht="12.6" customHeight="1" x14ac:dyDescent="0.2">
      <c r="A250" s="20"/>
      <c r="B250" s="724" t="s">
        <v>872</v>
      </c>
      <c r="C250" s="725"/>
      <c r="D250" s="725"/>
      <c r="E250" s="725"/>
      <c r="F250" s="481">
        <f>4.9*X2</f>
        <v>4508</v>
      </c>
      <c r="G250" s="345">
        <f t="shared" si="541"/>
        <v>4508</v>
      </c>
      <c r="H250" s="383">
        <f t="shared" ref="H250" si="542">F250+290</f>
        <v>4798</v>
      </c>
      <c r="I250" s="345">
        <f>+H250*$X$1</f>
        <v>4798</v>
      </c>
      <c r="J250" s="383">
        <f>F250+120</f>
        <v>4628</v>
      </c>
      <c r="K250" s="345">
        <f t="shared" ref="K250" si="543">+J250*$X$1</f>
        <v>4628</v>
      </c>
      <c r="L250" s="383">
        <f>F250+74</f>
        <v>4582</v>
      </c>
      <c r="M250" s="345">
        <f t="shared" ref="M250" si="544">+L250*$X$1</f>
        <v>4582</v>
      </c>
      <c r="N250" s="383">
        <f>F250+46</f>
        <v>4554</v>
      </c>
      <c r="O250" s="345">
        <f t="shared" ref="O250" si="545">+N250*$X$1</f>
        <v>4554</v>
      </c>
      <c r="P250" s="383">
        <f>F250+42</f>
        <v>4550</v>
      </c>
      <c r="Q250" s="345">
        <f t="shared" ref="Q250" si="546">+P250*$X$1</f>
        <v>4550</v>
      </c>
      <c r="R250" s="383">
        <f>F250+35</f>
        <v>4543</v>
      </c>
      <c r="S250" s="345">
        <f t="shared" ref="S250" si="547">+R250*$X$1</f>
        <v>4543</v>
      </c>
      <c r="T250" s="108">
        <f>F250+29</f>
        <v>4537</v>
      </c>
      <c r="U250" s="304">
        <f t="shared" ref="U250" si="548">+T250*$X$1</f>
        <v>4537</v>
      </c>
      <c r="V250" s="108">
        <f>F250+24</f>
        <v>4532</v>
      </c>
      <c r="W250" s="304">
        <f t="shared" ref="W250" si="549">+V250*$X$1</f>
        <v>4532</v>
      </c>
      <c r="X250" s="630"/>
      <c r="Y250" s="630"/>
      <c r="Z250" s="630"/>
      <c r="AA250" s="630"/>
      <c r="AB250" s="208">
        <v>940</v>
      </c>
    </row>
    <row r="251" spans="1:38" ht="12.6" customHeight="1" x14ac:dyDescent="0.2">
      <c r="A251" s="20"/>
      <c r="B251" s="774" t="s">
        <v>214</v>
      </c>
      <c r="C251" s="917"/>
      <c r="D251" s="917"/>
      <c r="E251" s="918"/>
      <c r="F251" s="482">
        <f>5.483*X2</f>
        <v>5044.3599999999997</v>
      </c>
      <c r="G251" s="346">
        <f t="shared" ref="G251:G255" si="550">+F251*$X$1</f>
        <v>5044.3599999999997</v>
      </c>
      <c r="H251" s="600">
        <f t="shared" si="533"/>
        <v>5334.36</v>
      </c>
      <c r="I251" s="346">
        <f>+H251*$X$1</f>
        <v>5334.36</v>
      </c>
      <c r="J251" s="600">
        <f>F251+120</f>
        <v>5164.3599999999997</v>
      </c>
      <c r="K251" s="346">
        <f t="shared" si="534"/>
        <v>5164.3599999999997</v>
      </c>
      <c r="L251" s="600">
        <f>F251+74</f>
        <v>5118.3599999999997</v>
      </c>
      <c r="M251" s="346">
        <f t="shared" si="535"/>
        <v>5118.3599999999997</v>
      </c>
      <c r="N251" s="600">
        <f>F251+46</f>
        <v>5090.3599999999997</v>
      </c>
      <c r="O251" s="346">
        <f t="shared" si="536"/>
        <v>5090.3599999999997</v>
      </c>
      <c r="P251" s="600">
        <f>F251+42</f>
        <v>5086.3599999999997</v>
      </c>
      <c r="Q251" s="346">
        <f t="shared" si="537"/>
        <v>5086.3599999999997</v>
      </c>
      <c r="R251" s="600">
        <f>F251+35</f>
        <v>5079.3599999999997</v>
      </c>
      <c r="S251" s="346">
        <f t="shared" si="538"/>
        <v>5079.3599999999997</v>
      </c>
      <c r="T251" s="107">
        <f>F251+29</f>
        <v>5073.3599999999997</v>
      </c>
      <c r="U251" s="371">
        <f t="shared" si="539"/>
        <v>5073.3599999999997</v>
      </c>
      <c r="V251" s="107">
        <f>F251+24</f>
        <v>5068.3599999999997</v>
      </c>
      <c r="W251" s="371">
        <f t="shared" si="540"/>
        <v>5068.3599999999997</v>
      </c>
      <c r="X251" s="144"/>
      <c r="Y251" s="146"/>
      <c r="Z251" s="141"/>
      <c r="AA251" s="141"/>
      <c r="AB251" s="208">
        <v>945</v>
      </c>
      <c r="AD251" s="69"/>
      <c r="AE251" s="69"/>
      <c r="AF251" s="69"/>
      <c r="AG251" s="69"/>
    </row>
    <row r="252" spans="1:38" ht="12.6" customHeight="1" x14ac:dyDescent="0.2">
      <c r="A252" s="20"/>
      <c r="B252" s="719" t="s">
        <v>573</v>
      </c>
      <c r="C252" s="720"/>
      <c r="D252" s="720"/>
      <c r="E252" s="720"/>
      <c r="F252" s="481">
        <f>4.502*X2</f>
        <v>4141.84</v>
      </c>
      <c r="G252" s="345">
        <f t="shared" ref="G252" si="551">+F252*$X$1</f>
        <v>4141.84</v>
      </c>
      <c r="H252" s="383">
        <f t="shared" si="533"/>
        <v>4431.84</v>
      </c>
      <c r="I252" s="345">
        <f>+H252*$X$1</f>
        <v>4431.84</v>
      </c>
      <c r="J252" s="383">
        <f>F252+120</f>
        <v>4261.84</v>
      </c>
      <c r="K252" s="345">
        <f t="shared" si="534"/>
        <v>4261.84</v>
      </c>
      <c r="L252" s="383">
        <f>F252+74</f>
        <v>4215.84</v>
      </c>
      <c r="M252" s="345">
        <f t="shared" si="535"/>
        <v>4215.84</v>
      </c>
      <c r="N252" s="383">
        <f>F252+46</f>
        <v>4187.84</v>
      </c>
      <c r="O252" s="345">
        <f t="shared" si="536"/>
        <v>4187.84</v>
      </c>
      <c r="P252" s="383">
        <f>F252+42</f>
        <v>4183.84</v>
      </c>
      <c r="Q252" s="345">
        <f t="shared" si="537"/>
        <v>4183.84</v>
      </c>
      <c r="R252" s="383">
        <f>F252+35</f>
        <v>4176.84</v>
      </c>
      <c r="S252" s="345">
        <f t="shared" si="538"/>
        <v>4176.84</v>
      </c>
      <c r="T252" s="108">
        <f>F252+29</f>
        <v>4170.84</v>
      </c>
      <c r="U252" s="304">
        <f t="shared" si="539"/>
        <v>4170.84</v>
      </c>
      <c r="V252" s="108">
        <f>F252+24</f>
        <v>4165.84</v>
      </c>
      <c r="W252" s="304">
        <f t="shared" si="540"/>
        <v>4165.84</v>
      </c>
      <c r="X252" s="165"/>
      <c r="Y252" s="165"/>
      <c r="Z252" s="165"/>
      <c r="AA252" s="165"/>
      <c r="AB252" s="208">
        <v>946</v>
      </c>
    </row>
    <row r="253" spans="1:38" ht="12.6" customHeight="1" x14ac:dyDescent="0.2">
      <c r="A253" s="20"/>
      <c r="B253" s="1143" t="s">
        <v>215</v>
      </c>
      <c r="C253" s="1144"/>
      <c r="D253" s="1144"/>
      <c r="E253" s="1145"/>
      <c r="F253" s="482">
        <f>5.1*X2</f>
        <v>4692</v>
      </c>
      <c r="G253" s="346">
        <f t="shared" si="550"/>
        <v>4692</v>
      </c>
      <c r="H253" s="600">
        <f t="shared" si="533"/>
        <v>4982</v>
      </c>
      <c r="I253" s="346">
        <f t="shared" ref="I253" si="552">+H253*$X$1</f>
        <v>4982</v>
      </c>
      <c r="J253" s="93"/>
      <c r="K253" s="346"/>
      <c r="L253" s="600"/>
      <c r="M253" s="346"/>
      <c r="N253" s="600"/>
      <c r="O253" s="346"/>
      <c r="P253" s="600"/>
      <c r="Q253" s="346"/>
      <c r="R253" s="600"/>
      <c r="S253" s="346"/>
      <c r="T253" s="600"/>
      <c r="U253" s="346"/>
      <c r="V253" s="600"/>
      <c r="W253" s="346"/>
      <c r="X253" s="704"/>
      <c r="Y253" s="705"/>
      <c r="Z253" s="705"/>
      <c r="AA253" s="706"/>
      <c r="AB253" s="546">
        <v>949</v>
      </c>
    </row>
    <row r="254" spans="1:38" ht="12.6" customHeight="1" x14ac:dyDescent="0.2">
      <c r="A254" s="20"/>
      <c r="B254" s="719" t="s">
        <v>216</v>
      </c>
      <c r="C254" s="720"/>
      <c r="D254" s="720"/>
      <c r="E254" s="720"/>
      <c r="F254" s="481">
        <f>4.7*X2</f>
        <v>4324</v>
      </c>
      <c r="G254" s="345">
        <f t="shared" si="550"/>
        <v>4324</v>
      </c>
      <c r="H254" s="383">
        <f t="shared" si="533"/>
        <v>4614</v>
      </c>
      <c r="I254" s="345">
        <f>+H254*$X$1</f>
        <v>4614</v>
      </c>
      <c r="J254" s="383">
        <f>F254+120</f>
        <v>4444</v>
      </c>
      <c r="K254" s="345">
        <f t="shared" ref="K254:K256" si="553">+J254*$X$1</f>
        <v>4444</v>
      </c>
      <c r="L254" s="383">
        <f>F254+74</f>
        <v>4398</v>
      </c>
      <c r="M254" s="345">
        <f t="shared" ref="M254:M256" si="554">+L254*$X$1</f>
        <v>4398</v>
      </c>
      <c r="N254" s="383">
        <f>F254+46</f>
        <v>4370</v>
      </c>
      <c r="O254" s="345">
        <f t="shared" ref="O254:O256" si="555">+N254*$X$1</f>
        <v>4370</v>
      </c>
      <c r="P254" s="383">
        <f>F254+42</f>
        <v>4366</v>
      </c>
      <c r="Q254" s="345">
        <f t="shared" ref="Q254:Q256" si="556">+P254*$X$1</f>
        <v>4366</v>
      </c>
      <c r="R254" s="383">
        <f>F254+35</f>
        <v>4359</v>
      </c>
      <c r="S254" s="345">
        <f t="shared" ref="S254:S256" si="557">+R254*$X$1</f>
        <v>4359</v>
      </c>
      <c r="T254" s="108">
        <f>F254+29</f>
        <v>4353</v>
      </c>
      <c r="U254" s="304">
        <f t="shared" ref="U254:U256" si="558">+T254*$X$1</f>
        <v>4353</v>
      </c>
      <c r="V254" s="108">
        <f>F254+24</f>
        <v>4348</v>
      </c>
      <c r="W254" s="304">
        <f t="shared" ref="W254:W256" si="559">+V254*$X$1</f>
        <v>4348</v>
      </c>
      <c r="X254" s="704"/>
      <c r="Y254" s="705"/>
      <c r="Z254" s="705"/>
      <c r="AA254" s="706"/>
      <c r="AB254" s="208">
        <v>950</v>
      </c>
    </row>
    <row r="255" spans="1:38" ht="12.6" customHeight="1" x14ac:dyDescent="0.2">
      <c r="A255" s="20"/>
      <c r="B255" s="712" t="s">
        <v>699</v>
      </c>
      <c r="C255" s="699"/>
      <c r="D255" s="699"/>
      <c r="E255" s="699"/>
      <c r="F255" s="482">
        <f>6.46*X2</f>
        <v>5943.2</v>
      </c>
      <c r="G255" s="346">
        <f t="shared" si="550"/>
        <v>5943.2</v>
      </c>
      <c r="H255" s="600">
        <f t="shared" si="533"/>
        <v>6233.2</v>
      </c>
      <c r="I255" s="346">
        <f>+H255*$X$1</f>
        <v>6233.2</v>
      </c>
      <c r="J255" s="600">
        <f>F255+120</f>
        <v>6063.2</v>
      </c>
      <c r="K255" s="346">
        <f t="shared" si="553"/>
        <v>6063.2</v>
      </c>
      <c r="L255" s="600">
        <f>F255+74</f>
        <v>6017.2</v>
      </c>
      <c r="M255" s="346">
        <f t="shared" si="554"/>
        <v>6017.2</v>
      </c>
      <c r="N255" s="600">
        <f>F255+46</f>
        <v>5989.2</v>
      </c>
      <c r="O255" s="346">
        <f t="shared" si="555"/>
        <v>5989.2</v>
      </c>
      <c r="P255" s="600">
        <f>F255+42</f>
        <v>5985.2</v>
      </c>
      <c r="Q255" s="346">
        <f t="shared" si="556"/>
        <v>5985.2</v>
      </c>
      <c r="R255" s="600">
        <f>F255+35</f>
        <v>5978.2</v>
      </c>
      <c r="S255" s="346">
        <f t="shared" si="557"/>
        <v>5978.2</v>
      </c>
      <c r="T255" s="107">
        <f>F255+29</f>
        <v>5972.2</v>
      </c>
      <c r="U255" s="371">
        <f t="shared" si="558"/>
        <v>5972.2</v>
      </c>
      <c r="V255" s="107">
        <f>F255+24</f>
        <v>5967.2</v>
      </c>
      <c r="W255" s="371">
        <f t="shared" si="559"/>
        <v>5967.2</v>
      </c>
      <c r="X255" s="721"/>
      <c r="Y255" s="722"/>
      <c r="Z255" s="722"/>
      <c r="AA255" s="723"/>
      <c r="AB255" s="208">
        <v>962</v>
      </c>
    </row>
    <row r="256" spans="1:38" s="1" customFormat="1" ht="12.6" customHeight="1" x14ac:dyDescent="0.2">
      <c r="A256" s="21"/>
      <c r="B256" s="719" t="s">
        <v>217</v>
      </c>
      <c r="C256" s="720"/>
      <c r="D256" s="720"/>
      <c r="E256" s="720"/>
      <c r="F256" s="345">
        <v>2174</v>
      </c>
      <c r="G256" s="345">
        <f>+F256*$X$1</f>
        <v>2174</v>
      </c>
      <c r="H256" s="383">
        <f>F256+260</f>
        <v>2434</v>
      </c>
      <c r="I256" s="345">
        <f t="shared" ref="I256" si="560">+H256*$X$1</f>
        <v>2434</v>
      </c>
      <c r="J256" s="75">
        <f>F256+95</f>
        <v>2269</v>
      </c>
      <c r="K256" s="345">
        <f t="shared" si="553"/>
        <v>2269</v>
      </c>
      <c r="L256" s="383">
        <f>F256+70</f>
        <v>2244</v>
      </c>
      <c r="M256" s="345">
        <f t="shared" si="554"/>
        <v>2244</v>
      </c>
      <c r="N256" s="383">
        <f>F256+59</f>
        <v>2233</v>
      </c>
      <c r="O256" s="345">
        <f t="shared" si="555"/>
        <v>2233</v>
      </c>
      <c r="P256" s="383">
        <f>F256+55</f>
        <v>2229</v>
      </c>
      <c r="Q256" s="345">
        <f t="shared" si="556"/>
        <v>2229</v>
      </c>
      <c r="R256" s="383">
        <f>F256+51</f>
        <v>2225</v>
      </c>
      <c r="S256" s="345">
        <f t="shared" si="557"/>
        <v>2225</v>
      </c>
      <c r="T256" s="383">
        <f>F256+46</f>
        <v>2220</v>
      </c>
      <c r="U256" s="345">
        <f t="shared" si="558"/>
        <v>2220</v>
      </c>
      <c r="V256" s="383">
        <f>F256+43</f>
        <v>2217</v>
      </c>
      <c r="W256" s="345">
        <f t="shared" si="559"/>
        <v>2217</v>
      </c>
      <c r="X256" s="728"/>
      <c r="Y256" s="734"/>
      <c r="Z256" s="734"/>
      <c r="AA256" s="711"/>
      <c r="AB256" s="208">
        <v>965</v>
      </c>
      <c r="AC256" s="4"/>
      <c r="AD256" s="4"/>
      <c r="AE256" s="4"/>
      <c r="AF256" s="4"/>
      <c r="AG256" s="4"/>
      <c r="AH256" s="4"/>
      <c r="AI256" s="4"/>
      <c r="AJ256" s="4"/>
      <c r="AK256" s="4"/>
      <c r="AL256" s="4"/>
    </row>
    <row r="257" spans="1:38" ht="12.6" customHeight="1" x14ac:dyDescent="0.2">
      <c r="A257" s="20"/>
      <c r="B257" s="712" t="s">
        <v>701</v>
      </c>
      <c r="C257" s="699"/>
      <c r="D257" s="699"/>
      <c r="E257" s="699"/>
      <c r="F257" s="482">
        <f>7.721*X2</f>
        <v>7103.32</v>
      </c>
      <c r="G257" s="346">
        <f t="shared" ref="G257" si="561">+F257*$X$1</f>
        <v>7103.32</v>
      </c>
      <c r="H257" s="600">
        <f>F257+290</f>
        <v>7393.32</v>
      </c>
      <c r="I257" s="346">
        <f>+H257*$X$1</f>
        <v>7393.32</v>
      </c>
      <c r="J257" s="600">
        <f>F257+120</f>
        <v>7223.32</v>
      </c>
      <c r="K257" s="346">
        <f t="shared" ref="K257:K264" si="562">+J257*$X$1</f>
        <v>7223.32</v>
      </c>
      <c r="L257" s="600">
        <f>F257+74</f>
        <v>7177.32</v>
      </c>
      <c r="M257" s="346">
        <f t="shared" ref="M257:M264" si="563">+L257*$X$1</f>
        <v>7177.32</v>
      </c>
      <c r="N257" s="600">
        <f>F257+46</f>
        <v>7149.32</v>
      </c>
      <c r="O257" s="346">
        <f t="shared" ref="O257:O264" si="564">+N257*$X$1</f>
        <v>7149.32</v>
      </c>
      <c r="P257" s="600">
        <f>F257+42</f>
        <v>7145.32</v>
      </c>
      <c r="Q257" s="346">
        <f t="shared" ref="Q257:Q264" si="565">+P257*$X$1</f>
        <v>7145.32</v>
      </c>
      <c r="R257" s="600">
        <f>F257+35</f>
        <v>7138.32</v>
      </c>
      <c r="S257" s="346">
        <f t="shared" ref="S257:S264" si="566">+R257*$X$1</f>
        <v>7138.32</v>
      </c>
      <c r="T257" s="107"/>
      <c r="U257" s="371"/>
      <c r="V257" s="107"/>
      <c r="W257" s="371"/>
      <c r="X257" s="721"/>
      <c r="Y257" s="722"/>
      <c r="Z257" s="722"/>
      <c r="AA257" s="723"/>
      <c r="AB257" s="208">
        <v>966</v>
      </c>
    </row>
    <row r="258" spans="1:38" s="1" customFormat="1" ht="12.6" customHeight="1" x14ac:dyDescent="0.2">
      <c r="A258" s="21"/>
      <c r="B258" s="714" t="s">
        <v>218</v>
      </c>
      <c r="C258" s="717"/>
      <c r="D258" s="717"/>
      <c r="E258" s="718"/>
      <c r="F258" s="345">
        <v>1882</v>
      </c>
      <c r="G258" s="345">
        <f>+F258*$X$1</f>
        <v>1882</v>
      </c>
      <c r="H258" s="341"/>
      <c r="I258" s="420"/>
      <c r="J258" s="75">
        <f t="shared" ref="J258:J264" si="567">F258+95</f>
        <v>1977</v>
      </c>
      <c r="K258" s="345">
        <f t="shared" si="562"/>
        <v>1977</v>
      </c>
      <c r="L258" s="383">
        <f t="shared" ref="L258:L264" si="568">F258+70</f>
        <v>1952</v>
      </c>
      <c r="M258" s="345">
        <f t="shared" si="563"/>
        <v>1952</v>
      </c>
      <c r="N258" s="383">
        <f t="shared" ref="N258:N264" si="569">F258+59</f>
        <v>1941</v>
      </c>
      <c r="O258" s="345">
        <f t="shared" si="564"/>
        <v>1941</v>
      </c>
      <c r="P258" s="383">
        <f t="shared" ref="P258:P264" si="570">F258+55</f>
        <v>1937</v>
      </c>
      <c r="Q258" s="345">
        <f t="shared" si="565"/>
        <v>1937</v>
      </c>
      <c r="R258" s="383">
        <f t="shared" ref="R258:R264" si="571">F258+51</f>
        <v>1933</v>
      </c>
      <c r="S258" s="345">
        <f t="shared" si="566"/>
        <v>1933</v>
      </c>
      <c r="T258" s="383">
        <f t="shared" ref="T258:T264" si="572">F258+46</f>
        <v>1928</v>
      </c>
      <c r="U258" s="345">
        <f t="shared" ref="U258:U264" si="573">+T258*$X$1</f>
        <v>1928</v>
      </c>
      <c r="V258" s="383">
        <f t="shared" ref="V258:V264" si="574">F258+43</f>
        <v>1925</v>
      </c>
      <c r="W258" s="345">
        <f t="shared" ref="W258:W264" si="575">+V258*$X$1</f>
        <v>1925</v>
      </c>
      <c r="X258" s="167"/>
      <c r="Y258" s="168"/>
      <c r="Z258" s="168"/>
      <c r="AA258" s="169"/>
      <c r="AB258" s="546">
        <v>967</v>
      </c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s="1" customFormat="1" ht="12.6" customHeight="1" x14ac:dyDescent="0.2">
      <c r="A259" s="21"/>
      <c r="B259" s="774" t="s">
        <v>408</v>
      </c>
      <c r="C259" s="775"/>
      <c r="D259" s="775"/>
      <c r="E259" s="776"/>
      <c r="F259" s="346">
        <v>1794</v>
      </c>
      <c r="G259" s="346">
        <f>+F259*$X$1</f>
        <v>1794</v>
      </c>
      <c r="H259" s="600">
        <f t="shared" ref="H259:H264" si="576">F259+260</f>
        <v>2054</v>
      </c>
      <c r="I259" s="346">
        <f t="shared" ref="I259:I264" si="577">+H259*$X$1</f>
        <v>2054</v>
      </c>
      <c r="J259" s="93">
        <f t="shared" si="567"/>
        <v>1889</v>
      </c>
      <c r="K259" s="346">
        <f t="shared" si="562"/>
        <v>1889</v>
      </c>
      <c r="L259" s="600">
        <f t="shared" si="568"/>
        <v>1864</v>
      </c>
      <c r="M259" s="346">
        <f t="shared" si="563"/>
        <v>1864</v>
      </c>
      <c r="N259" s="600">
        <f t="shared" si="569"/>
        <v>1853</v>
      </c>
      <c r="O259" s="346">
        <f t="shared" si="564"/>
        <v>1853</v>
      </c>
      <c r="P259" s="600">
        <f t="shared" si="570"/>
        <v>1849</v>
      </c>
      <c r="Q259" s="346">
        <f t="shared" si="565"/>
        <v>1849</v>
      </c>
      <c r="R259" s="600">
        <f t="shared" si="571"/>
        <v>1845</v>
      </c>
      <c r="S259" s="346">
        <f t="shared" si="566"/>
        <v>1845</v>
      </c>
      <c r="T259" s="600">
        <f t="shared" si="572"/>
        <v>1840</v>
      </c>
      <c r="U259" s="346">
        <f t="shared" si="573"/>
        <v>1840</v>
      </c>
      <c r="V259" s="600">
        <f t="shared" si="574"/>
        <v>1837</v>
      </c>
      <c r="W259" s="346">
        <f t="shared" si="575"/>
        <v>1837</v>
      </c>
      <c r="X259" s="728"/>
      <c r="Y259" s="734"/>
      <c r="Z259" s="734"/>
      <c r="AA259" s="711"/>
      <c r="AB259" s="546">
        <v>968</v>
      </c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s="1" customFormat="1" ht="12.6" customHeight="1" x14ac:dyDescent="0.2">
      <c r="A260" s="21"/>
      <c r="B260" s="719" t="s">
        <v>219</v>
      </c>
      <c r="C260" s="720"/>
      <c r="D260" s="720"/>
      <c r="E260" s="720"/>
      <c r="F260" s="345">
        <v>4602</v>
      </c>
      <c r="G260" s="345">
        <f t="shared" ref="G260:G263" si="578">+F260*$X$1</f>
        <v>4602</v>
      </c>
      <c r="H260" s="383">
        <f t="shared" si="576"/>
        <v>4862</v>
      </c>
      <c r="I260" s="345">
        <f t="shared" si="577"/>
        <v>4862</v>
      </c>
      <c r="J260" s="75">
        <f t="shared" si="567"/>
        <v>4697</v>
      </c>
      <c r="K260" s="345">
        <f t="shared" si="562"/>
        <v>4697</v>
      </c>
      <c r="L260" s="383">
        <f t="shared" si="568"/>
        <v>4672</v>
      </c>
      <c r="M260" s="345">
        <f t="shared" si="563"/>
        <v>4672</v>
      </c>
      <c r="N260" s="383">
        <f t="shared" si="569"/>
        <v>4661</v>
      </c>
      <c r="O260" s="345">
        <f t="shared" si="564"/>
        <v>4661</v>
      </c>
      <c r="P260" s="383">
        <f t="shared" si="570"/>
        <v>4657</v>
      </c>
      <c r="Q260" s="345">
        <f t="shared" si="565"/>
        <v>4657</v>
      </c>
      <c r="R260" s="383">
        <f t="shared" si="571"/>
        <v>4653</v>
      </c>
      <c r="S260" s="345">
        <f t="shared" si="566"/>
        <v>4653</v>
      </c>
      <c r="T260" s="383">
        <f t="shared" si="572"/>
        <v>4648</v>
      </c>
      <c r="U260" s="345">
        <f t="shared" si="573"/>
        <v>4648</v>
      </c>
      <c r="V260" s="383">
        <f t="shared" si="574"/>
        <v>4645</v>
      </c>
      <c r="W260" s="345">
        <f t="shared" si="575"/>
        <v>4645</v>
      </c>
      <c r="X260" s="728"/>
      <c r="Y260" s="734"/>
      <c r="Z260" s="734"/>
      <c r="AA260" s="711"/>
      <c r="AB260" s="546">
        <v>969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 x14ac:dyDescent="0.2">
      <c r="A261" s="21"/>
      <c r="B261" s="774" t="s">
        <v>434</v>
      </c>
      <c r="C261" s="775"/>
      <c r="D261" s="775"/>
      <c r="E261" s="776"/>
      <c r="F261" s="346">
        <v>3990</v>
      </c>
      <c r="G261" s="346">
        <f>+F261*$X$1</f>
        <v>3990</v>
      </c>
      <c r="H261" s="105">
        <f t="shared" si="576"/>
        <v>4250</v>
      </c>
      <c r="I261" s="346">
        <f t="shared" si="577"/>
        <v>4250</v>
      </c>
      <c r="J261" s="93">
        <f t="shared" si="567"/>
        <v>4085</v>
      </c>
      <c r="K261" s="346">
        <f t="shared" si="562"/>
        <v>4085</v>
      </c>
      <c r="L261" s="600">
        <f t="shared" si="568"/>
        <v>4060</v>
      </c>
      <c r="M261" s="346">
        <f t="shared" si="563"/>
        <v>4060</v>
      </c>
      <c r="N261" s="600">
        <f t="shared" si="569"/>
        <v>4049</v>
      </c>
      <c r="O261" s="346">
        <f t="shared" si="564"/>
        <v>4049</v>
      </c>
      <c r="P261" s="600">
        <f t="shared" si="570"/>
        <v>4045</v>
      </c>
      <c r="Q261" s="346">
        <f t="shared" si="565"/>
        <v>4045</v>
      </c>
      <c r="R261" s="600">
        <f t="shared" si="571"/>
        <v>4041</v>
      </c>
      <c r="S261" s="346">
        <f t="shared" si="566"/>
        <v>4041</v>
      </c>
      <c r="T261" s="600">
        <f t="shared" si="572"/>
        <v>4036</v>
      </c>
      <c r="U261" s="346">
        <f t="shared" si="573"/>
        <v>4036</v>
      </c>
      <c r="V261" s="600">
        <f t="shared" si="574"/>
        <v>4033</v>
      </c>
      <c r="W261" s="346">
        <f t="shared" si="575"/>
        <v>4033</v>
      </c>
      <c r="X261" s="234"/>
      <c r="Y261" s="236"/>
      <c r="Z261" s="236"/>
      <c r="AA261" s="235"/>
      <c r="AB261" s="546" t="s">
        <v>540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 x14ac:dyDescent="0.2">
      <c r="A262" s="21"/>
      <c r="B262" s="719" t="s">
        <v>220</v>
      </c>
      <c r="C262" s="720"/>
      <c r="D262" s="720"/>
      <c r="E262" s="720"/>
      <c r="F262" s="345">
        <v>2037</v>
      </c>
      <c r="G262" s="345">
        <f t="shared" si="578"/>
        <v>2037</v>
      </c>
      <c r="H262" s="504">
        <f t="shared" si="576"/>
        <v>2297</v>
      </c>
      <c r="I262" s="345">
        <f t="shared" si="577"/>
        <v>2297</v>
      </c>
      <c r="J262" s="75">
        <f t="shared" si="567"/>
        <v>2132</v>
      </c>
      <c r="K262" s="345">
        <f t="shared" si="562"/>
        <v>2132</v>
      </c>
      <c r="L262" s="383">
        <f t="shared" si="568"/>
        <v>2107</v>
      </c>
      <c r="M262" s="345">
        <f t="shared" si="563"/>
        <v>2107</v>
      </c>
      <c r="N262" s="383">
        <f t="shared" si="569"/>
        <v>2096</v>
      </c>
      <c r="O262" s="345">
        <f t="shared" si="564"/>
        <v>2096</v>
      </c>
      <c r="P262" s="383">
        <f t="shared" si="570"/>
        <v>2092</v>
      </c>
      <c r="Q262" s="345">
        <f t="shared" si="565"/>
        <v>2092</v>
      </c>
      <c r="R262" s="383">
        <f t="shared" si="571"/>
        <v>2088</v>
      </c>
      <c r="S262" s="345">
        <f t="shared" si="566"/>
        <v>2088</v>
      </c>
      <c r="T262" s="383">
        <f t="shared" si="572"/>
        <v>2083</v>
      </c>
      <c r="U262" s="345">
        <f t="shared" si="573"/>
        <v>2083</v>
      </c>
      <c r="V262" s="383">
        <f t="shared" si="574"/>
        <v>2080</v>
      </c>
      <c r="W262" s="345">
        <f t="shared" si="575"/>
        <v>2080</v>
      </c>
      <c r="X262" s="728"/>
      <c r="Y262" s="734"/>
      <c r="Z262" s="734"/>
      <c r="AA262" s="711"/>
      <c r="AB262" s="546">
        <v>970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21"/>
      <c r="B263" s="712" t="s">
        <v>221</v>
      </c>
      <c r="C263" s="699"/>
      <c r="D263" s="699"/>
      <c r="E263" s="699"/>
      <c r="F263" s="346">
        <v>2116</v>
      </c>
      <c r="G263" s="346">
        <f t="shared" si="578"/>
        <v>2116</v>
      </c>
      <c r="H263" s="105">
        <f t="shared" si="576"/>
        <v>2376</v>
      </c>
      <c r="I263" s="346">
        <f t="shared" si="577"/>
        <v>2376</v>
      </c>
      <c r="J263" s="93">
        <f t="shared" si="567"/>
        <v>2211</v>
      </c>
      <c r="K263" s="346">
        <f t="shared" si="562"/>
        <v>2211</v>
      </c>
      <c r="L263" s="600">
        <f t="shared" si="568"/>
        <v>2186</v>
      </c>
      <c r="M263" s="346">
        <f t="shared" si="563"/>
        <v>2186</v>
      </c>
      <c r="N263" s="600">
        <f t="shared" si="569"/>
        <v>2175</v>
      </c>
      <c r="O263" s="346">
        <f t="shared" si="564"/>
        <v>2175</v>
      </c>
      <c r="P263" s="600">
        <f t="shared" si="570"/>
        <v>2171</v>
      </c>
      <c r="Q263" s="346">
        <f t="shared" si="565"/>
        <v>2171</v>
      </c>
      <c r="R263" s="600">
        <f t="shared" si="571"/>
        <v>2167</v>
      </c>
      <c r="S263" s="346">
        <f t="shared" si="566"/>
        <v>2167</v>
      </c>
      <c r="T263" s="600">
        <f t="shared" si="572"/>
        <v>2162</v>
      </c>
      <c r="U263" s="346">
        <f t="shared" si="573"/>
        <v>2162</v>
      </c>
      <c r="V263" s="600">
        <f t="shared" si="574"/>
        <v>2159</v>
      </c>
      <c r="W263" s="346">
        <f t="shared" si="575"/>
        <v>2159</v>
      </c>
      <c r="X263" s="728"/>
      <c r="Y263" s="734"/>
      <c r="Z263" s="734"/>
      <c r="AA263" s="711"/>
      <c r="AB263" s="546">
        <v>971</v>
      </c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 x14ac:dyDescent="0.2">
      <c r="A264" s="21"/>
      <c r="B264" s="714" t="s">
        <v>435</v>
      </c>
      <c r="C264" s="717"/>
      <c r="D264" s="717"/>
      <c r="E264" s="718"/>
      <c r="F264" s="345">
        <v>1980</v>
      </c>
      <c r="G264" s="345">
        <f t="shared" ref="G264" si="579">+F264*$X$1</f>
        <v>1980</v>
      </c>
      <c r="H264" s="504">
        <f t="shared" si="576"/>
        <v>2240</v>
      </c>
      <c r="I264" s="345">
        <f t="shared" si="577"/>
        <v>2240</v>
      </c>
      <c r="J264" s="75">
        <f t="shared" si="567"/>
        <v>2075</v>
      </c>
      <c r="K264" s="345">
        <f t="shared" si="562"/>
        <v>2075</v>
      </c>
      <c r="L264" s="383">
        <f t="shared" si="568"/>
        <v>2050</v>
      </c>
      <c r="M264" s="345">
        <f t="shared" si="563"/>
        <v>2050</v>
      </c>
      <c r="N264" s="383">
        <f t="shared" si="569"/>
        <v>2039</v>
      </c>
      <c r="O264" s="345">
        <f t="shared" si="564"/>
        <v>2039</v>
      </c>
      <c r="P264" s="383">
        <f t="shared" si="570"/>
        <v>2035</v>
      </c>
      <c r="Q264" s="345">
        <f t="shared" si="565"/>
        <v>2035</v>
      </c>
      <c r="R264" s="383">
        <f t="shared" si="571"/>
        <v>2031</v>
      </c>
      <c r="S264" s="345">
        <f t="shared" si="566"/>
        <v>2031</v>
      </c>
      <c r="T264" s="383">
        <f t="shared" si="572"/>
        <v>2026</v>
      </c>
      <c r="U264" s="345">
        <f t="shared" si="573"/>
        <v>2026</v>
      </c>
      <c r="V264" s="383">
        <f t="shared" si="574"/>
        <v>2023</v>
      </c>
      <c r="W264" s="345">
        <f t="shared" si="575"/>
        <v>2023</v>
      </c>
      <c r="X264" s="167"/>
      <c r="Y264" s="168"/>
      <c r="Z264" s="168"/>
      <c r="AA264" s="169"/>
      <c r="AB264" s="546">
        <v>972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21"/>
      <c r="B265" s="712" t="s">
        <v>222</v>
      </c>
      <c r="C265" s="699"/>
      <c r="D265" s="699"/>
      <c r="E265" s="699"/>
      <c r="F265" s="97"/>
      <c r="G265" s="579"/>
      <c r="H265" s="335"/>
      <c r="I265" s="335"/>
      <c r="J265" s="93"/>
      <c r="K265" s="97"/>
      <c r="L265" s="97"/>
      <c r="M265" s="97"/>
      <c r="N265" s="97"/>
      <c r="O265" s="600"/>
      <c r="P265" s="600"/>
      <c r="Q265" s="600"/>
      <c r="R265" s="600"/>
      <c r="S265" s="600"/>
      <c r="T265" s="600"/>
      <c r="U265" s="600"/>
      <c r="V265" s="600"/>
      <c r="W265" s="600"/>
      <c r="X265" s="721"/>
      <c r="Y265" s="722"/>
      <c r="Z265" s="722"/>
      <c r="AA265" s="723"/>
      <c r="AB265" s="208">
        <v>980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 x14ac:dyDescent="0.2">
      <c r="A266" s="21"/>
      <c r="B266" s="719" t="s">
        <v>223</v>
      </c>
      <c r="C266" s="762"/>
      <c r="D266" s="762"/>
      <c r="E266" s="762"/>
      <c r="F266" s="108"/>
      <c r="G266" s="383"/>
      <c r="H266" s="336"/>
      <c r="I266" s="336"/>
      <c r="J266" s="75"/>
      <c r="K266" s="339"/>
      <c r="L266" s="339"/>
      <c r="M266" s="339"/>
      <c r="N266" s="339"/>
      <c r="O266" s="383"/>
      <c r="P266" s="383"/>
      <c r="Q266" s="383"/>
      <c r="R266" s="383"/>
      <c r="S266" s="383"/>
      <c r="T266" s="383"/>
      <c r="U266" s="383"/>
      <c r="V266" s="383"/>
      <c r="W266" s="383"/>
      <c r="X266" s="721"/>
      <c r="Y266" s="722"/>
      <c r="Z266" s="722"/>
      <c r="AA266" s="723"/>
      <c r="AB266" s="208">
        <v>981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 x14ac:dyDescent="0.2">
      <c r="A267" s="21"/>
      <c r="B267" s="774" t="s">
        <v>557</v>
      </c>
      <c r="C267" s="917"/>
      <c r="D267" s="917"/>
      <c r="E267" s="918"/>
      <c r="F267" s="107"/>
      <c r="G267" s="579"/>
      <c r="H267" s="335"/>
      <c r="I267" s="335"/>
      <c r="J267" s="93"/>
      <c r="K267" s="97"/>
      <c r="L267" s="97"/>
      <c r="M267" s="97"/>
      <c r="N267" s="97"/>
      <c r="O267" s="600"/>
      <c r="P267" s="600"/>
      <c r="Q267" s="600"/>
      <c r="R267" s="600"/>
      <c r="S267" s="600"/>
      <c r="T267" s="600"/>
      <c r="U267" s="600"/>
      <c r="V267" s="600"/>
      <c r="W267" s="600"/>
      <c r="X267" s="721"/>
      <c r="Y267" s="722"/>
      <c r="Z267" s="722"/>
      <c r="AA267" s="723"/>
      <c r="AB267" s="208">
        <v>982</v>
      </c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21"/>
      <c r="B268" s="714" t="s">
        <v>599</v>
      </c>
      <c r="C268" s="760"/>
      <c r="D268" s="760"/>
      <c r="E268" s="761"/>
      <c r="F268" s="108"/>
      <c r="G268" s="383"/>
      <c r="H268" s="341"/>
      <c r="I268" s="336"/>
      <c r="J268" s="75"/>
      <c r="K268" s="339"/>
      <c r="L268" s="339"/>
      <c r="M268" s="339"/>
      <c r="N268" s="339"/>
      <c r="O268" s="383"/>
      <c r="P268" s="383"/>
      <c r="Q268" s="383"/>
      <c r="R268" s="383"/>
      <c r="S268" s="383"/>
      <c r="T268" s="383"/>
      <c r="U268" s="383"/>
      <c r="V268" s="383"/>
      <c r="W268" s="383"/>
      <c r="X268" s="721"/>
      <c r="Y268" s="722"/>
      <c r="Z268" s="722"/>
      <c r="AA268" s="723"/>
      <c r="AB268" s="208">
        <v>983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21"/>
      <c r="B269" s="774" t="s">
        <v>224</v>
      </c>
      <c r="C269" s="917"/>
      <c r="D269" s="917"/>
      <c r="E269" s="918"/>
      <c r="F269" s="97"/>
      <c r="G269" s="579"/>
      <c r="H269" s="335"/>
      <c r="I269" s="335"/>
      <c r="J269" s="93"/>
      <c r="K269" s="97"/>
      <c r="L269" s="97"/>
      <c r="M269" s="97"/>
      <c r="N269" s="97"/>
      <c r="O269" s="600"/>
      <c r="P269" s="600"/>
      <c r="Q269" s="600"/>
      <c r="R269" s="600"/>
      <c r="S269" s="600"/>
      <c r="T269" s="600"/>
      <c r="U269" s="600"/>
      <c r="V269" s="600"/>
      <c r="W269" s="600"/>
      <c r="X269" s="721"/>
      <c r="Y269" s="722"/>
      <c r="Z269" s="722"/>
      <c r="AA269" s="723"/>
      <c r="AB269" s="208">
        <v>984</v>
      </c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 x14ac:dyDescent="0.2">
      <c r="A270" s="21"/>
      <c r="B270" s="714" t="s">
        <v>225</v>
      </c>
      <c r="C270" s="760"/>
      <c r="D270" s="760"/>
      <c r="E270" s="761"/>
      <c r="F270" s="375"/>
      <c r="G270" s="383"/>
      <c r="H270" s="341"/>
      <c r="I270" s="336"/>
      <c r="J270" s="75"/>
      <c r="K270" s="339"/>
      <c r="L270" s="339"/>
      <c r="M270" s="339"/>
      <c r="N270" s="339"/>
      <c r="O270" s="383"/>
      <c r="P270" s="383"/>
      <c r="Q270" s="383"/>
      <c r="R270" s="383"/>
      <c r="S270" s="383"/>
      <c r="T270" s="383"/>
      <c r="U270" s="383"/>
      <c r="V270" s="383"/>
      <c r="W270" s="383"/>
      <c r="X270" s="721"/>
      <c r="Y270" s="722"/>
      <c r="Z270" s="722"/>
      <c r="AA270" s="723"/>
      <c r="AB270" s="208">
        <v>985</v>
      </c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 x14ac:dyDescent="0.2">
      <c r="A271" s="21"/>
      <c r="B271" s="712" t="s">
        <v>440</v>
      </c>
      <c r="C271" s="699"/>
      <c r="D271" s="699"/>
      <c r="E271" s="699"/>
      <c r="F271" s="346">
        <v>335</v>
      </c>
      <c r="G271" s="346">
        <f>+F271*$X$1</f>
        <v>335</v>
      </c>
      <c r="H271" s="335"/>
      <c r="I271" s="335"/>
      <c r="J271" s="600">
        <f>F271+120</f>
        <v>455</v>
      </c>
      <c r="K271" s="346">
        <f t="shared" ref="K271" si="580">+J271*$X$1</f>
        <v>455</v>
      </c>
      <c r="L271" s="600">
        <f>F271+74</f>
        <v>409</v>
      </c>
      <c r="M271" s="346">
        <f t="shared" ref="M271" si="581">+L271*$X$1</f>
        <v>409</v>
      </c>
      <c r="N271" s="600">
        <f>F271+46</f>
        <v>381</v>
      </c>
      <c r="O271" s="346">
        <f t="shared" ref="O271" si="582">+N271*$X$1</f>
        <v>381</v>
      </c>
      <c r="P271" s="600">
        <f>F271+42</f>
        <v>377</v>
      </c>
      <c r="Q271" s="346">
        <f t="shared" ref="Q271" si="583">+P271*$X$1</f>
        <v>377</v>
      </c>
      <c r="R271" s="600">
        <f>F271+35</f>
        <v>370</v>
      </c>
      <c r="S271" s="346">
        <f t="shared" ref="S271" si="584">+R271*$X$1</f>
        <v>370</v>
      </c>
      <c r="T271" s="107">
        <f>F271+29</f>
        <v>364</v>
      </c>
      <c r="U271" s="371">
        <f t="shared" ref="U271" si="585">+T271*$X$1</f>
        <v>364</v>
      </c>
      <c r="V271" s="107">
        <f>F271+24</f>
        <v>359</v>
      </c>
      <c r="W271" s="371">
        <f t="shared" ref="W271" si="586">+V271*$X$1</f>
        <v>359</v>
      </c>
      <c r="X271" s="162"/>
      <c r="Y271" s="162"/>
      <c r="Z271" s="162"/>
      <c r="AA271" s="162"/>
      <c r="AB271" s="208">
        <v>998</v>
      </c>
      <c r="AC271" s="79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 x14ac:dyDescent="0.2">
      <c r="A272" s="21"/>
      <c r="B272" s="714" t="s">
        <v>226</v>
      </c>
      <c r="C272" s="763"/>
      <c r="D272" s="763"/>
      <c r="E272" s="764"/>
      <c r="F272" s="345">
        <v>1100</v>
      </c>
      <c r="G272" s="372">
        <f t="shared" ref="G272" si="587">+F272*$X$1</f>
        <v>1100</v>
      </c>
      <c r="H272" s="803" t="s">
        <v>464</v>
      </c>
      <c r="I272" s="804"/>
      <c r="J272" s="804"/>
      <c r="K272" s="804"/>
      <c r="L272" s="804"/>
      <c r="M272" s="805"/>
      <c r="N272" s="504">
        <f>F272+59</f>
        <v>1159</v>
      </c>
      <c r="O272" s="345">
        <f t="shared" ref="O272:O276" si="588">+N272*$X$1</f>
        <v>1159</v>
      </c>
      <c r="P272" s="383">
        <f>F272+55</f>
        <v>1155</v>
      </c>
      <c r="Q272" s="345">
        <f t="shared" ref="Q272:Q276" si="589">+P272*$X$1</f>
        <v>1155</v>
      </c>
      <c r="R272" s="383">
        <f>F272+51</f>
        <v>1151</v>
      </c>
      <c r="S272" s="345">
        <f t="shared" ref="S272:S276" si="590">+R272*$X$1</f>
        <v>1151</v>
      </c>
      <c r="T272" s="383">
        <f>F272+46</f>
        <v>1146</v>
      </c>
      <c r="U272" s="345">
        <f t="shared" ref="U272:U276" si="591">+T272*$X$1</f>
        <v>1146</v>
      </c>
      <c r="V272" s="383">
        <f>F272+43</f>
        <v>1143</v>
      </c>
      <c r="W272" s="345">
        <f t="shared" ref="W272:W276" si="592">+V272*$X$1</f>
        <v>1143</v>
      </c>
      <c r="X272" s="728"/>
      <c r="Y272" s="710"/>
      <c r="Z272" s="710"/>
      <c r="AA272" s="711"/>
      <c r="AB272" s="208">
        <v>1001</v>
      </c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 x14ac:dyDescent="0.2">
      <c r="A273" s="21"/>
      <c r="B273" s="774" t="s">
        <v>227</v>
      </c>
      <c r="C273" s="920"/>
      <c r="D273" s="920"/>
      <c r="E273" s="921"/>
      <c r="F273" s="388">
        <v>1100</v>
      </c>
      <c r="G273" s="346">
        <f t="shared" ref="G273:G281" si="593">+F273*$X$1</f>
        <v>1100</v>
      </c>
      <c r="H273" s="806"/>
      <c r="I273" s="807"/>
      <c r="J273" s="807"/>
      <c r="K273" s="804"/>
      <c r="L273" s="807"/>
      <c r="M273" s="805"/>
      <c r="N273" s="105">
        <f>F273+59</f>
        <v>1159</v>
      </c>
      <c r="O273" s="346">
        <f t="shared" si="588"/>
        <v>1159</v>
      </c>
      <c r="P273" s="600">
        <f>F273+55</f>
        <v>1155</v>
      </c>
      <c r="Q273" s="346">
        <f t="shared" si="589"/>
        <v>1155</v>
      </c>
      <c r="R273" s="600">
        <f>F273+51</f>
        <v>1151</v>
      </c>
      <c r="S273" s="346">
        <f t="shared" si="590"/>
        <v>1151</v>
      </c>
      <c r="T273" s="600">
        <f>F273+46</f>
        <v>1146</v>
      </c>
      <c r="U273" s="346">
        <f t="shared" si="591"/>
        <v>1146</v>
      </c>
      <c r="V273" s="600">
        <f>F273+43</f>
        <v>1143</v>
      </c>
      <c r="W273" s="346">
        <f t="shared" si="592"/>
        <v>1143</v>
      </c>
      <c r="X273" s="728"/>
      <c r="Y273" s="710"/>
      <c r="Z273" s="710"/>
      <c r="AA273" s="711"/>
      <c r="AB273" s="208">
        <v>1002</v>
      </c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s="1" customFormat="1" ht="12.6" customHeight="1" x14ac:dyDescent="0.2">
      <c r="A274" s="21"/>
      <c r="B274" s="714" t="s">
        <v>756</v>
      </c>
      <c r="C274" s="763"/>
      <c r="D274" s="763"/>
      <c r="E274" s="764"/>
      <c r="F274" s="345">
        <v>1100</v>
      </c>
      <c r="G274" s="345">
        <f t="shared" si="593"/>
        <v>1100</v>
      </c>
      <c r="H274" s="806"/>
      <c r="I274" s="807"/>
      <c r="J274" s="807"/>
      <c r="K274" s="804"/>
      <c r="L274" s="807"/>
      <c r="M274" s="805"/>
      <c r="N274" s="504">
        <f>F274+59</f>
        <v>1159</v>
      </c>
      <c r="O274" s="345">
        <f t="shared" si="588"/>
        <v>1159</v>
      </c>
      <c r="P274" s="383">
        <f>F274+55</f>
        <v>1155</v>
      </c>
      <c r="Q274" s="345">
        <f t="shared" si="589"/>
        <v>1155</v>
      </c>
      <c r="R274" s="383">
        <f>F274+51</f>
        <v>1151</v>
      </c>
      <c r="S274" s="345">
        <f t="shared" si="590"/>
        <v>1151</v>
      </c>
      <c r="T274" s="383">
        <f>F274+46</f>
        <v>1146</v>
      </c>
      <c r="U274" s="345">
        <f t="shared" si="591"/>
        <v>1146</v>
      </c>
      <c r="V274" s="383">
        <f>F274+43</f>
        <v>1143</v>
      </c>
      <c r="W274" s="345">
        <f t="shared" si="592"/>
        <v>1143</v>
      </c>
      <c r="X274" s="728"/>
      <c r="Y274" s="710"/>
      <c r="Z274" s="710"/>
      <c r="AA274" s="711"/>
      <c r="AB274" s="208"/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s="1" customFormat="1" ht="12.6" customHeight="1" x14ac:dyDescent="0.2">
      <c r="A275" s="21"/>
      <c r="B275" s="712" t="s">
        <v>829</v>
      </c>
      <c r="C275" s="699"/>
      <c r="D275" s="699"/>
      <c r="E275" s="699"/>
      <c r="F275" s="346">
        <v>1300</v>
      </c>
      <c r="G275" s="346">
        <f t="shared" si="593"/>
        <v>1300</v>
      </c>
      <c r="H275" s="806"/>
      <c r="I275" s="807"/>
      <c r="J275" s="807"/>
      <c r="K275" s="804"/>
      <c r="L275" s="807"/>
      <c r="M275" s="805"/>
      <c r="N275" s="105">
        <f>F275+59</f>
        <v>1359</v>
      </c>
      <c r="O275" s="346">
        <f t="shared" si="588"/>
        <v>1359</v>
      </c>
      <c r="P275" s="600">
        <f>F275+55</f>
        <v>1355</v>
      </c>
      <c r="Q275" s="346">
        <f t="shared" si="589"/>
        <v>1355</v>
      </c>
      <c r="R275" s="600">
        <f>F275+51</f>
        <v>1351</v>
      </c>
      <c r="S275" s="346">
        <f t="shared" si="590"/>
        <v>1351</v>
      </c>
      <c r="T275" s="600">
        <f>F275+46</f>
        <v>1346</v>
      </c>
      <c r="U275" s="346">
        <f t="shared" si="591"/>
        <v>1346</v>
      </c>
      <c r="V275" s="600">
        <f>F275+43</f>
        <v>1343</v>
      </c>
      <c r="W275" s="346">
        <f t="shared" si="592"/>
        <v>1343</v>
      </c>
      <c r="X275" s="728"/>
      <c r="Y275" s="734"/>
      <c r="Z275" s="734"/>
      <c r="AA275" s="711"/>
      <c r="AB275" s="208">
        <v>1004</v>
      </c>
      <c r="AC275" s="4"/>
      <c r="AD275" s="4"/>
      <c r="AE275" s="4"/>
      <c r="AF275" s="4"/>
      <c r="AG275" s="4"/>
      <c r="AH275" s="4"/>
      <c r="AI275" s="4"/>
      <c r="AJ275" s="4"/>
      <c r="AK275" s="4"/>
      <c r="AL275" s="4"/>
    </row>
    <row r="276" spans="1:38" s="1" customFormat="1" ht="12.6" customHeight="1" x14ac:dyDescent="0.2">
      <c r="A276" s="21"/>
      <c r="B276" s="714" t="s">
        <v>828</v>
      </c>
      <c r="C276" s="763"/>
      <c r="D276" s="763"/>
      <c r="E276" s="764"/>
      <c r="F276" s="345">
        <v>1300</v>
      </c>
      <c r="G276" s="345">
        <f t="shared" si="593"/>
        <v>1300</v>
      </c>
      <c r="H276" s="806"/>
      <c r="I276" s="807"/>
      <c r="J276" s="807"/>
      <c r="K276" s="804"/>
      <c r="L276" s="807"/>
      <c r="M276" s="805"/>
      <c r="N276" s="504">
        <f>F276+59</f>
        <v>1359</v>
      </c>
      <c r="O276" s="345">
        <f t="shared" si="588"/>
        <v>1359</v>
      </c>
      <c r="P276" s="383">
        <f>F276+55</f>
        <v>1355</v>
      </c>
      <c r="Q276" s="345">
        <f t="shared" si="589"/>
        <v>1355</v>
      </c>
      <c r="R276" s="383">
        <f>F276+51</f>
        <v>1351</v>
      </c>
      <c r="S276" s="345">
        <f t="shared" si="590"/>
        <v>1351</v>
      </c>
      <c r="T276" s="383">
        <f>F276+46</f>
        <v>1346</v>
      </c>
      <c r="U276" s="345">
        <f t="shared" si="591"/>
        <v>1346</v>
      </c>
      <c r="V276" s="383">
        <f>F276+43</f>
        <v>1343</v>
      </c>
      <c r="W276" s="345">
        <f t="shared" si="592"/>
        <v>1343</v>
      </c>
      <c r="X276" s="728"/>
      <c r="Y276" s="710"/>
      <c r="Z276" s="710"/>
      <c r="AA276" s="711"/>
      <c r="AB276" s="208">
        <v>1005</v>
      </c>
      <c r="AC276" s="4"/>
      <c r="AD276" s="4"/>
      <c r="AE276" s="4"/>
      <c r="AF276" s="4"/>
      <c r="AG276" s="4"/>
      <c r="AH276" s="138"/>
      <c r="AI276" s="4"/>
      <c r="AJ276" s="4"/>
      <c r="AK276" s="4"/>
      <c r="AL276" s="4"/>
    </row>
    <row r="277" spans="1:38" s="1" customFormat="1" ht="12.6" customHeight="1" x14ac:dyDescent="0.2">
      <c r="A277" s="21"/>
      <c r="B277" s="774" t="s">
        <v>228</v>
      </c>
      <c r="C277" s="775"/>
      <c r="D277" s="775"/>
      <c r="E277" s="776"/>
      <c r="F277" s="346"/>
      <c r="G277" s="346"/>
      <c r="H277" s="808"/>
      <c r="I277" s="809"/>
      <c r="J277" s="809"/>
      <c r="K277" s="809"/>
      <c r="L277" s="809"/>
      <c r="M277" s="810"/>
      <c r="N277" s="477"/>
      <c r="O277" s="346"/>
      <c r="P277" s="477"/>
      <c r="Q277" s="346"/>
      <c r="R277" s="477"/>
      <c r="S277" s="346"/>
      <c r="T277" s="477"/>
      <c r="U277" s="346"/>
      <c r="V277" s="477"/>
      <c r="W277" s="346"/>
      <c r="X277" s="728"/>
      <c r="Y277" s="710"/>
      <c r="Z277" s="710"/>
      <c r="AA277" s="711"/>
      <c r="AB277" s="208">
        <v>1006</v>
      </c>
      <c r="AC277" s="4"/>
      <c r="AD277" s="4"/>
      <c r="AE277" s="4"/>
      <c r="AF277" s="4"/>
      <c r="AG277" s="4"/>
      <c r="AH277" s="138"/>
      <c r="AI277" s="4"/>
      <c r="AJ277" s="4"/>
      <c r="AK277" s="4"/>
      <c r="AL277" s="4"/>
    </row>
    <row r="278" spans="1:38" s="1" customFormat="1" ht="12.6" customHeight="1" x14ac:dyDescent="0.2">
      <c r="A278" s="21"/>
      <c r="B278" s="714" t="s">
        <v>827</v>
      </c>
      <c r="C278" s="717"/>
      <c r="D278" s="717"/>
      <c r="E278" s="718"/>
      <c r="F278" s="489">
        <f>3.528*X2</f>
        <v>3245.76</v>
      </c>
      <c r="G278" s="347">
        <f t="shared" ref="G278" si="594">+F278*$X$1</f>
        <v>3245.76</v>
      </c>
      <c r="H278" s="75">
        <f>F278+300</f>
        <v>3545.76</v>
      </c>
      <c r="I278" s="345">
        <f t="shared" ref="I278:I279" si="595">+H278*$X$1</f>
        <v>3545.76</v>
      </c>
      <c r="J278" s="383">
        <f>F278+120</f>
        <v>3365.76</v>
      </c>
      <c r="K278" s="345">
        <f>+J278*$X$1</f>
        <v>3365.76</v>
      </c>
      <c r="L278" s="383">
        <f>F278+90</f>
        <v>3335.76</v>
      </c>
      <c r="M278" s="345">
        <f>+L278*$X$1</f>
        <v>3335.76</v>
      </c>
      <c r="N278" s="75">
        <f>F278+77</f>
        <v>3322.76</v>
      </c>
      <c r="O278" s="345">
        <f t="shared" ref="O278:O280" si="596">+N278*$X$1</f>
        <v>3322.76</v>
      </c>
      <c r="P278" s="75">
        <f>F278+68</f>
        <v>3313.76</v>
      </c>
      <c r="Q278" s="345">
        <f t="shared" ref="Q278:Q280" si="597">+P278*$X$1</f>
        <v>3313.76</v>
      </c>
      <c r="R278" s="383">
        <f>F278+62</f>
        <v>3307.76</v>
      </c>
      <c r="S278" s="345">
        <f t="shared" ref="S278:S280" si="598">+R278*$X$1</f>
        <v>3307.76</v>
      </c>
      <c r="T278" s="383">
        <f>F278+55</f>
        <v>3300.76</v>
      </c>
      <c r="U278" s="345">
        <f t="shared" ref="U278:U280" si="599">+T278*$X$1</f>
        <v>3300.76</v>
      </c>
      <c r="V278" s="383">
        <f>F278+50</f>
        <v>3295.76</v>
      </c>
      <c r="W278" s="345">
        <f t="shared" ref="W278:W281" si="600">+V278*$X$1</f>
        <v>3295.76</v>
      </c>
      <c r="X278" s="599"/>
      <c r="Y278" s="597"/>
      <c r="Z278" s="597"/>
      <c r="AA278" s="598"/>
      <c r="AB278" s="208">
        <v>1027</v>
      </c>
      <c r="AC278" s="4"/>
      <c r="AD278" s="4"/>
      <c r="AE278" s="4"/>
      <c r="AF278" s="4"/>
      <c r="AG278" s="4"/>
      <c r="AH278" s="138"/>
      <c r="AI278" s="4"/>
      <c r="AJ278" s="4"/>
      <c r="AK278" s="4"/>
      <c r="AL278" s="4"/>
    </row>
    <row r="279" spans="1:38" s="1" customFormat="1" ht="12.6" customHeight="1" x14ac:dyDescent="0.2">
      <c r="A279" s="21"/>
      <c r="B279" s="774" t="s">
        <v>705</v>
      </c>
      <c r="C279" s="775"/>
      <c r="D279" s="775"/>
      <c r="E279" s="776"/>
      <c r="F279" s="488">
        <f>15.248*X2</f>
        <v>14028.16</v>
      </c>
      <c r="G279" s="348">
        <f t="shared" si="593"/>
        <v>14028.16</v>
      </c>
      <c r="H279" s="93">
        <f>F279+280</f>
        <v>14308.16</v>
      </c>
      <c r="I279" s="346">
        <f t="shared" si="595"/>
        <v>14308.16</v>
      </c>
      <c r="J279" s="600">
        <f>F279+110</f>
        <v>14138.16</v>
      </c>
      <c r="K279" s="346">
        <f t="shared" ref="K279" si="601">+J279*$X$1</f>
        <v>14138.16</v>
      </c>
      <c r="L279" s="600">
        <f>F279+80</f>
        <v>14108.16</v>
      </c>
      <c r="M279" s="346">
        <f t="shared" ref="M279" si="602">+L279*$X$1</f>
        <v>14108.16</v>
      </c>
      <c r="N279" s="600">
        <f>F279+67</f>
        <v>14095.16</v>
      </c>
      <c r="O279" s="346">
        <f t="shared" si="596"/>
        <v>14095.16</v>
      </c>
      <c r="P279" s="600">
        <f>F279+62</f>
        <v>14090.16</v>
      </c>
      <c r="Q279" s="346">
        <f t="shared" si="597"/>
        <v>14090.16</v>
      </c>
      <c r="R279" s="600">
        <f>F279+58</f>
        <v>14086.16</v>
      </c>
      <c r="S279" s="346">
        <f t="shared" si="598"/>
        <v>14086.16</v>
      </c>
      <c r="T279" s="600">
        <f>F279+53</f>
        <v>14081.16</v>
      </c>
      <c r="U279" s="346">
        <f t="shared" si="599"/>
        <v>14081.16</v>
      </c>
      <c r="V279" s="600">
        <f>F279+47</f>
        <v>14075.16</v>
      </c>
      <c r="W279" s="346">
        <f t="shared" si="600"/>
        <v>14075.16</v>
      </c>
      <c r="X279" s="407"/>
      <c r="Y279" s="408"/>
      <c r="Z279" s="408"/>
      <c r="AA279" s="409"/>
      <c r="AB279" s="208">
        <v>1028</v>
      </c>
      <c r="AC279" s="4"/>
      <c r="AD279" s="4"/>
      <c r="AE279" s="4"/>
      <c r="AF279" s="4"/>
      <c r="AG279" s="4"/>
      <c r="AH279" s="138"/>
      <c r="AI279" s="4"/>
      <c r="AJ279" s="4"/>
      <c r="AK279" s="4"/>
      <c r="AL279" s="4"/>
    </row>
    <row r="280" spans="1:38" s="1" customFormat="1" ht="12.6" customHeight="1" x14ac:dyDescent="0.2">
      <c r="A280" s="21"/>
      <c r="B280" s="714" t="s">
        <v>702</v>
      </c>
      <c r="C280" s="717"/>
      <c r="D280" s="717"/>
      <c r="E280" s="718"/>
      <c r="F280" s="401">
        <v>3498</v>
      </c>
      <c r="G280" s="345">
        <f t="shared" ref="G280" si="603">+F280*$X$1</f>
        <v>3498</v>
      </c>
      <c r="H280" s="75"/>
      <c r="I280" s="345"/>
      <c r="J280" s="383"/>
      <c r="K280" s="345"/>
      <c r="L280" s="383">
        <f>F280+90</f>
        <v>3588</v>
      </c>
      <c r="M280" s="345">
        <f>+L280*$X$1</f>
        <v>3588</v>
      </c>
      <c r="N280" s="75">
        <f>F280+77</f>
        <v>3575</v>
      </c>
      <c r="O280" s="345">
        <f t="shared" si="596"/>
        <v>3575</v>
      </c>
      <c r="P280" s="75">
        <f>F280+68</f>
        <v>3566</v>
      </c>
      <c r="Q280" s="345">
        <f t="shared" si="597"/>
        <v>3566</v>
      </c>
      <c r="R280" s="383">
        <f>F280+62</f>
        <v>3560</v>
      </c>
      <c r="S280" s="345">
        <f t="shared" si="598"/>
        <v>3560</v>
      </c>
      <c r="T280" s="383">
        <f>F280+55</f>
        <v>3553</v>
      </c>
      <c r="U280" s="345">
        <f t="shared" si="599"/>
        <v>3553</v>
      </c>
      <c r="V280" s="383">
        <f>F280+50</f>
        <v>3548</v>
      </c>
      <c r="W280" s="345">
        <f t="shared" si="600"/>
        <v>3548</v>
      </c>
      <c r="X280" s="473"/>
      <c r="Y280" s="474"/>
      <c r="Z280" s="474"/>
      <c r="AA280" s="475"/>
      <c r="AB280" s="208">
        <v>1029</v>
      </c>
      <c r="AC280" s="4"/>
      <c r="AD280" s="4"/>
      <c r="AE280" s="4"/>
      <c r="AF280" s="4"/>
      <c r="AG280" s="4"/>
      <c r="AH280" s="138"/>
      <c r="AI280" s="4"/>
      <c r="AJ280" s="4"/>
      <c r="AK280" s="4"/>
      <c r="AL280" s="4"/>
    </row>
    <row r="281" spans="1:38" s="1" customFormat="1" ht="12.6" customHeight="1" x14ac:dyDescent="0.2">
      <c r="A281" s="21"/>
      <c r="B281" s="774" t="s">
        <v>703</v>
      </c>
      <c r="C281" s="775"/>
      <c r="D281" s="775"/>
      <c r="E281" s="776"/>
      <c r="F281" s="400">
        <v>3498</v>
      </c>
      <c r="G281" s="346">
        <f t="shared" si="593"/>
        <v>3498</v>
      </c>
      <c r="H281" s="93"/>
      <c r="I281" s="346"/>
      <c r="J281" s="600"/>
      <c r="K281" s="346"/>
      <c r="L281" s="600">
        <f>F281+90</f>
        <v>3588</v>
      </c>
      <c r="M281" s="346">
        <f>+L281*$X$1</f>
        <v>3588</v>
      </c>
      <c r="N281" s="93">
        <f>F281+77</f>
        <v>3575</v>
      </c>
      <c r="O281" s="346">
        <f t="shared" ref="O281" si="604">+N281*$X$1</f>
        <v>3575</v>
      </c>
      <c r="P281" s="93">
        <f>F281+68</f>
        <v>3566</v>
      </c>
      <c r="Q281" s="346">
        <f t="shared" ref="Q281" si="605">+P281*$X$1</f>
        <v>3566</v>
      </c>
      <c r="R281" s="600">
        <f>F281+62</f>
        <v>3560</v>
      </c>
      <c r="S281" s="346">
        <f t="shared" ref="S281" si="606">+R281*$X$1</f>
        <v>3560</v>
      </c>
      <c r="T281" s="600">
        <f>F281+55</f>
        <v>3553</v>
      </c>
      <c r="U281" s="346">
        <f t="shared" ref="U281" si="607">+T281*$X$1</f>
        <v>3553</v>
      </c>
      <c r="V281" s="600">
        <f>F281+50</f>
        <v>3548</v>
      </c>
      <c r="W281" s="346">
        <f t="shared" si="600"/>
        <v>3548</v>
      </c>
      <c r="X281" s="395"/>
      <c r="Y281" s="393"/>
      <c r="Z281" s="393"/>
      <c r="AA281" s="394"/>
      <c r="AB281" s="208">
        <v>1030</v>
      </c>
      <c r="AC281" s="4"/>
      <c r="AD281" s="4"/>
      <c r="AE281" s="4"/>
      <c r="AF281" s="4"/>
      <c r="AG281" s="4"/>
      <c r="AH281" s="138"/>
      <c r="AI281" s="4"/>
      <c r="AJ281" s="4"/>
      <c r="AK281" s="4"/>
      <c r="AL281" s="4"/>
    </row>
    <row r="282" spans="1:38" s="1" customFormat="1" ht="12.6" customHeight="1" x14ac:dyDescent="0.2">
      <c r="A282" s="21"/>
      <c r="B282" s="714" t="s">
        <v>704</v>
      </c>
      <c r="C282" s="717"/>
      <c r="D282" s="717"/>
      <c r="E282" s="718"/>
      <c r="F282" s="401">
        <v>3498</v>
      </c>
      <c r="G282" s="345">
        <f t="shared" ref="G282" si="608">+F282*$X$1</f>
        <v>3498</v>
      </c>
      <c r="H282" s="75"/>
      <c r="I282" s="345"/>
      <c r="J282" s="383"/>
      <c r="K282" s="345"/>
      <c r="L282" s="383">
        <f>F282+90</f>
        <v>3588</v>
      </c>
      <c r="M282" s="345">
        <f>+L282*$X$1</f>
        <v>3588</v>
      </c>
      <c r="N282" s="75">
        <f>F282+77</f>
        <v>3575</v>
      </c>
      <c r="O282" s="345">
        <f t="shared" ref="O282:O285" si="609">+N282*$X$1</f>
        <v>3575</v>
      </c>
      <c r="P282" s="75">
        <f>F282+68</f>
        <v>3566</v>
      </c>
      <c r="Q282" s="345">
        <f t="shared" ref="Q282:Q285" si="610">+P282*$X$1</f>
        <v>3566</v>
      </c>
      <c r="R282" s="383">
        <f>F282+62</f>
        <v>3560</v>
      </c>
      <c r="S282" s="345">
        <f t="shared" ref="S282:S285" si="611">+R282*$X$1</f>
        <v>3560</v>
      </c>
      <c r="T282" s="383">
        <f>F282+55</f>
        <v>3553</v>
      </c>
      <c r="U282" s="345">
        <f t="shared" ref="U282:U285" si="612">+T282*$X$1</f>
        <v>3553</v>
      </c>
      <c r="V282" s="383">
        <f>F282+50</f>
        <v>3548</v>
      </c>
      <c r="W282" s="345">
        <f t="shared" ref="W282:W285" si="613">+V282*$X$1</f>
        <v>3548</v>
      </c>
      <c r="X282" s="402"/>
      <c r="Y282" s="403"/>
      <c r="Z282" s="403"/>
      <c r="AA282" s="404"/>
      <c r="AB282" s="208">
        <v>1031</v>
      </c>
      <c r="AC282" s="4"/>
      <c r="AD282" s="4"/>
      <c r="AE282" s="4"/>
      <c r="AF282" s="4"/>
      <c r="AG282" s="4"/>
      <c r="AH282" s="138"/>
      <c r="AI282" s="4"/>
      <c r="AJ282" s="4"/>
      <c r="AK282" s="4"/>
      <c r="AL282" s="4"/>
    </row>
    <row r="283" spans="1:38" s="1" customFormat="1" ht="12.6" customHeight="1" x14ac:dyDescent="0.2">
      <c r="A283" s="21"/>
      <c r="B283" s="774" t="s">
        <v>907</v>
      </c>
      <c r="C283" s="775"/>
      <c r="D283" s="775"/>
      <c r="E283" s="776"/>
      <c r="F283" s="488"/>
      <c r="G283" s="348"/>
      <c r="H283" s="93"/>
      <c r="I283" s="346"/>
      <c r="J283" s="671"/>
      <c r="K283" s="346"/>
      <c r="L283" s="671"/>
      <c r="M283" s="346"/>
      <c r="N283" s="671"/>
      <c r="O283" s="346"/>
      <c r="P283" s="671"/>
      <c r="Q283" s="346"/>
      <c r="R283" s="671"/>
      <c r="S283" s="346"/>
      <c r="T283" s="671"/>
      <c r="U283" s="346"/>
      <c r="V283" s="671"/>
      <c r="W283" s="346"/>
      <c r="X283" s="670"/>
      <c r="Y283" s="668"/>
      <c r="Z283" s="668"/>
      <c r="AA283" s="669"/>
      <c r="AB283" s="674">
        <v>1032</v>
      </c>
      <c r="AC283" s="4"/>
      <c r="AD283" s="4"/>
      <c r="AE283" s="4"/>
      <c r="AF283" s="4"/>
      <c r="AG283" s="4"/>
      <c r="AH283" s="675"/>
      <c r="AI283" s="4"/>
      <c r="AJ283" s="4"/>
      <c r="AK283" s="4"/>
      <c r="AL283" s="4"/>
    </row>
    <row r="284" spans="1:38" s="1" customFormat="1" ht="12.6" customHeight="1" x14ac:dyDescent="0.2">
      <c r="A284" s="21"/>
      <c r="B284" s="714" t="s">
        <v>571</v>
      </c>
      <c r="C284" s="717"/>
      <c r="D284" s="717"/>
      <c r="E284" s="718"/>
      <c r="F284" s="489">
        <f>6.33*X2</f>
        <v>5823.6</v>
      </c>
      <c r="G284" s="347">
        <f t="shared" ref="G284" si="614">+F284*$X$1</f>
        <v>5823.6</v>
      </c>
      <c r="H284" s="75">
        <f>F284+280</f>
        <v>6103.6</v>
      </c>
      <c r="I284" s="345">
        <f t="shared" ref="I284:I285" si="615">+H284*$X$1</f>
        <v>6103.6</v>
      </c>
      <c r="J284" s="383">
        <f>F284+110</f>
        <v>5933.6</v>
      </c>
      <c r="K284" s="345">
        <f t="shared" ref="K284:K285" si="616">+J284*$X$1</f>
        <v>5933.6</v>
      </c>
      <c r="L284" s="383">
        <f>F284+80</f>
        <v>5903.6</v>
      </c>
      <c r="M284" s="345">
        <f t="shared" ref="M284:M285" si="617">+L284*$X$1</f>
        <v>5903.6</v>
      </c>
      <c r="N284" s="383">
        <f>F284+67</f>
        <v>5890.6</v>
      </c>
      <c r="O284" s="345">
        <f t="shared" si="609"/>
        <v>5890.6</v>
      </c>
      <c r="P284" s="383">
        <f>F284+62</f>
        <v>5885.6</v>
      </c>
      <c r="Q284" s="345">
        <f t="shared" si="610"/>
        <v>5885.6</v>
      </c>
      <c r="R284" s="383">
        <f>F284+58</f>
        <v>5881.6</v>
      </c>
      <c r="S284" s="345">
        <f t="shared" si="611"/>
        <v>5881.6</v>
      </c>
      <c r="T284" s="383">
        <f>F284+53</f>
        <v>5876.6</v>
      </c>
      <c r="U284" s="345">
        <f t="shared" si="612"/>
        <v>5876.6</v>
      </c>
      <c r="V284" s="383">
        <f>F284+47</f>
        <v>5870.6</v>
      </c>
      <c r="W284" s="345">
        <f t="shared" si="613"/>
        <v>5870.6</v>
      </c>
      <c r="X284" s="288"/>
      <c r="Y284" s="289"/>
      <c r="Z284" s="289"/>
      <c r="AA284" s="290"/>
      <c r="AB284" s="208">
        <v>1033</v>
      </c>
      <c r="AC284" s="4"/>
      <c r="AD284" s="4"/>
      <c r="AE284" s="4"/>
      <c r="AF284" s="4"/>
      <c r="AG284" s="4"/>
      <c r="AH284" s="138"/>
      <c r="AI284" s="4"/>
      <c r="AJ284" s="4"/>
      <c r="AK284" s="4"/>
      <c r="AL284" s="4"/>
    </row>
    <row r="285" spans="1:38" s="1" customFormat="1" ht="12.6" customHeight="1" x14ac:dyDescent="0.2">
      <c r="A285" s="21"/>
      <c r="B285" s="774" t="s">
        <v>558</v>
      </c>
      <c r="C285" s="775"/>
      <c r="D285" s="775"/>
      <c r="E285" s="776"/>
      <c r="F285" s="482">
        <f>21.33*X2</f>
        <v>19623.599999999999</v>
      </c>
      <c r="G285" s="346">
        <f t="shared" ref="G285" si="618">+F285*$X$1</f>
        <v>19623.599999999999</v>
      </c>
      <c r="H285" s="93">
        <f>F285+280</f>
        <v>19903.599999999999</v>
      </c>
      <c r="I285" s="346">
        <f t="shared" si="615"/>
        <v>19903.599999999999</v>
      </c>
      <c r="J285" s="671">
        <f>F285+110</f>
        <v>19733.599999999999</v>
      </c>
      <c r="K285" s="346">
        <f t="shared" si="616"/>
        <v>19733.599999999999</v>
      </c>
      <c r="L285" s="671">
        <f>F285+80</f>
        <v>19703.599999999999</v>
      </c>
      <c r="M285" s="346">
        <f t="shared" si="617"/>
        <v>19703.599999999999</v>
      </c>
      <c r="N285" s="671">
        <f>F285+67</f>
        <v>19690.599999999999</v>
      </c>
      <c r="O285" s="346">
        <f t="shared" si="609"/>
        <v>19690.599999999999</v>
      </c>
      <c r="P285" s="671">
        <f>F285+62</f>
        <v>19685.599999999999</v>
      </c>
      <c r="Q285" s="346">
        <f t="shared" si="610"/>
        <v>19685.599999999999</v>
      </c>
      <c r="R285" s="671">
        <f>F285+58</f>
        <v>19681.599999999999</v>
      </c>
      <c r="S285" s="346">
        <f t="shared" si="611"/>
        <v>19681.599999999999</v>
      </c>
      <c r="T285" s="671">
        <f>F285+53</f>
        <v>19676.599999999999</v>
      </c>
      <c r="U285" s="346">
        <f t="shared" si="612"/>
        <v>19676.599999999999</v>
      </c>
      <c r="V285" s="671">
        <f>F285+47</f>
        <v>19670.599999999999</v>
      </c>
      <c r="W285" s="346">
        <f t="shared" si="613"/>
        <v>19670.599999999999</v>
      </c>
      <c r="X285" s="278"/>
      <c r="Y285" s="280"/>
      <c r="Z285" s="280"/>
      <c r="AA285" s="279"/>
      <c r="AB285" s="208">
        <v>1034</v>
      </c>
      <c r="AC285" s="4"/>
      <c r="AD285" s="4"/>
      <c r="AE285" s="4"/>
      <c r="AF285" s="4"/>
      <c r="AG285" s="4"/>
      <c r="AH285" s="138"/>
      <c r="AI285" s="4"/>
      <c r="AJ285" s="4"/>
      <c r="AK285" s="4"/>
      <c r="AL285" s="4"/>
    </row>
    <row r="286" spans="1:38" ht="12.6" customHeight="1" x14ac:dyDescent="0.2">
      <c r="A286" s="20"/>
      <c r="B286" s="714" t="s">
        <v>708</v>
      </c>
      <c r="C286" s="717"/>
      <c r="D286" s="717"/>
      <c r="E286" s="718"/>
      <c r="F286" s="481">
        <f>4.485*X2</f>
        <v>4126.2000000000007</v>
      </c>
      <c r="G286" s="345">
        <f t="shared" ref="G286:G287" si="619">+F286*$X$1</f>
        <v>4126.2000000000007</v>
      </c>
      <c r="H286" s="75">
        <f>F286+300</f>
        <v>4426.2000000000007</v>
      </c>
      <c r="I286" s="345">
        <f t="shared" ref="I286:I288" si="620">+H286*$X$1</f>
        <v>4426.2000000000007</v>
      </c>
      <c r="J286" s="383">
        <f>F286+120</f>
        <v>4246.2000000000007</v>
      </c>
      <c r="K286" s="345">
        <f>+J286*$X$1</f>
        <v>4246.2000000000007</v>
      </c>
      <c r="L286" s="383">
        <f>F286+90</f>
        <v>4216.2000000000007</v>
      </c>
      <c r="M286" s="345">
        <f>+L286*$X$1</f>
        <v>4216.2000000000007</v>
      </c>
      <c r="N286" s="75">
        <f>F286+77</f>
        <v>4203.2000000000007</v>
      </c>
      <c r="O286" s="345">
        <f t="shared" ref="O286:O288" si="621">+N286*$X$1</f>
        <v>4203.2000000000007</v>
      </c>
      <c r="P286" s="75">
        <f>F286+68</f>
        <v>4194.2000000000007</v>
      </c>
      <c r="Q286" s="345">
        <f t="shared" ref="Q286" si="622">+P286*$X$1</f>
        <v>4194.2000000000007</v>
      </c>
      <c r="R286" s="383">
        <f>F286+62</f>
        <v>4188.2000000000007</v>
      </c>
      <c r="S286" s="345">
        <f t="shared" ref="S286" si="623">+R286*$X$1</f>
        <v>4188.2000000000007</v>
      </c>
      <c r="T286" s="383">
        <f>F286+55</f>
        <v>4181.2000000000007</v>
      </c>
      <c r="U286" s="345">
        <f t="shared" ref="U286" si="624">+T286*$X$1</f>
        <v>4181.2000000000007</v>
      </c>
      <c r="V286" s="383">
        <f>F286+50</f>
        <v>4176.2000000000007</v>
      </c>
      <c r="W286" s="345">
        <f t="shared" ref="W286" si="625">+V286*$X$1</f>
        <v>4176.2000000000007</v>
      </c>
      <c r="X286" s="272"/>
      <c r="Y286" s="274"/>
      <c r="Z286" s="274"/>
      <c r="AA286" s="273"/>
      <c r="AB286" s="208">
        <v>1036</v>
      </c>
    </row>
    <row r="287" spans="1:38" ht="12.6" customHeight="1" x14ac:dyDescent="0.2">
      <c r="A287" s="20"/>
      <c r="B287" s="774" t="s">
        <v>569</v>
      </c>
      <c r="C287" s="775"/>
      <c r="D287" s="775"/>
      <c r="E287" s="776"/>
      <c r="F287" s="482">
        <f>4.47*X2</f>
        <v>4112.3999999999996</v>
      </c>
      <c r="G287" s="346">
        <f t="shared" si="619"/>
        <v>4112.3999999999996</v>
      </c>
      <c r="H287" s="93">
        <f>F287+280</f>
        <v>4392.3999999999996</v>
      </c>
      <c r="I287" s="346">
        <f t="shared" si="620"/>
        <v>4392.3999999999996</v>
      </c>
      <c r="J287" s="600">
        <f>F287+110</f>
        <v>4222.3999999999996</v>
      </c>
      <c r="K287" s="346">
        <f t="shared" ref="K287:K288" si="626">+J287*$X$1</f>
        <v>4222.3999999999996</v>
      </c>
      <c r="L287" s="600"/>
      <c r="M287" s="346"/>
      <c r="N287" s="600"/>
      <c r="O287" s="346"/>
      <c r="P287" s="600"/>
      <c r="Q287" s="346"/>
      <c r="R287" s="600"/>
      <c r="S287" s="346"/>
      <c r="T287" s="600"/>
      <c r="U287" s="346"/>
      <c r="V287" s="600"/>
      <c r="W287" s="346"/>
      <c r="X287" s="284"/>
      <c r="Y287" s="286"/>
      <c r="Z287" s="286"/>
      <c r="AA287" s="285"/>
      <c r="AB287" s="208">
        <v>1037</v>
      </c>
    </row>
    <row r="288" spans="1:38" ht="12.6" customHeight="1" x14ac:dyDescent="0.2">
      <c r="A288" s="20"/>
      <c r="B288" s="719" t="s">
        <v>518</v>
      </c>
      <c r="C288" s="720"/>
      <c r="D288" s="720"/>
      <c r="E288" s="720"/>
      <c r="F288" s="401">
        <v>14430</v>
      </c>
      <c r="G288" s="345">
        <f>+F288*$X$1</f>
        <v>14430</v>
      </c>
      <c r="H288" s="75">
        <f>F288+300</f>
        <v>14730</v>
      </c>
      <c r="I288" s="345">
        <f t="shared" si="620"/>
        <v>14730</v>
      </c>
      <c r="J288" s="383">
        <f>F288+110</f>
        <v>14540</v>
      </c>
      <c r="K288" s="345">
        <f t="shared" si="626"/>
        <v>14540</v>
      </c>
      <c r="L288" s="383">
        <f>F288+80</f>
        <v>14510</v>
      </c>
      <c r="M288" s="345">
        <f t="shared" ref="M288" si="627">+L288*$X$1</f>
        <v>14510</v>
      </c>
      <c r="N288" s="383">
        <f>F288+67</f>
        <v>14497</v>
      </c>
      <c r="O288" s="345">
        <f t="shared" si="621"/>
        <v>14497</v>
      </c>
      <c r="P288" s="383">
        <f>F288+62</f>
        <v>14492</v>
      </c>
      <c r="Q288" s="345">
        <f t="shared" ref="Q288" si="628">+P288*$X$1</f>
        <v>14492</v>
      </c>
      <c r="R288" s="383">
        <f>F288+58</f>
        <v>14488</v>
      </c>
      <c r="S288" s="345">
        <f t="shared" ref="S288" si="629">+R288*$X$1</f>
        <v>14488</v>
      </c>
      <c r="T288" s="383">
        <f>F288+53</f>
        <v>14483</v>
      </c>
      <c r="U288" s="345">
        <f t="shared" ref="U288" si="630">+T288*$X$1</f>
        <v>14483</v>
      </c>
      <c r="V288" s="383">
        <f>F288+47</f>
        <v>14477</v>
      </c>
      <c r="W288" s="345">
        <f t="shared" ref="W288" si="631">+V288*$X$1</f>
        <v>14477</v>
      </c>
      <c r="X288" s="728"/>
      <c r="Y288" s="710"/>
      <c r="Z288" s="710"/>
      <c r="AA288" s="711"/>
      <c r="AB288" s="208">
        <v>1040</v>
      </c>
      <c r="AC288" s="68"/>
    </row>
    <row r="289" spans="1:38" ht="12.6" customHeight="1" x14ac:dyDescent="0.2">
      <c r="A289" s="20"/>
      <c r="B289" s="712" t="s">
        <v>580</v>
      </c>
      <c r="C289" s="699"/>
      <c r="D289" s="699"/>
      <c r="E289" s="699"/>
      <c r="F289" s="482">
        <f>22.35*X2</f>
        <v>20562</v>
      </c>
      <c r="G289" s="346">
        <f>+F289*$X$1</f>
        <v>20562</v>
      </c>
      <c r="H289" s="93">
        <f t="shared" ref="H289:H298" si="632">F289+280</f>
        <v>20842</v>
      </c>
      <c r="I289" s="346">
        <f t="shared" ref="I289:I299" si="633">+H289*$X$1</f>
        <v>20842</v>
      </c>
      <c r="J289" s="600">
        <f t="shared" ref="J289:J299" si="634">F289+110</f>
        <v>20672</v>
      </c>
      <c r="K289" s="346">
        <f t="shared" ref="K289:K299" si="635">+J289*$X$1</f>
        <v>20672</v>
      </c>
      <c r="L289" s="600">
        <f t="shared" ref="L289:L299" si="636">F289+80</f>
        <v>20642</v>
      </c>
      <c r="M289" s="346">
        <f t="shared" ref="M289:M299" si="637">+L289*$X$1</f>
        <v>20642</v>
      </c>
      <c r="N289" s="600">
        <f t="shared" ref="N289:N299" si="638">F289+67</f>
        <v>20629</v>
      </c>
      <c r="O289" s="346">
        <f t="shared" ref="O289:O299" si="639">+N289*$X$1</f>
        <v>20629</v>
      </c>
      <c r="P289" s="600">
        <f t="shared" ref="P289:P299" si="640">F289+62</f>
        <v>20624</v>
      </c>
      <c r="Q289" s="346">
        <f t="shared" ref="Q289:Q299" si="641">+P289*$X$1</f>
        <v>20624</v>
      </c>
      <c r="R289" s="600">
        <f t="shared" ref="R289:R299" si="642">F289+58</f>
        <v>20620</v>
      </c>
      <c r="S289" s="346">
        <f t="shared" ref="S289:S299" si="643">+R289*$X$1</f>
        <v>20620</v>
      </c>
      <c r="T289" s="600">
        <f t="shared" ref="T289:T299" si="644">F289+53</f>
        <v>20615</v>
      </c>
      <c r="U289" s="346">
        <f t="shared" ref="U289:U299" si="645">+T289*$X$1</f>
        <v>20615</v>
      </c>
      <c r="V289" s="600">
        <f t="shared" ref="V289:V299" si="646">F289+47</f>
        <v>20609</v>
      </c>
      <c r="W289" s="346">
        <f t="shared" ref="W289:W299" si="647">+V289*$X$1</f>
        <v>20609</v>
      </c>
      <c r="X289" s="728"/>
      <c r="Y289" s="710"/>
      <c r="Z289" s="710"/>
      <c r="AA289" s="711"/>
      <c r="AB289" s="208">
        <v>1041</v>
      </c>
      <c r="AC289" s="68"/>
    </row>
    <row r="290" spans="1:38" ht="12.6" customHeight="1" x14ac:dyDescent="0.2">
      <c r="A290" s="20"/>
      <c r="B290" s="719" t="s">
        <v>563</v>
      </c>
      <c r="C290" s="720"/>
      <c r="D290" s="720"/>
      <c r="E290" s="720"/>
      <c r="F290" s="481">
        <f>16.673*X2</f>
        <v>15339.159999999998</v>
      </c>
      <c r="G290" s="345">
        <f t="shared" ref="G290" si="648">+F290*$X$1</f>
        <v>15339.159999999998</v>
      </c>
      <c r="H290" s="75">
        <f t="shared" si="632"/>
        <v>15619.159999999998</v>
      </c>
      <c r="I290" s="345">
        <f t="shared" si="633"/>
        <v>15619.159999999998</v>
      </c>
      <c r="J290" s="383">
        <f t="shared" si="634"/>
        <v>15449.159999999998</v>
      </c>
      <c r="K290" s="345">
        <f t="shared" si="635"/>
        <v>15449.159999999998</v>
      </c>
      <c r="L290" s="383">
        <f t="shared" si="636"/>
        <v>15419.159999999998</v>
      </c>
      <c r="M290" s="345">
        <f t="shared" si="637"/>
        <v>15419.159999999998</v>
      </c>
      <c r="N290" s="383">
        <f t="shared" si="638"/>
        <v>15406.159999999998</v>
      </c>
      <c r="O290" s="345">
        <f t="shared" si="639"/>
        <v>15406.159999999998</v>
      </c>
      <c r="P290" s="383">
        <f t="shared" si="640"/>
        <v>15401.159999999998</v>
      </c>
      <c r="Q290" s="345">
        <f t="shared" si="641"/>
        <v>15401.159999999998</v>
      </c>
      <c r="R290" s="383">
        <f t="shared" si="642"/>
        <v>15397.159999999998</v>
      </c>
      <c r="S290" s="345">
        <f t="shared" si="643"/>
        <v>15397.159999999998</v>
      </c>
      <c r="T290" s="383">
        <f t="shared" si="644"/>
        <v>15392.159999999998</v>
      </c>
      <c r="U290" s="345">
        <f t="shared" si="645"/>
        <v>15392.159999999998</v>
      </c>
      <c r="V290" s="383">
        <f t="shared" si="646"/>
        <v>15386.159999999998</v>
      </c>
      <c r="W290" s="345">
        <f t="shared" si="647"/>
        <v>15386.159999999998</v>
      </c>
      <c r="X290" s="728"/>
      <c r="Y290" s="710"/>
      <c r="Z290" s="710"/>
      <c r="AA290" s="711"/>
      <c r="AB290" s="208">
        <v>1042</v>
      </c>
    </row>
    <row r="291" spans="1:38" ht="12.6" customHeight="1" x14ac:dyDescent="0.2">
      <c r="A291" s="20"/>
      <c r="B291" s="712" t="s">
        <v>620</v>
      </c>
      <c r="C291" s="699"/>
      <c r="D291" s="699"/>
      <c r="E291" s="699"/>
      <c r="F291" s="400">
        <v>26026</v>
      </c>
      <c r="G291" s="346">
        <f t="shared" ref="G291:G297" si="649">+F291*$X$1</f>
        <v>26026</v>
      </c>
      <c r="H291" s="93">
        <f t="shared" si="632"/>
        <v>26306</v>
      </c>
      <c r="I291" s="346">
        <f t="shared" si="633"/>
        <v>26306</v>
      </c>
      <c r="J291" s="600">
        <f t="shared" si="634"/>
        <v>26136</v>
      </c>
      <c r="K291" s="346">
        <f t="shared" si="635"/>
        <v>26136</v>
      </c>
      <c r="L291" s="600">
        <f t="shared" si="636"/>
        <v>26106</v>
      </c>
      <c r="M291" s="346">
        <f t="shared" si="637"/>
        <v>26106</v>
      </c>
      <c r="N291" s="600">
        <f t="shared" si="638"/>
        <v>26093</v>
      </c>
      <c r="O291" s="346">
        <f t="shared" si="639"/>
        <v>26093</v>
      </c>
      <c r="P291" s="600">
        <f t="shared" si="640"/>
        <v>26088</v>
      </c>
      <c r="Q291" s="346">
        <f t="shared" si="641"/>
        <v>26088</v>
      </c>
      <c r="R291" s="600">
        <f t="shared" si="642"/>
        <v>26084</v>
      </c>
      <c r="S291" s="346">
        <f t="shared" si="643"/>
        <v>26084</v>
      </c>
      <c r="T291" s="600">
        <f t="shared" si="644"/>
        <v>26079</v>
      </c>
      <c r="U291" s="346">
        <f t="shared" si="645"/>
        <v>26079</v>
      </c>
      <c r="V291" s="600">
        <f t="shared" si="646"/>
        <v>26073</v>
      </c>
      <c r="W291" s="346">
        <f t="shared" si="647"/>
        <v>26073</v>
      </c>
      <c r="X291" s="728"/>
      <c r="Y291" s="710"/>
      <c r="Z291" s="710"/>
      <c r="AA291" s="711"/>
      <c r="AB291" s="208">
        <v>1043</v>
      </c>
      <c r="AC291" s="68"/>
    </row>
    <row r="292" spans="1:38" ht="12.6" customHeight="1" x14ac:dyDescent="0.2">
      <c r="A292" s="20"/>
      <c r="B292" s="719" t="s">
        <v>621</v>
      </c>
      <c r="C292" s="720"/>
      <c r="D292" s="720"/>
      <c r="E292" s="720"/>
      <c r="F292" s="401">
        <v>24318</v>
      </c>
      <c r="G292" s="345">
        <f t="shared" si="649"/>
        <v>24318</v>
      </c>
      <c r="H292" s="75">
        <f>F292+300</f>
        <v>24618</v>
      </c>
      <c r="I292" s="345">
        <f t="shared" si="633"/>
        <v>24618</v>
      </c>
      <c r="J292" s="383">
        <f t="shared" si="634"/>
        <v>24428</v>
      </c>
      <c r="K292" s="345">
        <f t="shared" si="635"/>
        <v>24428</v>
      </c>
      <c r="L292" s="383">
        <f t="shared" si="636"/>
        <v>24398</v>
      </c>
      <c r="M292" s="345">
        <f t="shared" si="637"/>
        <v>24398</v>
      </c>
      <c r="N292" s="383">
        <f t="shared" si="638"/>
        <v>24385</v>
      </c>
      <c r="O292" s="345">
        <f t="shared" si="639"/>
        <v>24385</v>
      </c>
      <c r="P292" s="383">
        <f t="shared" si="640"/>
        <v>24380</v>
      </c>
      <c r="Q292" s="345">
        <f t="shared" si="641"/>
        <v>24380</v>
      </c>
      <c r="R292" s="383">
        <f t="shared" si="642"/>
        <v>24376</v>
      </c>
      <c r="S292" s="345">
        <f t="shared" si="643"/>
        <v>24376</v>
      </c>
      <c r="T292" s="383">
        <f t="shared" si="644"/>
        <v>24371</v>
      </c>
      <c r="U292" s="345">
        <f t="shared" si="645"/>
        <v>24371</v>
      </c>
      <c r="V292" s="383">
        <f t="shared" si="646"/>
        <v>24365</v>
      </c>
      <c r="W292" s="345">
        <f t="shared" si="647"/>
        <v>24365</v>
      </c>
      <c r="X292" s="728"/>
      <c r="Y292" s="710"/>
      <c r="Z292" s="710"/>
      <c r="AA292" s="711"/>
      <c r="AB292" s="208">
        <v>1044</v>
      </c>
      <c r="AC292" s="68"/>
    </row>
    <row r="293" spans="1:38" ht="12.6" customHeight="1" x14ac:dyDescent="0.2">
      <c r="A293" s="20"/>
      <c r="B293" s="712" t="s">
        <v>657</v>
      </c>
      <c r="C293" s="699"/>
      <c r="D293" s="699"/>
      <c r="E293" s="699"/>
      <c r="F293" s="400">
        <v>13240</v>
      </c>
      <c r="G293" s="346">
        <f t="shared" si="649"/>
        <v>13240</v>
      </c>
      <c r="H293" s="93">
        <f t="shared" si="632"/>
        <v>13520</v>
      </c>
      <c r="I293" s="346">
        <f t="shared" si="633"/>
        <v>13520</v>
      </c>
      <c r="J293" s="600">
        <f t="shared" si="634"/>
        <v>13350</v>
      </c>
      <c r="K293" s="346">
        <f t="shared" si="635"/>
        <v>13350</v>
      </c>
      <c r="L293" s="600">
        <f t="shared" si="636"/>
        <v>13320</v>
      </c>
      <c r="M293" s="346">
        <f t="shared" si="637"/>
        <v>13320</v>
      </c>
      <c r="N293" s="600">
        <f t="shared" si="638"/>
        <v>13307</v>
      </c>
      <c r="O293" s="346">
        <f t="shared" si="639"/>
        <v>13307</v>
      </c>
      <c r="P293" s="600">
        <f t="shared" si="640"/>
        <v>13302</v>
      </c>
      <c r="Q293" s="346">
        <f t="shared" si="641"/>
        <v>13302</v>
      </c>
      <c r="R293" s="600">
        <f t="shared" si="642"/>
        <v>13298</v>
      </c>
      <c r="S293" s="346">
        <f t="shared" si="643"/>
        <v>13298</v>
      </c>
      <c r="T293" s="600">
        <f t="shared" si="644"/>
        <v>13293</v>
      </c>
      <c r="U293" s="346">
        <f t="shared" si="645"/>
        <v>13293</v>
      </c>
      <c r="V293" s="600">
        <f t="shared" si="646"/>
        <v>13287</v>
      </c>
      <c r="W293" s="346">
        <f t="shared" si="647"/>
        <v>13287</v>
      </c>
      <c r="X293" s="728"/>
      <c r="Y293" s="710"/>
      <c r="Z293" s="710"/>
      <c r="AA293" s="711"/>
      <c r="AB293" s="208">
        <v>1048</v>
      </c>
      <c r="AC293" s="68"/>
    </row>
    <row r="294" spans="1:38" ht="12.6" customHeight="1" x14ac:dyDescent="0.2">
      <c r="A294" s="20"/>
      <c r="B294" s="719" t="s">
        <v>656</v>
      </c>
      <c r="C294" s="720"/>
      <c r="D294" s="720"/>
      <c r="E294" s="720"/>
      <c r="F294" s="401">
        <v>12460</v>
      </c>
      <c r="G294" s="345">
        <f t="shared" si="649"/>
        <v>12460</v>
      </c>
      <c r="H294" s="75">
        <f>F294+300</f>
        <v>12760</v>
      </c>
      <c r="I294" s="345">
        <f t="shared" si="633"/>
        <v>12760</v>
      </c>
      <c r="J294" s="383">
        <f t="shared" si="634"/>
        <v>12570</v>
      </c>
      <c r="K294" s="345">
        <f t="shared" si="635"/>
        <v>12570</v>
      </c>
      <c r="L294" s="383">
        <f t="shared" si="636"/>
        <v>12540</v>
      </c>
      <c r="M294" s="345">
        <f t="shared" si="637"/>
        <v>12540</v>
      </c>
      <c r="N294" s="383">
        <f t="shared" si="638"/>
        <v>12527</v>
      </c>
      <c r="O294" s="345">
        <f t="shared" si="639"/>
        <v>12527</v>
      </c>
      <c r="P294" s="383">
        <f t="shared" si="640"/>
        <v>12522</v>
      </c>
      <c r="Q294" s="345">
        <f t="shared" si="641"/>
        <v>12522</v>
      </c>
      <c r="R294" s="383">
        <f t="shared" si="642"/>
        <v>12518</v>
      </c>
      <c r="S294" s="345">
        <f t="shared" si="643"/>
        <v>12518</v>
      </c>
      <c r="T294" s="383">
        <f t="shared" si="644"/>
        <v>12513</v>
      </c>
      <c r="U294" s="345">
        <f t="shared" si="645"/>
        <v>12513</v>
      </c>
      <c r="V294" s="383">
        <f t="shared" si="646"/>
        <v>12507</v>
      </c>
      <c r="W294" s="345">
        <f t="shared" si="647"/>
        <v>12507</v>
      </c>
      <c r="X294" s="728"/>
      <c r="Y294" s="710"/>
      <c r="Z294" s="710"/>
      <c r="AA294" s="711"/>
      <c r="AB294" s="208">
        <v>1049</v>
      </c>
      <c r="AC294" s="68"/>
    </row>
    <row r="295" spans="1:38" ht="12.6" customHeight="1" x14ac:dyDescent="0.2">
      <c r="A295" s="20"/>
      <c r="B295" s="712" t="s">
        <v>658</v>
      </c>
      <c r="C295" s="699"/>
      <c r="D295" s="699"/>
      <c r="E295" s="699"/>
      <c r="F295" s="400">
        <v>14020</v>
      </c>
      <c r="G295" s="346">
        <f t="shared" si="649"/>
        <v>14020</v>
      </c>
      <c r="H295" s="93">
        <f>F295+300</f>
        <v>14320</v>
      </c>
      <c r="I295" s="346">
        <f t="shared" si="633"/>
        <v>14320</v>
      </c>
      <c r="J295" s="600">
        <f t="shared" si="634"/>
        <v>14130</v>
      </c>
      <c r="K295" s="346">
        <f t="shared" si="635"/>
        <v>14130</v>
      </c>
      <c r="L295" s="600">
        <f t="shared" si="636"/>
        <v>14100</v>
      </c>
      <c r="M295" s="346">
        <f t="shared" si="637"/>
        <v>14100</v>
      </c>
      <c r="N295" s="600">
        <f t="shared" si="638"/>
        <v>14087</v>
      </c>
      <c r="O295" s="346">
        <f t="shared" si="639"/>
        <v>14087</v>
      </c>
      <c r="P295" s="600">
        <f t="shared" si="640"/>
        <v>14082</v>
      </c>
      <c r="Q295" s="346">
        <f t="shared" si="641"/>
        <v>14082</v>
      </c>
      <c r="R295" s="600">
        <f t="shared" si="642"/>
        <v>14078</v>
      </c>
      <c r="S295" s="346">
        <f t="shared" si="643"/>
        <v>14078</v>
      </c>
      <c r="T295" s="600">
        <f t="shared" si="644"/>
        <v>14073</v>
      </c>
      <c r="U295" s="346">
        <f t="shared" si="645"/>
        <v>14073</v>
      </c>
      <c r="V295" s="600">
        <f t="shared" si="646"/>
        <v>14067</v>
      </c>
      <c r="W295" s="346">
        <f t="shared" si="647"/>
        <v>14067</v>
      </c>
      <c r="X295" s="728"/>
      <c r="Y295" s="710"/>
      <c r="Z295" s="710"/>
      <c r="AA295" s="711"/>
      <c r="AB295" s="208">
        <v>1050</v>
      </c>
      <c r="AC295" s="68"/>
    </row>
    <row r="296" spans="1:38" ht="12.6" customHeight="1" x14ac:dyDescent="0.2">
      <c r="A296" s="20"/>
      <c r="B296" s="719" t="s">
        <v>487</v>
      </c>
      <c r="C296" s="720"/>
      <c r="D296" s="720"/>
      <c r="E296" s="720"/>
      <c r="F296" s="481">
        <f>12.7*X2</f>
        <v>11684</v>
      </c>
      <c r="G296" s="345">
        <f t="shared" si="649"/>
        <v>11684</v>
      </c>
      <c r="H296" s="75">
        <f t="shared" si="632"/>
        <v>11964</v>
      </c>
      <c r="I296" s="345">
        <f t="shared" si="633"/>
        <v>11964</v>
      </c>
      <c r="J296" s="383"/>
      <c r="K296" s="345"/>
      <c r="L296" s="383"/>
      <c r="M296" s="345"/>
      <c r="N296" s="383"/>
      <c r="O296" s="345"/>
      <c r="P296" s="383"/>
      <c r="Q296" s="345"/>
      <c r="R296" s="383"/>
      <c r="S296" s="345"/>
      <c r="T296" s="383"/>
      <c r="U296" s="345"/>
      <c r="V296" s="383"/>
      <c r="W296" s="345"/>
      <c r="X296" s="728"/>
      <c r="Y296" s="710"/>
      <c r="Z296" s="710"/>
      <c r="AA296" s="711"/>
      <c r="AB296" s="208">
        <v>1052</v>
      </c>
    </row>
    <row r="297" spans="1:38" ht="12.6" customHeight="1" x14ac:dyDescent="0.2">
      <c r="A297" s="20"/>
      <c r="B297" s="712" t="s">
        <v>549</v>
      </c>
      <c r="C297" s="699"/>
      <c r="D297" s="699"/>
      <c r="E297" s="699"/>
      <c r="F297" s="482">
        <f>31.583*X2</f>
        <v>29056.359999999997</v>
      </c>
      <c r="G297" s="346">
        <f t="shared" si="649"/>
        <v>29056.359999999997</v>
      </c>
      <c r="H297" s="93">
        <f t="shared" si="632"/>
        <v>29336.359999999997</v>
      </c>
      <c r="I297" s="346">
        <f t="shared" si="633"/>
        <v>29336.359999999997</v>
      </c>
      <c r="J297" s="600">
        <f t="shared" si="634"/>
        <v>29166.359999999997</v>
      </c>
      <c r="K297" s="346">
        <f t="shared" si="635"/>
        <v>29166.359999999997</v>
      </c>
      <c r="L297" s="600">
        <f t="shared" si="636"/>
        <v>29136.359999999997</v>
      </c>
      <c r="M297" s="346">
        <f t="shared" si="637"/>
        <v>29136.359999999997</v>
      </c>
      <c r="N297" s="600">
        <f t="shared" si="638"/>
        <v>29123.359999999997</v>
      </c>
      <c r="O297" s="346">
        <f t="shared" si="639"/>
        <v>29123.359999999997</v>
      </c>
      <c r="P297" s="600">
        <f t="shared" si="640"/>
        <v>29118.359999999997</v>
      </c>
      <c r="Q297" s="346">
        <f t="shared" si="641"/>
        <v>29118.359999999997</v>
      </c>
      <c r="R297" s="600">
        <f t="shared" si="642"/>
        <v>29114.359999999997</v>
      </c>
      <c r="S297" s="346">
        <f t="shared" si="643"/>
        <v>29114.359999999997</v>
      </c>
      <c r="T297" s="600">
        <f t="shared" si="644"/>
        <v>29109.359999999997</v>
      </c>
      <c r="U297" s="346">
        <f t="shared" si="645"/>
        <v>29109.359999999997</v>
      </c>
      <c r="V297" s="600">
        <f t="shared" si="646"/>
        <v>29103.359999999997</v>
      </c>
      <c r="W297" s="346">
        <f t="shared" si="647"/>
        <v>29103.359999999997</v>
      </c>
      <c r="X297" s="728"/>
      <c r="Y297" s="710"/>
      <c r="Z297" s="710"/>
      <c r="AA297" s="711"/>
      <c r="AB297" s="208">
        <v>1053</v>
      </c>
      <c r="AC297" s="68"/>
    </row>
    <row r="298" spans="1:38" s="1" customFormat="1" ht="12.6" customHeight="1" x14ac:dyDescent="0.2">
      <c r="A298" s="21"/>
      <c r="B298" s="714" t="s">
        <v>495</v>
      </c>
      <c r="C298" s="717"/>
      <c r="D298" s="717"/>
      <c r="E298" s="718"/>
      <c r="F298" s="481">
        <f>10.515*X2</f>
        <v>9673.8000000000011</v>
      </c>
      <c r="G298" s="345">
        <f t="shared" ref="G298" si="650">+F298*$X$1</f>
        <v>9673.8000000000011</v>
      </c>
      <c r="H298" s="75">
        <f t="shared" si="632"/>
        <v>9953.8000000000011</v>
      </c>
      <c r="I298" s="345">
        <f t="shared" si="633"/>
        <v>9953.8000000000011</v>
      </c>
      <c r="J298" s="383">
        <f t="shared" si="634"/>
        <v>9783.8000000000011</v>
      </c>
      <c r="K298" s="345">
        <f t="shared" si="635"/>
        <v>9783.8000000000011</v>
      </c>
      <c r="L298" s="383">
        <f t="shared" si="636"/>
        <v>9753.8000000000011</v>
      </c>
      <c r="M298" s="345">
        <f t="shared" si="637"/>
        <v>9753.8000000000011</v>
      </c>
      <c r="N298" s="383">
        <f t="shared" si="638"/>
        <v>9740.8000000000011</v>
      </c>
      <c r="O298" s="345">
        <f t="shared" si="639"/>
        <v>9740.8000000000011</v>
      </c>
      <c r="P298" s="383">
        <f t="shared" si="640"/>
        <v>9735.8000000000011</v>
      </c>
      <c r="Q298" s="345">
        <f t="shared" si="641"/>
        <v>9735.8000000000011</v>
      </c>
      <c r="R298" s="383">
        <f t="shared" si="642"/>
        <v>9731.8000000000011</v>
      </c>
      <c r="S298" s="345">
        <f t="shared" si="643"/>
        <v>9731.8000000000011</v>
      </c>
      <c r="T298" s="383">
        <f t="shared" si="644"/>
        <v>9726.8000000000011</v>
      </c>
      <c r="U298" s="345">
        <f t="shared" si="645"/>
        <v>9726.8000000000011</v>
      </c>
      <c r="V298" s="383">
        <f t="shared" si="646"/>
        <v>9720.8000000000011</v>
      </c>
      <c r="W298" s="345">
        <f t="shared" si="647"/>
        <v>9720.8000000000011</v>
      </c>
      <c r="X298" s="257"/>
      <c r="Y298" s="259"/>
      <c r="Z298" s="259"/>
      <c r="AA298" s="258"/>
      <c r="AB298" s="208">
        <v>1054</v>
      </c>
      <c r="AC298" s="4"/>
      <c r="AD298" s="4"/>
      <c r="AE298" s="4"/>
      <c r="AF298" s="4"/>
      <c r="AG298" s="4"/>
      <c r="AH298" s="138"/>
      <c r="AI298" s="4"/>
      <c r="AJ298" s="4"/>
      <c r="AK298" s="4"/>
      <c r="AL298" s="4"/>
    </row>
    <row r="299" spans="1:38" ht="12.6" customHeight="1" x14ac:dyDescent="0.2">
      <c r="A299" s="20"/>
      <c r="B299" s="712" t="s">
        <v>719</v>
      </c>
      <c r="C299" s="699"/>
      <c r="D299" s="699"/>
      <c r="E299" s="699"/>
      <c r="F299" s="400">
        <v>20487</v>
      </c>
      <c r="G299" s="346">
        <f>+F299*$X$1</f>
        <v>20487</v>
      </c>
      <c r="H299" s="93">
        <f>F299+300</f>
        <v>20787</v>
      </c>
      <c r="I299" s="346">
        <f t="shared" si="633"/>
        <v>20787</v>
      </c>
      <c r="J299" s="600">
        <f t="shared" si="634"/>
        <v>20597</v>
      </c>
      <c r="K299" s="346">
        <f t="shared" si="635"/>
        <v>20597</v>
      </c>
      <c r="L299" s="600">
        <f t="shared" si="636"/>
        <v>20567</v>
      </c>
      <c r="M299" s="346">
        <f t="shared" si="637"/>
        <v>20567</v>
      </c>
      <c r="N299" s="600">
        <f t="shared" si="638"/>
        <v>20554</v>
      </c>
      <c r="O299" s="346">
        <f t="shared" si="639"/>
        <v>20554</v>
      </c>
      <c r="P299" s="600">
        <f t="shared" si="640"/>
        <v>20549</v>
      </c>
      <c r="Q299" s="346">
        <f t="shared" si="641"/>
        <v>20549</v>
      </c>
      <c r="R299" s="600">
        <f t="shared" si="642"/>
        <v>20545</v>
      </c>
      <c r="S299" s="346">
        <f t="shared" si="643"/>
        <v>20545</v>
      </c>
      <c r="T299" s="600">
        <f t="shared" si="644"/>
        <v>20540</v>
      </c>
      <c r="U299" s="346">
        <f t="shared" si="645"/>
        <v>20540</v>
      </c>
      <c r="V299" s="600">
        <f t="shared" si="646"/>
        <v>20534</v>
      </c>
      <c r="W299" s="346">
        <f t="shared" si="647"/>
        <v>20534</v>
      </c>
      <c r="X299" s="728"/>
      <c r="Y299" s="710"/>
      <c r="Z299" s="710"/>
      <c r="AA299" s="711"/>
      <c r="AB299" s="208">
        <v>1057</v>
      </c>
    </row>
    <row r="300" spans="1:38" ht="12.6" customHeight="1" x14ac:dyDescent="0.2">
      <c r="A300" s="20"/>
      <c r="B300" s="719" t="s">
        <v>516</v>
      </c>
      <c r="C300" s="720"/>
      <c r="D300" s="720"/>
      <c r="E300" s="720"/>
      <c r="F300" s="481">
        <f>16.03*X2</f>
        <v>14747.6</v>
      </c>
      <c r="G300" s="345">
        <f>+F300*$X$1</f>
        <v>14747.6</v>
      </c>
      <c r="H300" s="75">
        <f t="shared" ref="H300" si="651">F300+280</f>
        <v>15027.6</v>
      </c>
      <c r="I300" s="345">
        <f t="shared" ref="I300" si="652">+H300*$X$1</f>
        <v>15027.6</v>
      </c>
      <c r="J300" s="383">
        <f t="shared" ref="J300" si="653">F300+110</f>
        <v>14857.6</v>
      </c>
      <c r="K300" s="345">
        <f t="shared" ref="K300" si="654">+J300*$X$1</f>
        <v>14857.6</v>
      </c>
      <c r="L300" s="383">
        <f t="shared" ref="L300" si="655">F300+80</f>
        <v>14827.6</v>
      </c>
      <c r="M300" s="345">
        <f t="shared" ref="M300" si="656">+L300*$X$1</f>
        <v>14827.6</v>
      </c>
      <c r="N300" s="383">
        <f t="shared" ref="N300" si="657">F300+67</f>
        <v>14814.6</v>
      </c>
      <c r="O300" s="345">
        <f t="shared" ref="O300" si="658">+N300*$X$1</f>
        <v>14814.6</v>
      </c>
      <c r="P300" s="383">
        <f t="shared" ref="P300" si="659">F300+62</f>
        <v>14809.6</v>
      </c>
      <c r="Q300" s="345">
        <f t="shared" ref="Q300" si="660">+P300*$X$1</f>
        <v>14809.6</v>
      </c>
      <c r="R300" s="383">
        <f t="shared" ref="R300" si="661">F300+58</f>
        <v>14805.6</v>
      </c>
      <c r="S300" s="345">
        <f t="shared" ref="S300" si="662">+R300*$X$1</f>
        <v>14805.6</v>
      </c>
      <c r="T300" s="383">
        <f t="shared" ref="T300" si="663">F300+53</f>
        <v>14800.6</v>
      </c>
      <c r="U300" s="345">
        <f t="shared" ref="U300" si="664">+T300*$X$1</f>
        <v>14800.6</v>
      </c>
      <c r="V300" s="383">
        <f t="shared" ref="V300" si="665">F300+47</f>
        <v>14794.6</v>
      </c>
      <c r="W300" s="345">
        <f t="shared" ref="W300" si="666">+V300*$X$1</f>
        <v>14794.6</v>
      </c>
      <c r="X300" s="728"/>
      <c r="Y300" s="710"/>
      <c r="Z300" s="710"/>
      <c r="AA300" s="711"/>
      <c r="AB300" s="208">
        <v>1064</v>
      </c>
      <c r="AC300" s="68"/>
    </row>
    <row r="301" spans="1:38" ht="12.6" customHeight="1" x14ac:dyDescent="0.2">
      <c r="A301" s="20"/>
      <c r="B301" s="774" t="s">
        <v>229</v>
      </c>
      <c r="C301" s="775"/>
      <c r="D301" s="775"/>
      <c r="E301" s="776"/>
      <c r="F301" s="482">
        <f>12.1*X2</f>
        <v>11132</v>
      </c>
      <c r="G301" s="346">
        <f>+F301*$X$1</f>
        <v>11132</v>
      </c>
      <c r="H301" s="93">
        <f>F301+300</f>
        <v>11432</v>
      </c>
      <c r="I301" s="346">
        <f t="shared" ref="I301:I307" si="667">+H301*$X$1</f>
        <v>11432</v>
      </c>
      <c r="J301" s="600">
        <f>F301+120</f>
        <v>11252</v>
      </c>
      <c r="K301" s="346">
        <f>+J301*$X$1</f>
        <v>11252</v>
      </c>
      <c r="L301" s="600">
        <f>F301+90</f>
        <v>11222</v>
      </c>
      <c r="M301" s="346">
        <f>+L301*$X$1</f>
        <v>11222</v>
      </c>
      <c r="N301" s="93">
        <f>F301+77</f>
        <v>11209</v>
      </c>
      <c r="O301" s="346">
        <f t="shared" ref="O301:O308" si="668">+N301*$X$1</f>
        <v>11209</v>
      </c>
      <c r="P301" s="93">
        <f>F301+68</f>
        <v>11200</v>
      </c>
      <c r="Q301" s="346">
        <f t="shared" ref="Q301:Q308" si="669">+P301*$X$1</f>
        <v>11200</v>
      </c>
      <c r="R301" s="600">
        <f>F301+62</f>
        <v>11194</v>
      </c>
      <c r="S301" s="346">
        <f t="shared" ref="S301:S308" si="670">+R301*$X$1</f>
        <v>11194</v>
      </c>
      <c r="T301" s="600">
        <f>F301+55</f>
        <v>11187</v>
      </c>
      <c r="U301" s="346">
        <f t="shared" ref="U301:U308" si="671">+T301*$X$1</f>
        <v>11187</v>
      </c>
      <c r="V301" s="600">
        <f>F301+50</f>
        <v>11182</v>
      </c>
      <c r="W301" s="346">
        <f t="shared" ref="W301:W308" si="672">+V301*$X$1</f>
        <v>11182</v>
      </c>
      <c r="X301" s="193"/>
      <c r="Y301" s="196"/>
      <c r="Z301" s="196"/>
      <c r="AA301" s="195"/>
      <c r="AB301" s="208">
        <v>1075</v>
      </c>
    </row>
    <row r="302" spans="1:38" ht="12.6" customHeight="1" x14ac:dyDescent="0.2">
      <c r="A302" s="20"/>
      <c r="B302" s="719" t="s">
        <v>450</v>
      </c>
      <c r="C302" s="900"/>
      <c r="D302" s="900"/>
      <c r="E302" s="900"/>
      <c r="F302" s="481">
        <f>8.45*X2</f>
        <v>7773.9999999999991</v>
      </c>
      <c r="G302" s="345">
        <f>+F302*$X$1</f>
        <v>7773.9999999999991</v>
      </c>
      <c r="H302" s="75">
        <f t="shared" ref="H302:H303" si="673">F302+280</f>
        <v>8053.9999999999991</v>
      </c>
      <c r="I302" s="345">
        <f t="shared" si="667"/>
        <v>8053.9999999999991</v>
      </c>
      <c r="J302" s="383">
        <f t="shared" ref="J302:J307" si="674">F302+110</f>
        <v>7883.9999999999991</v>
      </c>
      <c r="K302" s="345">
        <f t="shared" ref="K302:K308" si="675">+J302*$X$1</f>
        <v>7883.9999999999991</v>
      </c>
      <c r="L302" s="383">
        <f t="shared" ref="L302:L307" si="676">F302+80</f>
        <v>7853.9999999999991</v>
      </c>
      <c r="M302" s="345">
        <f t="shared" ref="M302:M308" si="677">+L302*$X$1</f>
        <v>7853.9999999999991</v>
      </c>
      <c r="N302" s="383">
        <f t="shared" ref="N302:N307" si="678">F302+67</f>
        <v>7840.9999999999991</v>
      </c>
      <c r="O302" s="345">
        <f t="shared" si="668"/>
        <v>7840.9999999999991</v>
      </c>
      <c r="P302" s="383">
        <f t="shared" ref="P302:P307" si="679">F302+62</f>
        <v>7835.9999999999991</v>
      </c>
      <c r="Q302" s="345">
        <f t="shared" si="669"/>
        <v>7835.9999999999991</v>
      </c>
      <c r="R302" s="383">
        <f t="shared" ref="R302:R307" si="680">F302+58</f>
        <v>7831.9999999999991</v>
      </c>
      <c r="S302" s="345">
        <f t="shared" si="670"/>
        <v>7831.9999999999991</v>
      </c>
      <c r="T302" s="383">
        <f t="shared" ref="T302:T307" si="681">F302+53</f>
        <v>7826.9999999999991</v>
      </c>
      <c r="U302" s="345">
        <f t="shared" si="671"/>
        <v>7826.9999999999991</v>
      </c>
      <c r="V302" s="383">
        <f t="shared" ref="V302:V307" si="682">F302+47</f>
        <v>7820.9999999999991</v>
      </c>
      <c r="W302" s="345">
        <f t="shared" si="672"/>
        <v>7820.9999999999991</v>
      </c>
      <c r="X302" s="728"/>
      <c r="Y302" s="710"/>
      <c r="Z302" s="710"/>
      <c r="AA302" s="711"/>
      <c r="AB302" s="208">
        <v>1078</v>
      </c>
    </row>
    <row r="303" spans="1:38" ht="12.6" customHeight="1" x14ac:dyDescent="0.2">
      <c r="A303" s="20"/>
      <c r="B303" s="799" t="s">
        <v>453</v>
      </c>
      <c r="C303" s="800"/>
      <c r="D303" s="800"/>
      <c r="E303" s="800"/>
      <c r="F303" s="486">
        <f>6.52*X2</f>
        <v>5998.4</v>
      </c>
      <c r="G303" s="388">
        <f t="shared" ref="G303" si="683">+F303*$X$1</f>
        <v>5998.4</v>
      </c>
      <c r="H303" s="93">
        <f t="shared" si="673"/>
        <v>6278.4</v>
      </c>
      <c r="I303" s="346">
        <f t="shared" si="667"/>
        <v>6278.4</v>
      </c>
      <c r="J303" s="600"/>
      <c r="K303" s="346"/>
      <c r="L303" s="600"/>
      <c r="M303" s="346"/>
      <c r="N303" s="600"/>
      <c r="O303" s="346"/>
      <c r="P303" s="600"/>
      <c r="Q303" s="346"/>
      <c r="R303" s="600"/>
      <c r="S303" s="346"/>
      <c r="T303" s="600"/>
      <c r="U303" s="346"/>
      <c r="V303" s="600"/>
      <c r="W303" s="346"/>
      <c r="X303" s="710"/>
      <c r="Y303" s="710"/>
      <c r="Z303" s="710"/>
      <c r="AA303" s="711"/>
      <c r="AB303" s="208">
        <v>1079</v>
      </c>
    </row>
    <row r="304" spans="1:38" ht="12.6" customHeight="1" x14ac:dyDescent="0.2">
      <c r="A304" s="20"/>
      <c r="B304" s="719" t="s">
        <v>618</v>
      </c>
      <c r="C304" s="720"/>
      <c r="D304" s="720"/>
      <c r="E304" s="720"/>
      <c r="F304" s="401">
        <v>18190</v>
      </c>
      <c r="G304" s="345">
        <f>+F304*$X$1</f>
        <v>18190</v>
      </c>
      <c r="H304" s="75">
        <f>F304+300</f>
        <v>18490</v>
      </c>
      <c r="I304" s="345">
        <f t="shared" si="667"/>
        <v>18490</v>
      </c>
      <c r="J304" s="383">
        <f t="shared" si="674"/>
        <v>18300</v>
      </c>
      <c r="K304" s="345">
        <f t="shared" si="675"/>
        <v>18300</v>
      </c>
      <c r="L304" s="383">
        <f t="shared" si="676"/>
        <v>18270</v>
      </c>
      <c r="M304" s="345">
        <f t="shared" si="677"/>
        <v>18270</v>
      </c>
      <c r="N304" s="383">
        <f t="shared" si="678"/>
        <v>18257</v>
      </c>
      <c r="O304" s="345">
        <f t="shared" si="668"/>
        <v>18257</v>
      </c>
      <c r="P304" s="383">
        <f t="shared" si="679"/>
        <v>18252</v>
      </c>
      <c r="Q304" s="345">
        <f t="shared" si="669"/>
        <v>18252</v>
      </c>
      <c r="R304" s="383">
        <f t="shared" si="680"/>
        <v>18248</v>
      </c>
      <c r="S304" s="345">
        <f t="shared" si="670"/>
        <v>18248</v>
      </c>
      <c r="T304" s="383">
        <f t="shared" si="681"/>
        <v>18243</v>
      </c>
      <c r="U304" s="345">
        <f t="shared" si="671"/>
        <v>18243</v>
      </c>
      <c r="V304" s="383">
        <f t="shared" si="682"/>
        <v>18237</v>
      </c>
      <c r="W304" s="345">
        <f t="shared" si="672"/>
        <v>18237</v>
      </c>
      <c r="X304" s="710"/>
      <c r="Y304" s="710"/>
      <c r="Z304" s="710"/>
      <c r="AA304" s="711"/>
      <c r="AB304" s="208">
        <v>1080</v>
      </c>
      <c r="AC304" s="68"/>
    </row>
    <row r="305" spans="1:34" ht="12.6" customHeight="1" x14ac:dyDescent="0.2">
      <c r="A305" s="20"/>
      <c r="B305" s="712" t="s">
        <v>619</v>
      </c>
      <c r="C305" s="699"/>
      <c r="D305" s="699"/>
      <c r="E305" s="699"/>
      <c r="F305" s="400">
        <v>19246</v>
      </c>
      <c r="G305" s="346">
        <f>+F305*$X$1</f>
        <v>19246</v>
      </c>
      <c r="H305" s="93">
        <f>F305+300</f>
        <v>19546</v>
      </c>
      <c r="I305" s="346">
        <f t="shared" si="667"/>
        <v>19546</v>
      </c>
      <c r="J305" s="600">
        <f t="shared" si="674"/>
        <v>19356</v>
      </c>
      <c r="K305" s="346">
        <f t="shared" si="675"/>
        <v>19356</v>
      </c>
      <c r="L305" s="600">
        <f t="shared" si="676"/>
        <v>19326</v>
      </c>
      <c r="M305" s="346">
        <f t="shared" si="677"/>
        <v>19326</v>
      </c>
      <c r="N305" s="600">
        <f t="shared" si="678"/>
        <v>19313</v>
      </c>
      <c r="O305" s="346">
        <f t="shared" si="668"/>
        <v>19313</v>
      </c>
      <c r="P305" s="600">
        <f t="shared" si="679"/>
        <v>19308</v>
      </c>
      <c r="Q305" s="346">
        <f t="shared" si="669"/>
        <v>19308</v>
      </c>
      <c r="R305" s="600">
        <f t="shared" si="680"/>
        <v>19304</v>
      </c>
      <c r="S305" s="346">
        <f t="shared" si="670"/>
        <v>19304</v>
      </c>
      <c r="T305" s="600">
        <f t="shared" si="681"/>
        <v>19299</v>
      </c>
      <c r="U305" s="346">
        <f t="shared" si="671"/>
        <v>19299</v>
      </c>
      <c r="V305" s="600">
        <f t="shared" si="682"/>
        <v>19293</v>
      </c>
      <c r="W305" s="346">
        <f t="shared" si="672"/>
        <v>19293</v>
      </c>
      <c r="X305" s="710"/>
      <c r="Y305" s="710"/>
      <c r="Z305" s="710"/>
      <c r="AA305" s="711"/>
      <c r="AB305" s="208">
        <v>1081</v>
      </c>
      <c r="AC305" s="68"/>
    </row>
    <row r="306" spans="1:34" ht="12.6" customHeight="1" x14ac:dyDescent="0.2">
      <c r="A306" s="20"/>
      <c r="B306" s="719" t="s">
        <v>754</v>
      </c>
      <c r="C306" s="720"/>
      <c r="D306" s="720"/>
      <c r="E306" s="720"/>
      <c r="F306" s="401">
        <v>24060</v>
      </c>
      <c r="G306" s="345">
        <f>+F306*$X$1</f>
        <v>24060</v>
      </c>
      <c r="H306" s="75">
        <f>F306+300</f>
        <v>24360</v>
      </c>
      <c r="I306" s="345">
        <f t="shared" si="667"/>
        <v>24360</v>
      </c>
      <c r="J306" s="383">
        <f t="shared" si="674"/>
        <v>24170</v>
      </c>
      <c r="K306" s="345">
        <f t="shared" si="675"/>
        <v>24170</v>
      </c>
      <c r="L306" s="383">
        <f t="shared" si="676"/>
        <v>24140</v>
      </c>
      <c r="M306" s="345">
        <f t="shared" si="677"/>
        <v>24140</v>
      </c>
      <c r="N306" s="383">
        <f t="shared" si="678"/>
        <v>24127</v>
      </c>
      <c r="O306" s="345">
        <f t="shared" si="668"/>
        <v>24127</v>
      </c>
      <c r="P306" s="383">
        <f t="shared" si="679"/>
        <v>24122</v>
      </c>
      <c r="Q306" s="345">
        <f t="shared" si="669"/>
        <v>24122</v>
      </c>
      <c r="R306" s="383">
        <f t="shared" si="680"/>
        <v>24118</v>
      </c>
      <c r="S306" s="345">
        <f t="shared" si="670"/>
        <v>24118</v>
      </c>
      <c r="T306" s="383">
        <f t="shared" si="681"/>
        <v>24113</v>
      </c>
      <c r="U306" s="345">
        <f t="shared" si="671"/>
        <v>24113</v>
      </c>
      <c r="V306" s="383">
        <f t="shared" si="682"/>
        <v>24107</v>
      </c>
      <c r="W306" s="345">
        <f t="shared" si="672"/>
        <v>24107</v>
      </c>
      <c r="X306" s="710"/>
      <c r="Y306" s="710"/>
      <c r="Z306" s="710"/>
      <c r="AA306" s="711"/>
      <c r="AB306" s="208">
        <v>1082</v>
      </c>
      <c r="AC306" s="68"/>
    </row>
    <row r="307" spans="1:34" ht="12.6" customHeight="1" x14ac:dyDescent="0.2">
      <c r="A307" s="20"/>
      <c r="B307" s="712" t="s">
        <v>521</v>
      </c>
      <c r="C307" s="699"/>
      <c r="D307" s="699"/>
      <c r="E307" s="699"/>
      <c r="F307" s="400">
        <v>15740</v>
      </c>
      <c r="G307" s="346">
        <f>+F307*$X$1</f>
        <v>15740</v>
      </c>
      <c r="H307" s="93">
        <f>F307+300</f>
        <v>16040</v>
      </c>
      <c r="I307" s="346">
        <f t="shared" si="667"/>
        <v>16040</v>
      </c>
      <c r="J307" s="600">
        <f t="shared" si="674"/>
        <v>15850</v>
      </c>
      <c r="K307" s="346">
        <f t="shared" si="675"/>
        <v>15850</v>
      </c>
      <c r="L307" s="600">
        <f t="shared" si="676"/>
        <v>15820</v>
      </c>
      <c r="M307" s="346">
        <f t="shared" si="677"/>
        <v>15820</v>
      </c>
      <c r="N307" s="600">
        <f t="shared" si="678"/>
        <v>15807</v>
      </c>
      <c r="O307" s="346">
        <f t="shared" si="668"/>
        <v>15807</v>
      </c>
      <c r="P307" s="600">
        <f t="shared" si="679"/>
        <v>15802</v>
      </c>
      <c r="Q307" s="346">
        <f t="shared" si="669"/>
        <v>15802</v>
      </c>
      <c r="R307" s="600">
        <f t="shared" si="680"/>
        <v>15798</v>
      </c>
      <c r="S307" s="346">
        <f t="shared" si="670"/>
        <v>15798</v>
      </c>
      <c r="T307" s="600">
        <f t="shared" si="681"/>
        <v>15793</v>
      </c>
      <c r="U307" s="346">
        <f t="shared" si="671"/>
        <v>15793</v>
      </c>
      <c r="V307" s="600">
        <f t="shared" si="682"/>
        <v>15787</v>
      </c>
      <c r="W307" s="346">
        <f t="shared" si="672"/>
        <v>15787</v>
      </c>
      <c r="X307" s="710"/>
      <c r="Y307" s="710"/>
      <c r="Z307" s="710"/>
      <c r="AA307" s="711"/>
      <c r="AB307" s="208">
        <v>1083</v>
      </c>
      <c r="AC307" s="68"/>
    </row>
    <row r="308" spans="1:34" ht="12.6" customHeight="1" x14ac:dyDescent="0.2">
      <c r="A308" s="20"/>
      <c r="B308" s="729" t="s">
        <v>417</v>
      </c>
      <c r="C308" s="703"/>
      <c r="D308" s="703"/>
      <c r="E308" s="703"/>
      <c r="F308" s="481">
        <f>3.881*X2</f>
        <v>3570.52</v>
      </c>
      <c r="G308" s="345">
        <f t="shared" ref="G308" si="684">+F308*$X$1</f>
        <v>3570.52</v>
      </c>
      <c r="H308" s="383">
        <f>F308+290</f>
        <v>3860.52</v>
      </c>
      <c r="I308" s="345">
        <f>+H308*$X$1</f>
        <v>3860.52</v>
      </c>
      <c r="J308" s="75">
        <f>F308+120</f>
        <v>3690.52</v>
      </c>
      <c r="K308" s="345">
        <f t="shared" si="675"/>
        <v>3690.52</v>
      </c>
      <c r="L308" s="383">
        <f>F308+80</f>
        <v>3650.52</v>
      </c>
      <c r="M308" s="345">
        <f t="shared" si="677"/>
        <v>3650.52</v>
      </c>
      <c r="N308" s="383">
        <f>F308+50</f>
        <v>3620.52</v>
      </c>
      <c r="O308" s="345">
        <f t="shared" si="668"/>
        <v>3620.52</v>
      </c>
      <c r="P308" s="383">
        <f>F308+46</f>
        <v>3616.52</v>
      </c>
      <c r="Q308" s="345">
        <f t="shared" si="669"/>
        <v>3616.52</v>
      </c>
      <c r="R308" s="383">
        <f>F308+38</f>
        <v>3608.52</v>
      </c>
      <c r="S308" s="345">
        <f t="shared" si="670"/>
        <v>3608.52</v>
      </c>
      <c r="T308" s="383">
        <f>F308+32</f>
        <v>3602.52</v>
      </c>
      <c r="U308" s="345">
        <f t="shared" si="671"/>
        <v>3602.52</v>
      </c>
      <c r="V308" s="383">
        <f>F308+26</f>
        <v>3596.52</v>
      </c>
      <c r="W308" s="345">
        <f t="shared" si="672"/>
        <v>3596.52</v>
      </c>
      <c r="X308" s="1096"/>
      <c r="Y308" s="1162"/>
      <c r="Z308" s="1162"/>
      <c r="AA308" s="1163"/>
      <c r="AB308" s="534">
        <v>2131</v>
      </c>
      <c r="AC308" s="69"/>
    </row>
    <row r="309" spans="1:34" ht="12.6" customHeight="1" x14ac:dyDescent="0.2">
      <c r="A309" s="20"/>
      <c r="B309" s="774" t="s">
        <v>491</v>
      </c>
      <c r="C309" s="775"/>
      <c r="D309" s="775"/>
      <c r="E309" s="776"/>
      <c r="F309" s="482">
        <f>4.33*X2</f>
        <v>3983.6</v>
      </c>
      <c r="G309" s="346">
        <f t="shared" ref="G309" si="685">+F309*$X$1</f>
        <v>3983.6</v>
      </c>
      <c r="H309" s="623">
        <f>F309+290</f>
        <v>4273.6000000000004</v>
      </c>
      <c r="I309" s="346">
        <f>+H309*$X$1</f>
        <v>4273.6000000000004</v>
      </c>
      <c r="J309" s="93">
        <f>F309+120</f>
        <v>4103.6000000000004</v>
      </c>
      <c r="K309" s="346">
        <f t="shared" ref="K309" si="686">+J309*$X$1</f>
        <v>4103.6000000000004</v>
      </c>
      <c r="L309" s="600">
        <f>F309+80</f>
        <v>4063.6</v>
      </c>
      <c r="M309" s="346">
        <f t="shared" ref="M309:M310" si="687">+L309*$X$1</f>
        <v>4063.6</v>
      </c>
      <c r="N309" s="600">
        <f>F309+50</f>
        <v>4033.6</v>
      </c>
      <c r="O309" s="346">
        <f t="shared" ref="O309" si="688">+N309*$X$1</f>
        <v>4033.6</v>
      </c>
      <c r="P309" s="600">
        <f>F309+46</f>
        <v>4029.6</v>
      </c>
      <c r="Q309" s="346">
        <f t="shared" ref="Q309:Q310" si="689">+P309*$X$1</f>
        <v>4029.6</v>
      </c>
      <c r="R309" s="600">
        <f>F309+38</f>
        <v>4021.6</v>
      </c>
      <c r="S309" s="346">
        <f t="shared" ref="S309" si="690">+R309*$X$1</f>
        <v>4021.6</v>
      </c>
      <c r="T309" s="600">
        <f>F309+32</f>
        <v>4015.6</v>
      </c>
      <c r="U309" s="346">
        <f t="shared" ref="U309" si="691">+T309*$X$1</f>
        <v>4015.6</v>
      </c>
      <c r="V309" s="600">
        <f>F309+26</f>
        <v>4009.6</v>
      </c>
      <c r="W309" s="346">
        <f t="shared" ref="W309" si="692">+V309*$X$1</f>
        <v>4009.6</v>
      </c>
      <c r="X309" s="255"/>
      <c r="Y309" s="256"/>
      <c r="Z309" s="256"/>
      <c r="AA309" s="254"/>
      <c r="AB309" s="534">
        <v>2132</v>
      </c>
      <c r="AC309" s="69"/>
    </row>
    <row r="310" spans="1:34" ht="12.6" customHeight="1" x14ac:dyDescent="0.2">
      <c r="A310" s="111"/>
      <c r="B310" s="719" t="s">
        <v>230</v>
      </c>
      <c r="C310" s="720"/>
      <c r="D310" s="720"/>
      <c r="E310" s="720"/>
      <c r="F310" s="481">
        <f>0.445*X2</f>
        <v>409.40000000000003</v>
      </c>
      <c r="G310" s="345">
        <f t="shared" ref="G310:G311" si="693">+F310*$X$1</f>
        <v>409.40000000000003</v>
      </c>
      <c r="H310" s="336"/>
      <c r="I310" s="420"/>
      <c r="J310" s="383"/>
      <c r="K310" s="345"/>
      <c r="L310" s="383">
        <f t="shared" ref="L310" si="694">F310+70</f>
        <v>479.40000000000003</v>
      </c>
      <c r="M310" s="345">
        <f t="shared" si="687"/>
        <v>479.40000000000003</v>
      </c>
      <c r="N310" s="383">
        <f t="shared" ref="N310" si="695">F310+42</f>
        <v>451.40000000000003</v>
      </c>
      <c r="O310" s="345">
        <f t="shared" ref="O310:O311" si="696">+N310*$X$1</f>
        <v>451.40000000000003</v>
      </c>
      <c r="P310" s="383">
        <f t="shared" ref="P310" si="697">F310+38</f>
        <v>447.40000000000003</v>
      </c>
      <c r="Q310" s="345">
        <f t="shared" si="689"/>
        <v>447.40000000000003</v>
      </c>
      <c r="R310" s="383">
        <f t="shared" ref="R310" si="698">F310+29</f>
        <v>438.40000000000003</v>
      </c>
      <c r="S310" s="345">
        <f t="shared" ref="S310:S311" si="699">+R310*$X$1</f>
        <v>438.40000000000003</v>
      </c>
      <c r="T310" s="108">
        <f t="shared" ref="T310" si="700">F310+24</f>
        <v>433.40000000000003</v>
      </c>
      <c r="U310" s="304">
        <f t="shared" ref="U310:U311" si="701">+T310*$X$1</f>
        <v>433.40000000000003</v>
      </c>
      <c r="V310" s="108">
        <f t="shared" ref="V310" si="702">F310+19</f>
        <v>428.40000000000003</v>
      </c>
      <c r="W310" s="304">
        <f t="shared" ref="W310:W311" si="703">+V310*$X$1</f>
        <v>428.40000000000003</v>
      </c>
      <c r="X310" s="144"/>
      <c r="Y310" s="141"/>
      <c r="Z310" s="141"/>
      <c r="AA310" s="141"/>
      <c r="AB310" s="534">
        <v>2145</v>
      </c>
      <c r="AC310" s="69"/>
    </row>
    <row r="311" spans="1:34" ht="12.6" customHeight="1" x14ac:dyDescent="0.2">
      <c r="A311" s="20"/>
      <c r="B311" s="712" t="s">
        <v>231</v>
      </c>
      <c r="C311" s="699"/>
      <c r="D311" s="699"/>
      <c r="E311" s="699"/>
      <c r="F311" s="482">
        <v>48</v>
      </c>
      <c r="G311" s="346">
        <f t="shared" si="693"/>
        <v>48</v>
      </c>
      <c r="H311" s="335"/>
      <c r="I311" s="421"/>
      <c r="J311" s="631">
        <f>F311+115</f>
        <v>163</v>
      </c>
      <c r="K311" s="346">
        <f t="shared" ref="K311" si="704">+J311*$X$1</f>
        <v>163</v>
      </c>
      <c r="L311" s="631">
        <f t="shared" ref="L311" si="705">F311+70</f>
        <v>118</v>
      </c>
      <c r="M311" s="346">
        <f t="shared" ref="M311" si="706">+L311*$X$1</f>
        <v>118</v>
      </c>
      <c r="N311" s="631">
        <f t="shared" ref="N311" si="707">F311+42</f>
        <v>90</v>
      </c>
      <c r="O311" s="346">
        <f t="shared" si="696"/>
        <v>90</v>
      </c>
      <c r="P311" s="631">
        <f t="shared" ref="P311" si="708">F311+38</f>
        <v>86</v>
      </c>
      <c r="Q311" s="346">
        <f t="shared" ref="Q311" si="709">+P311*$X$1</f>
        <v>86</v>
      </c>
      <c r="R311" s="631">
        <f t="shared" ref="R311" si="710">F311+29</f>
        <v>77</v>
      </c>
      <c r="S311" s="346">
        <f t="shared" si="699"/>
        <v>77</v>
      </c>
      <c r="T311" s="107">
        <f t="shared" ref="T311" si="711">F311+24</f>
        <v>72</v>
      </c>
      <c r="U311" s="371">
        <f t="shared" si="701"/>
        <v>72</v>
      </c>
      <c r="V311" s="107">
        <f t="shared" ref="V311" si="712">F311+19</f>
        <v>67</v>
      </c>
      <c r="W311" s="371">
        <f t="shared" si="703"/>
        <v>67</v>
      </c>
      <c r="X311" s="141"/>
      <c r="Y311" s="141"/>
      <c r="Z311" s="141"/>
      <c r="AA311" s="141"/>
      <c r="AB311" s="534">
        <v>2149</v>
      </c>
    </row>
    <row r="312" spans="1:34" ht="12.6" customHeight="1" x14ac:dyDescent="0.25">
      <c r="A312" s="136"/>
      <c r="B312" s="719" t="s">
        <v>232</v>
      </c>
      <c r="C312" s="720"/>
      <c r="D312" s="720"/>
      <c r="E312" s="720"/>
      <c r="F312" s="481">
        <f>0.892*X2</f>
        <v>820.64</v>
      </c>
      <c r="G312" s="345">
        <f>+F312*$X$1</f>
        <v>820.64</v>
      </c>
      <c r="H312" s="336"/>
      <c r="I312" s="420"/>
      <c r="J312" s="635"/>
      <c r="K312" s="345"/>
      <c r="L312" s="636"/>
      <c r="M312" s="345"/>
      <c r="N312" s="636"/>
      <c r="O312" s="637"/>
      <c r="P312" s="336"/>
      <c r="Q312" s="420"/>
      <c r="R312" s="636"/>
      <c r="S312" s="637"/>
      <c r="T312" s="636"/>
      <c r="U312" s="637"/>
      <c r="V312" s="636"/>
      <c r="W312" s="637"/>
      <c r="X312" s="141"/>
      <c r="Y312" s="141"/>
      <c r="Z312" s="141"/>
      <c r="AA312" s="141"/>
      <c r="AB312" s="208">
        <v>2151</v>
      </c>
    </row>
    <row r="313" spans="1:34" ht="12.6" customHeight="1" x14ac:dyDescent="0.2">
      <c r="A313" s="20"/>
      <c r="B313" s="712" t="s">
        <v>233</v>
      </c>
      <c r="C313" s="713"/>
      <c r="D313" s="713"/>
      <c r="E313" s="713"/>
      <c r="F313" s="482">
        <f>0.685*X2</f>
        <v>630.20000000000005</v>
      </c>
      <c r="G313" s="346">
        <f>+F313*$X$1</f>
        <v>630.20000000000005</v>
      </c>
      <c r="H313" s="335"/>
      <c r="I313" s="421"/>
      <c r="J313" s="665"/>
      <c r="K313" s="346"/>
      <c r="L313" s="665">
        <f t="shared" ref="L313" si="713">F313+70</f>
        <v>700.2</v>
      </c>
      <c r="M313" s="346">
        <f t="shared" ref="M313" si="714">+L313*$X$1</f>
        <v>700.2</v>
      </c>
      <c r="N313" s="665">
        <f t="shared" ref="N313" si="715">F313+42</f>
        <v>672.2</v>
      </c>
      <c r="O313" s="346">
        <f t="shared" ref="O313" si="716">+N313*$X$1</f>
        <v>672.2</v>
      </c>
      <c r="P313" s="665">
        <f t="shared" ref="P313" si="717">F313+38</f>
        <v>668.2</v>
      </c>
      <c r="Q313" s="346">
        <f t="shared" ref="Q313" si="718">+P313*$X$1</f>
        <v>668.2</v>
      </c>
      <c r="R313" s="665">
        <f t="shared" ref="R313" si="719">F313+29</f>
        <v>659.2</v>
      </c>
      <c r="S313" s="346">
        <f t="shared" ref="S313" si="720">+R313*$X$1</f>
        <v>659.2</v>
      </c>
      <c r="T313" s="107">
        <f t="shared" ref="T313" si="721">F313+24</f>
        <v>654.20000000000005</v>
      </c>
      <c r="U313" s="371">
        <f t="shared" ref="U313" si="722">+T313*$X$1</f>
        <v>654.20000000000005</v>
      </c>
      <c r="V313" s="107">
        <f t="shared" ref="V313" si="723">F313+19</f>
        <v>649.20000000000005</v>
      </c>
      <c r="W313" s="371">
        <f t="shared" ref="W313" si="724">+V313*$X$1</f>
        <v>649.20000000000005</v>
      </c>
      <c r="X313" s="141"/>
      <c r="Y313" s="141"/>
      <c r="Z313" s="141"/>
      <c r="AA313" s="141"/>
      <c r="AB313" s="534">
        <v>2153</v>
      </c>
      <c r="AC313" s="69"/>
    </row>
    <row r="314" spans="1:34" ht="12.6" customHeight="1" x14ac:dyDescent="0.2">
      <c r="A314" s="20"/>
      <c r="B314" s="719" t="s">
        <v>443</v>
      </c>
      <c r="C314" s="720"/>
      <c r="D314" s="720"/>
      <c r="E314" s="720"/>
      <c r="F314" s="481">
        <f>0.519*X2</f>
        <v>477.48</v>
      </c>
      <c r="G314" s="345">
        <f>+F314*$X$1</f>
        <v>477.48</v>
      </c>
      <c r="H314" s="336"/>
      <c r="I314" s="420"/>
      <c r="J314" s="383"/>
      <c r="K314" s="345"/>
      <c r="L314" s="383">
        <f>F314+70</f>
        <v>547.48</v>
      </c>
      <c r="M314" s="345">
        <f t="shared" ref="M314" si="725">+L314*$X$1</f>
        <v>547.48</v>
      </c>
      <c r="N314" s="383">
        <f>F314+42</f>
        <v>519.48</v>
      </c>
      <c r="O314" s="345">
        <f>+N314*$X$1</f>
        <v>519.48</v>
      </c>
      <c r="P314" s="383">
        <f>F314+38</f>
        <v>515.48</v>
      </c>
      <c r="Q314" s="345">
        <f t="shared" ref="Q314" si="726">+P314*$X$1</f>
        <v>515.48</v>
      </c>
      <c r="R314" s="383">
        <f>F314+29</f>
        <v>506.48</v>
      </c>
      <c r="S314" s="345">
        <f>+R314*$X$1</f>
        <v>506.48</v>
      </c>
      <c r="T314" s="108">
        <f>F314+24</f>
        <v>501.48</v>
      </c>
      <c r="U314" s="304">
        <f>+T314*$X$1</f>
        <v>501.48</v>
      </c>
      <c r="V314" s="108">
        <f>F314+19</f>
        <v>496.48</v>
      </c>
      <c r="W314" s="304">
        <f>+V314*$X$1</f>
        <v>496.48</v>
      </c>
      <c r="X314" s="141"/>
      <c r="Y314" s="149"/>
      <c r="Z314" s="149"/>
      <c r="AA314" s="149"/>
      <c r="AB314" s="551">
        <v>2154</v>
      </c>
      <c r="AC314" s="24"/>
      <c r="AD314" s="24"/>
    </row>
    <row r="315" spans="1:34" ht="12.6" customHeight="1" x14ac:dyDescent="0.2">
      <c r="A315" s="20"/>
      <c r="B315" s="712" t="s">
        <v>444</v>
      </c>
      <c r="C315" s="699"/>
      <c r="D315" s="699"/>
      <c r="E315" s="699"/>
      <c r="F315" s="482">
        <f>0.611*X2</f>
        <v>562.12</v>
      </c>
      <c r="G315" s="346">
        <f>+F315*$X$1</f>
        <v>562.12</v>
      </c>
      <c r="H315" s="335"/>
      <c r="I315" s="421"/>
      <c r="J315" s="683"/>
      <c r="K315" s="346"/>
      <c r="L315" s="683">
        <f>F315+70</f>
        <v>632.12</v>
      </c>
      <c r="M315" s="346">
        <f>+L315*$X$1</f>
        <v>632.12</v>
      </c>
      <c r="N315" s="683">
        <f>F315+42</f>
        <v>604.12</v>
      </c>
      <c r="O315" s="346">
        <f>+N315*$X$1</f>
        <v>604.12</v>
      </c>
      <c r="P315" s="683">
        <f>F315+38</f>
        <v>600.12</v>
      </c>
      <c r="Q315" s="346">
        <f>+P315*$X$1</f>
        <v>600.12</v>
      </c>
      <c r="R315" s="683">
        <f>F315+29</f>
        <v>591.12</v>
      </c>
      <c r="S315" s="346">
        <f>+R315*$X$1</f>
        <v>591.12</v>
      </c>
      <c r="T315" s="107">
        <f>F315+24</f>
        <v>586.12</v>
      </c>
      <c r="U315" s="371">
        <f>+T315*$X$1</f>
        <v>586.12</v>
      </c>
      <c r="V315" s="107">
        <f>F315+19</f>
        <v>581.12</v>
      </c>
      <c r="W315" s="371">
        <f>+V315*$X$1</f>
        <v>581.12</v>
      </c>
      <c r="X315" s="164"/>
      <c r="Y315" s="141"/>
      <c r="Z315" s="149"/>
      <c r="AA315" s="149"/>
      <c r="AB315" s="551">
        <v>2156</v>
      </c>
      <c r="AC315" s="24"/>
      <c r="AD315" s="24"/>
    </row>
    <row r="316" spans="1:34" ht="12.75" customHeight="1" x14ac:dyDescent="0.2">
      <c r="A316" s="20"/>
      <c r="B316" s="3"/>
      <c r="C316" s="3"/>
      <c r="D316" s="3"/>
      <c r="E316" s="3"/>
      <c r="F316" s="4"/>
      <c r="G316" s="4"/>
      <c r="H316" s="26"/>
      <c r="I316" s="2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8"/>
      <c r="W316" s="8"/>
    </row>
    <row r="317" spans="1:34" ht="12.75" customHeight="1" x14ac:dyDescent="0.2">
      <c r="A317" s="20"/>
      <c r="B317" s="3"/>
      <c r="C317" s="3"/>
      <c r="D317" s="3"/>
      <c r="E317" s="3"/>
      <c r="F317" s="4"/>
      <c r="G317" s="4"/>
      <c r="H317" s="26"/>
      <c r="I317" s="2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8"/>
      <c r="W317" s="8"/>
    </row>
    <row r="318" spans="1:34" ht="12.75" customHeight="1" thickBot="1" x14ac:dyDescent="0.25">
      <c r="A318" s="20"/>
      <c r="B318" s="3"/>
      <c r="C318" s="3"/>
      <c r="D318" s="3"/>
      <c r="E318" s="3"/>
      <c r="F318" s="4"/>
      <c r="G318" s="4"/>
      <c r="H318" s="26"/>
      <c r="I318" s="26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8"/>
      <c r="W318" s="8"/>
    </row>
    <row r="319" spans="1:34" ht="14.25" customHeight="1" x14ac:dyDescent="0.2">
      <c r="A319" s="20"/>
      <c r="B319" s="912" t="s">
        <v>11</v>
      </c>
      <c r="C319" s="745" t="s">
        <v>12</v>
      </c>
      <c r="D319" s="746"/>
      <c r="E319" s="746"/>
      <c r="F319" s="817" t="s">
        <v>13</v>
      </c>
      <c r="G319" s="817" t="s">
        <v>13</v>
      </c>
      <c r="H319" s="765" t="s">
        <v>14</v>
      </c>
      <c r="I319" s="765"/>
      <c r="J319" s="766"/>
      <c r="K319" s="766"/>
      <c r="L319" s="766"/>
      <c r="M319" s="766"/>
      <c r="N319" s="766"/>
      <c r="O319" s="766"/>
      <c r="P319" s="766"/>
      <c r="Q319" s="766"/>
      <c r="R319" s="766"/>
      <c r="S319" s="766"/>
      <c r="T319" s="766"/>
      <c r="U319" s="766"/>
      <c r="V319" s="766"/>
      <c r="W319" s="767"/>
      <c r="X319" s="756" t="s">
        <v>15</v>
      </c>
      <c r="Y319" s="757"/>
      <c r="Z319" s="757"/>
      <c r="AA319" s="757"/>
      <c r="AB319" s="754" t="s">
        <v>16</v>
      </c>
      <c r="AF319" s="752" t="s">
        <v>3</v>
      </c>
      <c r="AG319" s="753"/>
      <c r="AH319" s="753"/>
    </row>
    <row r="320" spans="1:34" ht="11.25" customHeight="1" thickBot="1" x14ac:dyDescent="0.25">
      <c r="A320" s="20"/>
      <c r="B320" s="913"/>
      <c r="C320" s="747"/>
      <c r="D320" s="747"/>
      <c r="E320" s="747"/>
      <c r="F320" s="818"/>
      <c r="G320" s="818"/>
      <c r="H320" s="296"/>
      <c r="I320" s="293" t="s">
        <v>311</v>
      </c>
      <c r="J320" s="297"/>
      <c r="K320" s="293" t="s">
        <v>18</v>
      </c>
      <c r="L320" s="298"/>
      <c r="M320" s="298" t="s">
        <v>19</v>
      </c>
      <c r="N320" s="298"/>
      <c r="O320" s="293" t="s">
        <v>20</v>
      </c>
      <c r="P320" s="298"/>
      <c r="Q320" s="298" t="s">
        <v>313</v>
      </c>
      <c r="R320" s="298"/>
      <c r="S320" s="298" t="s">
        <v>21</v>
      </c>
      <c r="T320" s="298"/>
      <c r="U320" s="298" t="s">
        <v>22</v>
      </c>
      <c r="V320" s="298"/>
      <c r="W320" s="300" t="s">
        <v>23</v>
      </c>
      <c r="X320" s="758"/>
      <c r="Y320" s="759"/>
      <c r="Z320" s="759"/>
      <c r="AA320" s="759"/>
      <c r="AB320" s="755"/>
    </row>
    <row r="321" spans="1:34" ht="12.6" customHeight="1" x14ac:dyDescent="0.2">
      <c r="A321" s="20"/>
      <c r="B321" s="774" t="s">
        <v>234</v>
      </c>
      <c r="C321" s="775"/>
      <c r="D321" s="775"/>
      <c r="E321" s="776"/>
      <c r="F321" s="482">
        <f>0.482*X2</f>
        <v>443.44</v>
      </c>
      <c r="G321" s="346">
        <f t="shared" ref="G321" si="727">+F321*$X$1</f>
        <v>443.44</v>
      </c>
      <c r="H321" s="335"/>
      <c r="I321" s="421"/>
      <c r="J321" s="600"/>
      <c r="K321" s="346"/>
      <c r="L321" s="600">
        <f t="shared" ref="L321:L332" si="728">F321+70</f>
        <v>513.44000000000005</v>
      </c>
      <c r="M321" s="346">
        <f t="shared" ref="M321:M332" si="729">+L321*$X$1</f>
        <v>513.44000000000005</v>
      </c>
      <c r="N321" s="600">
        <f t="shared" ref="N321:N332" si="730">F321+42</f>
        <v>485.44</v>
      </c>
      <c r="O321" s="346">
        <f t="shared" ref="O321:O342" si="731">+N321*$X$1</f>
        <v>485.44</v>
      </c>
      <c r="P321" s="600">
        <f t="shared" ref="P321:P332" si="732">F321+38</f>
        <v>481.44</v>
      </c>
      <c r="Q321" s="346">
        <f t="shared" ref="Q321:Q332" si="733">+P321*$X$1</f>
        <v>481.44</v>
      </c>
      <c r="R321" s="600">
        <f t="shared" ref="R321:R332" si="734">F321+29</f>
        <v>472.44</v>
      </c>
      <c r="S321" s="346">
        <f t="shared" ref="S321:S342" si="735">+R321*$X$1</f>
        <v>472.44</v>
      </c>
      <c r="T321" s="107">
        <f t="shared" ref="T321:T332" si="736">F321+24</f>
        <v>467.44</v>
      </c>
      <c r="U321" s="371">
        <f t="shared" ref="U321:U342" si="737">+T321*$X$1</f>
        <v>467.44</v>
      </c>
      <c r="V321" s="107">
        <f t="shared" ref="V321:V332" si="738">F321+19</f>
        <v>462.44</v>
      </c>
      <c r="W321" s="371">
        <f t="shared" ref="W321:W342" si="739">+V321*$X$1</f>
        <v>462.44</v>
      </c>
      <c r="X321" s="141"/>
      <c r="Y321" s="149"/>
      <c r="Z321" s="149"/>
      <c r="AA321" s="149"/>
      <c r="AB321" s="551">
        <v>2160</v>
      </c>
      <c r="AC321" s="24"/>
      <c r="AD321" s="24"/>
      <c r="AH321" s="68"/>
    </row>
    <row r="322" spans="1:34" ht="12.6" customHeight="1" x14ac:dyDescent="0.2">
      <c r="A322" s="101"/>
      <c r="B322" s="933" t="s">
        <v>235</v>
      </c>
      <c r="C322" s="934"/>
      <c r="D322" s="934"/>
      <c r="E322" s="935"/>
      <c r="F322" s="481">
        <f>0.648*X2</f>
        <v>596.16</v>
      </c>
      <c r="G322" s="304">
        <f t="shared" ref="G322:G330" si="740">+F322*$X$1</f>
        <v>596.16</v>
      </c>
      <c r="H322" s="383"/>
      <c r="I322" s="383"/>
      <c r="J322" s="131"/>
      <c r="K322" s="345"/>
      <c r="L322" s="383">
        <f t="shared" si="728"/>
        <v>666.16</v>
      </c>
      <c r="M322" s="345">
        <f t="shared" si="729"/>
        <v>666.16</v>
      </c>
      <c r="N322" s="383">
        <f t="shared" si="730"/>
        <v>638.16</v>
      </c>
      <c r="O322" s="345">
        <f t="shared" si="731"/>
        <v>638.16</v>
      </c>
      <c r="P322" s="383">
        <f t="shared" si="732"/>
        <v>634.16</v>
      </c>
      <c r="Q322" s="345">
        <f t="shared" si="733"/>
        <v>634.16</v>
      </c>
      <c r="R322" s="383">
        <f t="shared" si="734"/>
        <v>625.16</v>
      </c>
      <c r="S322" s="345">
        <f t="shared" si="735"/>
        <v>625.16</v>
      </c>
      <c r="T322" s="108">
        <f t="shared" si="736"/>
        <v>620.16</v>
      </c>
      <c r="U322" s="304">
        <f t="shared" si="737"/>
        <v>620.16</v>
      </c>
      <c r="V322" s="108">
        <f t="shared" si="738"/>
        <v>615.16</v>
      </c>
      <c r="W322" s="304">
        <f t="shared" si="739"/>
        <v>615.16</v>
      </c>
      <c r="X322" s="141"/>
      <c r="Y322" s="149"/>
      <c r="Z322" s="149"/>
      <c r="AA322" s="149"/>
      <c r="AB322" s="534">
        <v>2174</v>
      </c>
      <c r="AC322" s="70"/>
      <c r="AD322" s="24"/>
    </row>
    <row r="323" spans="1:34" ht="12.6" customHeight="1" x14ac:dyDescent="0.2">
      <c r="A323" s="101"/>
      <c r="B323" s="1143" t="s">
        <v>236</v>
      </c>
      <c r="C323" s="1144"/>
      <c r="D323" s="1144"/>
      <c r="E323" s="1145"/>
      <c r="F323" s="482">
        <f>0.648*X2</f>
        <v>596.16</v>
      </c>
      <c r="G323" s="371">
        <f t="shared" si="740"/>
        <v>596.16</v>
      </c>
      <c r="H323" s="600"/>
      <c r="I323" s="600"/>
      <c r="J323" s="130"/>
      <c r="K323" s="346"/>
      <c r="L323" s="600">
        <f t="shared" si="728"/>
        <v>666.16</v>
      </c>
      <c r="M323" s="346">
        <f t="shared" si="729"/>
        <v>666.16</v>
      </c>
      <c r="N323" s="600">
        <f t="shared" si="730"/>
        <v>638.16</v>
      </c>
      <c r="O323" s="346">
        <f t="shared" si="731"/>
        <v>638.16</v>
      </c>
      <c r="P323" s="600">
        <f t="shared" si="732"/>
        <v>634.16</v>
      </c>
      <c r="Q323" s="346">
        <f t="shared" si="733"/>
        <v>634.16</v>
      </c>
      <c r="R323" s="600">
        <f t="shared" si="734"/>
        <v>625.16</v>
      </c>
      <c r="S323" s="346">
        <f t="shared" si="735"/>
        <v>625.16</v>
      </c>
      <c r="T323" s="107">
        <f t="shared" si="736"/>
        <v>620.16</v>
      </c>
      <c r="U323" s="371">
        <f t="shared" si="737"/>
        <v>620.16</v>
      </c>
      <c r="V323" s="107">
        <f t="shared" si="738"/>
        <v>615.16</v>
      </c>
      <c r="W323" s="371">
        <f t="shared" si="739"/>
        <v>615.16</v>
      </c>
      <c r="X323" s="141"/>
      <c r="Y323" s="149"/>
      <c r="Z323" s="149"/>
      <c r="AA323" s="149"/>
      <c r="AB323" s="534" t="s">
        <v>391</v>
      </c>
      <c r="AC323" s="70"/>
      <c r="AD323" s="24"/>
    </row>
    <row r="324" spans="1:34" ht="12.6" customHeight="1" x14ac:dyDescent="0.2">
      <c r="A324" s="101" t="s">
        <v>415</v>
      </c>
      <c r="B324" s="933" t="s">
        <v>422</v>
      </c>
      <c r="C324" s="934"/>
      <c r="D324" s="934"/>
      <c r="E324" s="935"/>
      <c r="F324" s="481">
        <f>0.466*X2</f>
        <v>428.72</v>
      </c>
      <c r="G324" s="304">
        <f t="shared" si="740"/>
        <v>428.72</v>
      </c>
      <c r="H324" s="383"/>
      <c r="I324" s="383"/>
      <c r="J324" s="131"/>
      <c r="K324" s="345"/>
      <c r="L324" s="383">
        <f t="shared" si="728"/>
        <v>498.72</v>
      </c>
      <c r="M324" s="345">
        <f t="shared" si="729"/>
        <v>498.72</v>
      </c>
      <c r="N324" s="383">
        <f t="shared" si="730"/>
        <v>470.72</v>
      </c>
      <c r="O324" s="345">
        <f t="shared" si="731"/>
        <v>470.72</v>
      </c>
      <c r="P324" s="383">
        <f t="shared" si="732"/>
        <v>466.72</v>
      </c>
      <c r="Q324" s="345">
        <f t="shared" si="733"/>
        <v>466.72</v>
      </c>
      <c r="R324" s="383">
        <f t="shared" si="734"/>
        <v>457.72</v>
      </c>
      <c r="S324" s="345">
        <f t="shared" si="735"/>
        <v>457.72</v>
      </c>
      <c r="T324" s="108">
        <f t="shared" si="736"/>
        <v>452.72</v>
      </c>
      <c r="U324" s="304">
        <f t="shared" si="737"/>
        <v>452.72</v>
      </c>
      <c r="V324" s="108">
        <f t="shared" si="738"/>
        <v>447.72</v>
      </c>
      <c r="W324" s="304">
        <f t="shared" si="739"/>
        <v>447.72</v>
      </c>
      <c r="X324" s="141"/>
      <c r="Y324" s="149"/>
      <c r="Z324" s="149"/>
      <c r="AA324" s="149"/>
      <c r="AB324" s="534">
        <v>2176</v>
      </c>
      <c r="AC324" s="552"/>
      <c r="AD324" s="24"/>
    </row>
    <row r="325" spans="1:34" ht="12.6" customHeight="1" x14ac:dyDescent="0.2">
      <c r="A325" s="101"/>
      <c r="B325" s="712" t="s">
        <v>826</v>
      </c>
      <c r="C325" s="699"/>
      <c r="D325" s="699"/>
      <c r="E325" s="699"/>
      <c r="F325" s="482">
        <f>0.614*X2</f>
        <v>564.88</v>
      </c>
      <c r="G325" s="371">
        <f t="shared" si="740"/>
        <v>564.88</v>
      </c>
      <c r="H325" s="600"/>
      <c r="I325" s="600"/>
      <c r="J325" s="130"/>
      <c r="K325" s="346"/>
      <c r="L325" s="600">
        <f t="shared" si="728"/>
        <v>634.88</v>
      </c>
      <c r="M325" s="346">
        <f t="shared" si="729"/>
        <v>634.88</v>
      </c>
      <c r="N325" s="600">
        <f t="shared" si="730"/>
        <v>606.88</v>
      </c>
      <c r="O325" s="346">
        <f t="shared" si="731"/>
        <v>606.88</v>
      </c>
      <c r="P325" s="600">
        <f t="shared" si="732"/>
        <v>602.88</v>
      </c>
      <c r="Q325" s="346">
        <f t="shared" si="733"/>
        <v>602.88</v>
      </c>
      <c r="R325" s="600">
        <f t="shared" si="734"/>
        <v>593.88</v>
      </c>
      <c r="S325" s="346">
        <f t="shared" si="735"/>
        <v>593.88</v>
      </c>
      <c r="T325" s="107">
        <f t="shared" si="736"/>
        <v>588.88</v>
      </c>
      <c r="U325" s="371">
        <f t="shared" si="737"/>
        <v>588.88</v>
      </c>
      <c r="V325" s="107">
        <f t="shared" si="738"/>
        <v>583.88</v>
      </c>
      <c r="W325" s="371">
        <f t="shared" si="739"/>
        <v>583.88</v>
      </c>
      <c r="X325" s="141"/>
      <c r="Y325" s="149"/>
      <c r="Z325" s="149"/>
      <c r="AA325" s="149"/>
      <c r="AB325" s="534">
        <v>2180</v>
      </c>
      <c r="AC325" s="24"/>
      <c r="AD325" s="24"/>
    </row>
    <row r="326" spans="1:34" ht="12" customHeight="1" x14ac:dyDescent="0.2">
      <c r="A326" s="200"/>
      <c r="B326" s="714" t="s">
        <v>237</v>
      </c>
      <c r="C326" s="760"/>
      <c r="D326" s="760"/>
      <c r="E326" s="761"/>
      <c r="F326" s="481">
        <f>0.8*X2</f>
        <v>736</v>
      </c>
      <c r="G326" s="304">
        <f t="shared" si="740"/>
        <v>736</v>
      </c>
      <c r="H326" s="383"/>
      <c r="I326" s="383"/>
      <c r="J326" s="131"/>
      <c r="K326" s="345"/>
      <c r="L326" s="383">
        <f t="shared" si="728"/>
        <v>806</v>
      </c>
      <c r="M326" s="345">
        <f t="shared" si="729"/>
        <v>806</v>
      </c>
      <c r="N326" s="383">
        <f t="shared" si="730"/>
        <v>778</v>
      </c>
      <c r="O326" s="345">
        <f t="shared" si="731"/>
        <v>778</v>
      </c>
      <c r="P326" s="383"/>
      <c r="Q326" s="345"/>
      <c r="R326" s="383"/>
      <c r="S326" s="345"/>
      <c r="T326" s="108"/>
      <c r="U326" s="304"/>
      <c r="V326" s="108"/>
      <c r="W326" s="304"/>
      <c r="X326" s="141"/>
      <c r="Y326" s="141"/>
      <c r="Z326" s="141"/>
      <c r="AA326" s="141"/>
      <c r="AB326" s="534">
        <v>2184</v>
      </c>
    </row>
    <row r="327" spans="1:34" ht="12" customHeight="1" x14ac:dyDescent="0.2">
      <c r="A327" s="200"/>
      <c r="B327" s="774" t="s">
        <v>238</v>
      </c>
      <c r="C327" s="775"/>
      <c r="D327" s="775"/>
      <c r="E327" s="776"/>
      <c r="F327" s="482">
        <f>0.763*X2</f>
        <v>701.96</v>
      </c>
      <c r="G327" s="371">
        <f t="shared" si="740"/>
        <v>701.96</v>
      </c>
      <c r="H327" s="600"/>
      <c r="I327" s="600"/>
      <c r="J327" s="130"/>
      <c r="K327" s="346"/>
      <c r="L327" s="600">
        <f t="shared" si="728"/>
        <v>771.96</v>
      </c>
      <c r="M327" s="346">
        <f t="shared" si="729"/>
        <v>771.96</v>
      </c>
      <c r="N327" s="600">
        <f t="shared" si="730"/>
        <v>743.96</v>
      </c>
      <c r="O327" s="346">
        <f t="shared" si="731"/>
        <v>743.96</v>
      </c>
      <c r="P327" s="600">
        <f t="shared" si="732"/>
        <v>739.96</v>
      </c>
      <c r="Q327" s="346">
        <f t="shared" si="733"/>
        <v>739.96</v>
      </c>
      <c r="R327" s="600">
        <f t="shared" si="734"/>
        <v>730.96</v>
      </c>
      <c r="S327" s="346">
        <f t="shared" si="735"/>
        <v>730.96</v>
      </c>
      <c r="T327" s="107">
        <f t="shared" si="736"/>
        <v>725.96</v>
      </c>
      <c r="U327" s="371">
        <f t="shared" si="737"/>
        <v>725.96</v>
      </c>
      <c r="V327" s="107">
        <f t="shared" si="738"/>
        <v>720.96</v>
      </c>
      <c r="W327" s="371">
        <f t="shared" si="739"/>
        <v>720.96</v>
      </c>
      <c r="X327" s="141"/>
      <c r="Y327" s="141"/>
      <c r="Z327" s="141"/>
      <c r="AA327" s="141"/>
      <c r="AB327" s="534" t="s">
        <v>239</v>
      </c>
    </row>
    <row r="328" spans="1:34" ht="12" customHeight="1" x14ac:dyDescent="0.2">
      <c r="A328" s="101"/>
      <c r="B328" s="714" t="s">
        <v>240</v>
      </c>
      <c r="C328" s="717"/>
      <c r="D328" s="717"/>
      <c r="E328" s="718"/>
      <c r="F328" s="481">
        <f>0.372*X2</f>
        <v>342.24</v>
      </c>
      <c r="G328" s="304">
        <f t="shared" si="740"/>
        <v>342.24</v>
      </c>
      <c r="H328" s="383"/>
      <c r="I328" s="383"/>
      <c r="J328" s="131"/>
      <c r="K328" s="345"/>
      <c r="L328" s="383">
        <f t="shared" si="728"/>
        <v>412.24</v>
      </c>
      <c r="M328" s="345">
        <f t="shared" si="729"/>
        <v>412.24</v>
      </c>
      <c r="N328" s="383">
        <f t="shared" si="730"/>
        <v>384.24</v>
      </c>
      <c r="O328" s="345">
        <f t="shared" si="731"/>
        <v>384.24</v>
      </c>
      <c r="P328" s="383">
        <f t="shared" si="732"/>
        <v>380.24</v>
      </c>
      <c r="Q328" s="345">
        <f t="shared" si="733"/>
        <v>380.24</v>
      </c>
      <c r="R328" s="383">
        <f t="shared" si="734"/>
        <v>371.24</v>
      </c>
      <c r="S328" s="345">
        <f t="shared" si="735"/>
        <v>371.24</v>
      </c>
      <c r="T328" s="108">
        <f t="shared" si="736"/>
        <v>366.24</v>
      </c>
      <c r="U328" s="304">
        <f t="shared" si="737"/>
        <v>366.24</v>
      </c>
      <c r="V328" s="108">
        <f t="shared" si="738"/>
        <v>361.24</v>
      </c>
      <c r="W328" s="304">
        <f t="shared" si="739"/>
        <v>361.24</v>
      </c>
      <c r="X328" s="141"/>
      <c r="Y328" s="141"/>
      <c r="Z328" s="141"/>
      <c r="AA328" s="141"/>
      <c r="AB328" s="534">
        <v>2189</v>
      </c>
    </row>
    <row r="329" spans="1:34" ht="12.6" customHeight="1" x14ac:dyDescent="0.2">
      <c r="A329" s="101"/>
      <c r="B329" s="774" t="s">
        <v>241</v>
      </c>
      <c r="C329" s="775"/>
      <c r="D329" s="775"/>
      <c r="E329" s="776"/>
      <c r="F329" s="482">
        <f>0.652*X2</f>
        <v>599.84</v>
      </c>
      <c r="G329" s="371">
        <f t="shared" si="740"/>
        <v>599.84</v>
      </c>
      <c r="H329" s="600"/>
      <c r="I329" s="600"/>
      <c r="J329" s="130"/>
      <c r="K329" s="346"/>
      <c r="L329" s="600">
        <f t="shared" si="728"/>
        <v>669.84</v>
      </c>
      <c r="M329" s="346">
        <f t="shared" si="729"/>
        <v>669.84</v>
      </c>
      <c r="N329" s="600">
        <f t="shared" si="730"/>
        <v>641.84</v>
      </c>
      <c r="O329" s="346">
        <f t="shared" si="731"/>
        <v>641.84</v>
      </c>
      <c r="P329" s="600">
        <f t="shared" si="732"/>
        <v>637.84</v>
      </c>
      <c r="Q329" s="346">
        <f t="shared" si="733"/>
        <v>637.84</v>
      </c>
      <c r="R329" s="600">
        <f t="shared" si="734"/>
        <v>628.84</v>
      </c>
      <c r="S329" s="346">
        <f t="shared" si="735"/>
        <v>628.84</v>
      </c>
      <c r="T329" s="107">
        <f t="shared" si="736"/>
        <v>623.84</v>
      </c>
      <c r="U329" s="371">
        <f t="shared" si="737"/>
        <v>623.84</v>
      </c>
      <c r="V329" s="107">
        <f t="shared" si="738"/>
        <v>618.84</v>
      </c>
      <c r="W329" s="371">
        <f t="shared" si="739"/>
        <v>618.84</v>
      </c>
      <c r="X329" s="141"/>
      <c r="Y329" s="141"/>
      <c r="Z329" s="141"/>
      <c r="AA329" s="141"/>
      <c r="AB329" s="534">
        <v>2190</v>
      </c>
    </row>
    <row r="330" spans="1:34" ht="12.6" customHeight="1" x14ac:dyDescent="0.2">
      <c r="A330" s="20"/>
      <c r="B330" s="1265" t="s">
        <v>242</v>
      </c>
      <c r="C330" s="717"/>
      <c r="D330" s="717"/>
      <c r="E330" s="718"/>
      <c r="F330" s="481">
        <f>0.521*X2</f>
        <v>479.32</v>
      </c>
      <c r="G330" s="304">
        <f t="shared" si="740"/>
        <v>479.32</v>
      </c>
      <c r="H330" s="383"/>
      <c r="I330" s="383"/>
      <c r="J330" s="131"/>
      <c r="K330" s="345"/>
      <c r="L330" s="383">
        <f t="shared" si="728"/>
        <v>549.31999999999994</v>
      </c>
      <c r="M330" s="345">
        <f t="shared" si="729"/>
        <v>549.31999999999994</v>
      </c>
      <c r="N330" s="383">
        <f t="shared" si="730"/>
        <v>521.31999999999994</v>
      </c>
      <c r="O330" s="345">
        <f t="shared" si="731"/>
        <v>521.31999999999994</v>
      </c>
      <c r="P330" s="383">
        <f t="shared" si="732"/>
        <v>517.31999999999994</v>
      </c>
      <c r="Q330" s="345">
        <f t="shared" si="733"/>
        <v>517.31999999999994</v>
      </c>
      <c r="R330" s="383">
        <f t="shared" si="734"/>
        <v>508.32</v>
      </c>
      <c r="S330" s="345">
        <f t="shared" si="735"/>
        <v>508.32</v>
      </c>
      <c r="T330" s="108">
        <f t="shared" si="736"/>
        <v>503.32</v>
      </c>
      <c r="U330" s="304">
        <f t="shared" si="737"/>
        <v>503.32</v>
      </c>
      <c r="V330" s="108">
        <f t="shared" si="738"/>
        <v>498.32</v>
      </c>
      <c r="W330" s="304">
        <f t="shared" si="739"/>
        <v>498.32</v>
      </c>
      <c r="X330" s="197"/>
      <c r="Y330" s="198"/>
      <c r="Z330" s="198"/>
      <c r="AA330" s="197"/>
      <c r="AB330" s="534">
        <v>2193</v>
      </c>
    </row>
    <row r="331" spans="1:34" ht="12.6" customHeight="1" x14ac:dyDescent="0.2">
      <c r="A331" s="20"/>
      <c r="B331" s="712" t="s">
        <v>243</v>
      </c>
      <c r="C331" s="699"/>
      <c r="D331" s="699"/>
      <c r="E331" s="699"/>
      <c r="F331" s="482">
        <f>0.614*X2</f>
        <v>564.88</v>
      </c>
      <c r="G331" s="371">
        <f t="shared" ref="G331:G338" si="741">+F331*$X$1</f>
        <v>564.88</v>
      </c>
      <c r="H331" s="600"/>
      <c r="I331" s="600"/>
      <c r="J331" s="130"/>
      <c r="K331" s="346"/>
      <c r="L331" s="600">
        <f t="shared" si="728"/>
        <v>634.88</v>
      </c>
      <c r="M331" s="346">
        <f t="shared" si="729"/>
        <v>634.88</v>
      </c>
      <c r="N331" s="600">
        <f t="shared" si="730"/>
        <v>606.88</v>
      </c>
      <c r="O331" s="346">
        <f t="shared" si="731"/>
        <v>606.88</v>
      </c>
      <c r="P331" s="600">
        <f t="shared" si="732"/>
        <v>602.88</v>
      </c>
      <c r="Q331" s="346">
        <f t="shared" si="733"/>
        <v>602.88</v>
      </c>
      <c r="R331" s="600">
        <f t="shared" si="734"/>
        <v>593.88</v>
      </c>
      <c r="S331" s="346">
        <f t="shared" si="735"/>
        <v>593.88</v>
      </c>
      <c r="T331" s="107">
        <f t="shared" si="736"/>
        <v>588.88</v>
      </c>
      <c r="U331" s="371">
        <f t="shared" si="737"/>
        <v>588.88</v>
      </c>
      <c r="V331" s="107">
        <f t="shared" si="738"/>
        <v>583.88</v>
      </c>
      <c r="W331" s="371">
        <f t="shared" si="739"/>
        <v>583.88</v>
      </c>
      <c r="X331" s="141"/>
      <c r="Y331" s="141"/>
      <c r="Z331" s="141"/>
      <c r="AA331" s="141"/>
      <c r="AB331" s="534">
        <v>2194</v>
      </c>
    </row>
    <row r="332" spans="1:34" ht="12.6" customHeight="1" x14ac:dyDescent="0.2">
      <c r="A332" s="20"/>
      <c r="B332" s="1289" t="s">
        <v>244</v>
      </c>
      <c r="C332" s="1290"/>
      <c r="D332" s="1290"/>
      <c r="E332" s="1291"/>
      <c r="F332" s="481">
        <f>0.67*X2</f>
        <v>616.40000000000009</v>
      </c>
      <c r="G332" s="304">
        <f t="shared" si="741"/>
        <v>616.40000000000009</v>
      </c>
      <c r="H332" s="383"/>
      <c r="I332" s="383"/>
      <c r="J332" s="131"/>
      <c r="K332" s="345"/>
      <c r="L332" s="383">
        <f t="shared" si="728"/>
        <v>686.40000000000009</v>
      </c>
      <c r="M332" s="345">
        <f t="shared" si="729"/>
        <v>686.40000000000009</v>
      </c>
      <c r="N332" s="383">
        <f t="shared" si="730"/>
        <v>658.40000000000009</v>
      </c>
      <c r="O332" s="345">
        <f t="shared" si="731"/>
        <v>658.40000000000009</v>
      </c>
      <c r="P332" s="383">
        <f t="shared" si="732"/>
        <v>654.40000000000009</v>
      </c>
      <c r="Q332" s="345">
        <f t="shared" si="733"/>
        <v>654.40000000000009</v>
      </c>
      <c r="R332" s="383">
        <f t="shared" si="734"/>
        <v>645.40000000000009</v>
      </c>
      <c r="S332" s="345">
        <f t="shared" si="735"/>
        <v>645.40000000000009</v>
      </c>
      <c r="T332" s="108">
        <f t="shared" si="736"/>
        <v>640.40000000000009</v>
      </c>
      <c r="U332" s="304">
        <f t="shared" si="737"/>
        <v>640.40000000000009</v>
      </c>
      <c r="V332" s="108">
        <f t="shared" si="738"/>
        <v>635.40000000000009</v>
      </c>
      <c r="W332" s="304">
        <f t="shared" si="739"/>
        <v>635.40000000000009</v>
      </c>
      <c r="X332" s="141"/>
      <c r="Y332" s="141"/>
      <c r="Z332" s="141"/>
      <c r="AA332" s="141"/>
      <c r="AB332" s="534">
        <v>2195</v>
      </c>
    </row>
    <row r="333" spans="1:34" ht="12.6" customHeight="1" x14ac:dyDescent="0.2">
      <c r="A333" s="20"/>
      <c r="B333" s="712" t="s">
        <v>245</v>
      </c>
      <c r="C333" s="699"/>
      <c r="D333" s="699"/>
      <c r="E333" s="699"/>
      <c r="F333" s="482">
        <f>0.652*X2</f>
        <v>599.84</v>
      </c>
      <c r="G333" s="371">
        <f t="shared" si="741"/>
        <v>599.84</v>
      </c>
      <c r="H333" s="600"/>
      <c r="I333" s="600"/>
      <c r="J333" s="600"/>
      <c r="K333" s="346"/>
      <c r="L333" s="600">
        <f t="shared" ref="L333:L342" si="742">F333+70</f>
        <v>669.84</v>
      </c>
      <c r="M333" s="346">
        <f t="shared" ref="M333:M342" si="743">+L333*$X$1</f>
        <v>669.84</v>
      </c>
      <c r="N333" s="600">
        <f t="shared" ref="N333:N342" si="744">F333+42</f>
        <v>641.84</v>
      </c>
      <c r="O333" s="346">
        <f t="shared" si="731"/>
        <v>641.84</v>
      </c>
      <c r="P333" s="600">
        <f t="shared" ref="P333:P342" si="745">F333+38</f>
        <v>637.84</v>
      </c>
      <c r="Q333" s="346">
        <f t="shared" ref="Q333:Q342" si="746">+P333*$X$1</f>
        <v>637.84</v>
      </c>
      <c r="R333" s="600">
        <f t="shared" ref="R333:R342" si="747">F333+29</f>
        <v>628.84</v>
      </c>
      <c r="S333" s="346">
        <f t="shared" si="735"/>
        <v>628.84</v>
      </c>
      <c r="T333" s="107"/>
      <c r="U333" s="371"/>
      <c r="V333" s="107"/>
      <c r="W333" s="371"/>
      <c r="X333" s="141"/>
      <c r="Y333" s="141"/>
      <c r="Z333" s="141"/>
      <c r="AA333" s="141"/>
      <c r="AB333" s="534">
        <v>2198</v>
      </c>
    </row>
    <row r="334" spans="1:34" ht="12.6" customHeight="1" x14ac:dyDescent="0.2">
      <c r="A334" s="111"/>
      <c r="B334" s="719" t="s">
        <v>379</v>
      </c>
      <c r="C334" s="762"/>
      <c r="D334" s="762"/>
      <c r="E334" s="762"/>
      <c r="F334" s="481">
        <f>0.56*X2</f>
        <v>515.20000000000005</v>
      </c>
      <c r="G334" s="304">
        <f t="shared" si="741"/>
        <v>515.20000000000005</v>
      </c>
      <c r="H334" s="383"/>
      <c r="I334" s="383"/>
      <c r="J334" s="383"/>
      <c r="K334" s="345"/>
      <c r="L334" s="383">
        <f t="shared" si="742"/>
        <v>585.20000000000005</v>
      </c>
      <c r="M334" s="345">
        <f t="shared" si="743"/>
        <v>585.20000000000005</v>
      </c>
      <c r="N334" s="383">
        <f t="shared" si="744"/>
        <v>557.20000000000005</v>
      </c>
      <c r="O334" s="345">
        <f t="shared" si="731"/>
        <v>557.20000000000005</v>
      </c>
      <c r="P334" s="383">
        <f t="shared" si="745"/>
        <v>553.20000000000005</v>
      </c>
      <c r="Q334" s="345">
        <f t="shared" si="746"/>
        <v>553.20000000000005</v>
      </c>
      <c r="R334" s="383">
        <f t="shared" si="747"/>
        <v>544.20000000000005</v>
      </c>
      <c r="S334" s="345">
        <f t="shared" si="735"/>
        <v>544.20000000000005</v>
      </c>
      <c r="T334" s="108">
        <f t="shared" ref="T334:T342" si="748">F334+24</f>
        <v>539.20000000000005</v>
      </c>
      <c r="U334" s="304">
        <f t="shared" si="737"/>
        <v>539.20000000000005</v>
      </c>
      <c r="V334" s="108">
        <f t="shared" ref="V334:V342" si="749">F334+19</f>
        <v>534.20000000000005</v>
      </c>
      <c r="W334" s="304">
        <f t="shared" si="739"/>
        <v>534.20000000000005</v>
      </c>
      <c r="X334" s="166"/>
      <c r="Y334" s="141"/>
      <c r="Z334" s="141"/>
      <c r="AA334" s="141"/>
      <c r="AB334" s="534">
        <v>2202</v>
      </c>
    </row>
    <row r="335" spans="1:34" ht="12.6" customHeight="1" x14ac:dyDescent="0.2">
      <c r="A335" s="111"/>
      <c r="B335" s="712" t="s">
        <v>380</v>
      </c>
      <c r="C335" s="713"/>
      <c r="D335" s="713"/>
      <c r="E335" s="713"/>
      <c r="F335" s="482">
        <f>0.56*X2</f>
        <v>515.20000000000005</v>
      </c>
      <c r="G335" s="371">
        <f t="shared" si="741"/>
        <v>515.20000000000005</v>
      </c>
      <c r="H335" s="600"/>
      <c r="I335" s="600"/>
      <c r="J335" s="600"/>
      <c r="K335" s="346"/>
      <c r="L335" s="600">
        <f t="shared" si="742"/>
        <v>585.20000000000005</v>
      </c>
      <c r="M335" s="346">
        <f t="shared" si="743"/>
        <v>585.20000000000005</v>
      </c>
      <c r="N335" s="600">
        <f t="shared" si="744"/>
        <v>557.20000000000005</v>
      </c>
      <c r="O335" s="346">
        <f t="shared" si="731"/>
        <v>557.20000000000005</v>
      </c>
      <c r="P335" s="600">
        <f t="shared" si="745"/>
        <v>553.20000000000005</v>
      </c>
      <c r="Q335" s="346">
        <f t="shared" si="746"/>
        <v>553.20000000000005</v>
      </c>
      <c r="R335" s="600">
        <f t="shared" si="747"/>
        <v>544.20000000000005</v>
      </c>
      <c r="S335" s="346">
        <f t="shared" si="735"/>
        <v>544.20000000000005</v>
      </c>
      <c r="T335" s="107">
        <f t="shared" si="748"/>
        <v>539.20000000000005</v>
      </c>
      <c r="U335" s="371">
        <f t="shared" si="737"/>
        <v>539.20000000000005</v>
      </c>
      <c r="V335" s="107">
        <f t="shared" si="749"/>
        <v>534.20000000000005</v>
      </c>
      <c r="W335" s="371">
        <f t="shared" si="739"/>
        <v>534.20000000000005</v>
      </c>
      <c r="X335" s="141"/>
      <c r="Y335" s="141"/>
      <c r="Z335" s="141"/>
      <c r="AA335" s="141"/>
      <c r="AB335" s="534" t="s">
        <v>246</v>
      </c>
    </row>
    <row r="336" spans="1:34" ht="12.6" customHeight="1" x14ac:dyDescent="0.2">
      <c r="A336" s="111"/>
      <c r="B336" s="719" t="s">
        <v>381</v>
      </c>
      <c r="C336" s="762"/>
      <c r="D336" s="762"/>
      <c r="E336" s="762"/>
      <c r="F336" s="481">
        <f>0.58*X2</f>
        <v>533.59999999999991</v>
      </c>
      <c r="G336" s="304">
        <f t="shared" ref="G336:G339" si="750">+F336*$X$1</f>
        <v>533.59999999999991</v>
      </c>
      <c r="H336" s="383"/>
      <c r="I336" s="383"/>
      <c r="J336" s="383"/>
      <c r="K336" s="345"/>
      <c r="L336" s="383">
        <f t="shared" si="742"/>
        <v>603.59999999999991</v>
      </c>
      <c r="M336" s="345">
        <f t="shared" si="743"/>
        <v>603.59999999999991</v>
      </c>
      <c r="N336" s="383">
        <f t="shared" si="744"/>
        <v>575.59999999999991</v>
      </c>
      <c r="O336" s="345">
        <f t="shared" si="731"/>
        <v>575.59999999999991</v>
      </c>
      <c r="P336" s="383">
        <f t="shared" si="745"/>
        <v>571.59999999999991</v>
      </c>
      <c r="Q336" s="345">
        <f t="shared" si="746"/>
        <v>571.59999999999991</v>
      </c>
      <c r="R336" s="383">
        <f t="shared" si="747"/>
        <v>562.59999999999991</v>
      </c>
      <c r="S336" s="345">
        <f t="shared" si="735"/>
        <v>562.59999999999991</v>
      </c>
      <c r="T336" s="108">
        <f t="shared" si="748"/>
        <v>557.59999999999991</v>
      </c>
      <c r="U336" s="304">
        <f t="shared" si="737"/>
        <v>557.59999999999991</v>
      </c>
      <c r="V336" s="108">
        <f t="shared" si="749"/>
        <v>552.59999999999991</v>
      </c>
      <c r="W336" s="304">
        <f t="shared" si="739"/>
        <v>552.59999999999991</v>
      </c>
      <c r="X336" s="141"/>
      <c r="Y336" s="141"/>
      <c r="Z336" s="141"/>
      <c r="AA336" s="141"/>
      <c r="AB336" s="534" t="s">
        <v>247</v>
      </c>
    </row>
    <row r="337" spans="1:31" ht="12.6" customHeight="1" x14ac:dyDescent="0.2">
      <c r="A337" s="111"/>
      <c r="B337" s="1281" t="s">
        <v>760</v>
      </c>
      <c r="C337" s="1296"/>
      <c r="D337" s="1296"/>
      <c r="E337" s="1297"/>
      <c r="F337" s="482">
        <f>0.708*X2</f>
        <v>651.36</v>
      </c>
      <c r="G337" s="371">
        <f t="shared" si="750"/>
        <v>651.36</v>
      </c>
      <c r="H337" s="600"/>
      <c r="I337" s="600"/>
      <c r="J337" s="600"/>
      <c r="K337" s="346"/>
      <c r="L337" s="600">
        <f t="shared" si="742"/>
        <v>721.36</v>
      </c>
      <c r="M337" s="346">
        <f t="shared" si="743"/>
        <v>721.36</v>
      </c>
      <c r="N337" s="600">
        <f t="shared" si="744"/>
        <v>693.36</v>
      </c>
      <c r="O337" s="346">
        <f t="shared" si="731"/>
        <v>693.36</v>
      </c>
      <c r="P337" s="600">
        <f t="shared" si="745"/>
        <v>689.36</v>
      </c>
      <c r="Q337" s="346">
        <f t="shared" si="746"/>
        <v>689.36</v>
      </c>
      <c r="R337" s="600">
        <f t="shared" si="747"/>
        <v>680.36</v>
      </c>
      <c r="S337" s="346">
        <f t="shared" si="735"/>
        <v>680.36</v>
      </c>
      <c r="T337" s="107">
        <f t="shared" si="748"/>
        <v>675.36</v>
      </c>
      <c r="U337" s="371">
        <f t="shared" si="737"/>
        <v>675.36</v>
      </c>
      <c r="V337" s="107">
        <f t="shared" si="749"/>
        <v>670.36</v>
      </c>
      <c r="W337" s="371">
        <f t="shared" si="739"/>
        <v>670.36</v>
      </c>
      <c r="X337" s="735"/>
      <c r="Y337" s="735"/>
      <c r="Z337" s="735"/>
      <c r="AA337" s="706"/>
      <c r="AB337" s="534" t="s">
        <v>764</v>
      </c>
      <c r="AC337" s="69"/>
      <c r="AE337" s="91"/>
    </row>
    <row r="338" spans="1:31" ht="12.6" customHeight="1" x14ac:dyDescent="0.2">
      <c r="A338" s="111"/>
      <c r="B338" s="1059" t="s">
        <v>248</v>
      </c>
      <c r="C338" s="1294"/>
      <c r="D338" s="1294"/>
      <c r="E338" s="1295"/>
      <c r="F338" s="481">
        <f>0.8*X2</f>
        <v>736</v>
      </c>
      <c r="G338" s="304">
        <f t="shared" si="741"/>
        <v>736</v>
      </c>
      <c r="H338" s="383"/>
      <c r="I338" s="383"/>
      <c r="J338" s="383"/>
      <c r="K338" s="345"/>
      <c r="L338" s="383">
        <f t="shared" si="742"/>
        <v>806</v>
      </c>
      <c r="M338" s="345">
        <f t="shared" si="743"/>
        <v>806</v>
      </c>
      <c r="N338" s="383">
        <f t="shared" si="744"/>
        <v>778</v>
      </c>
      <c r="O338" s="345">
        <f t="shared" si="731"/>
        <v>778</v>
      </c>
      <c r="P338" s="383">
        <f t="shared" si="745"/>
        <v>774</v>
      </c>
      <c r="Q338" s="345">
        <f t="shared" si="746"/>
        <v>774</v>
      </c>
      <c r="R338" s="383">
        <f t="shared" si="747"/>
        <v>765</v>
      </c>
      <c r="S338" s="345">
        <f t="shared" si="735"/>
        <v>765</v>
      </c>
      <c r="T338" s="108">
        <f t="shared" si="748"/>
        <v>760</v>
      </c>
      <c r="U338" s="304">
        <f t="shared" si="737"/>
        <v>760</v>
      </c>
      <c r="V338" s="108">
        <f t="shared" si="749"/>
        <v>755</v>
      </c>
      <c r="W338" s="304">
        <f t="shared" si="739"/>
        <v>755</v>
      </c>
      <c r="X338" s="735"/>
      <c r="Y338" s="735"/>
      <c r="Z338" s="735"/>
      <c r="AA338" s="706"/>
      <c r="AB338" s="534" t="s">
        <v>249</v>
      </c>
      <c r="AC338" s="69"/>
      <c r="AE338" s="91"/>
    </row>
    <row r="339" spans="1:31" ht="12.6" customHeight="1" x14ac:dyDescent="0.2">
      <c r="A339" s="101"/>
      <c r="B339" s="768" t="s">
        <v>250</v>
      </c>
      <c r="C339" s="1308"/>
      <c r="D339" s="1308"/>
      <c r="E339" s="1309"/>
      <c r="F339" s="482">
        <f>0.782*X2</f>
        <v>719.44</v>
      </c>
      <c r="G339" s="371">
        <f t="shared" si="750"/>
        <v>719.44</v>
      </c>
      <c r="H339" s="600"/>
      <c r="I339" s="600"/>
      <c r="J339" s="600"/>
      <c r="K339" s="346"/>
      <c r="L339" s="600">
        <f t="shared" si="742"/>
        <v>789.44</v>
      </c>
      <c r="M339" s="346">
        <f t="shared" si="743"/>
        <v>789.44</v>
      </c>
      <c r="N339" s="600">
        <f t="shared" si="744"/>
        <v>761.44</v>
      </c>
      <c r="O339" s="346">
        <f t="shared" si="731"/>
        <v>761.44</v>
      </c>
      <c r="P339" s="600">
        <f t="shared" si="745"/>
        <v>757.44</v>
      </c>
      <c r="Q339" s="346">
        <f t="shared" si="746"/>
        <v>757.44</v>
      </c>
      <c r="R339" s="600">
        <f t="shared" si="747"/>
        <v>748.44</v>
      </c>
      <c r="S339" s="346">
        <f t="shared" si="735"/>
        <v>748.44</v>
      </c>
      <c r="T339" s="107">
        <f t="shared" si="748"/>
        <v>743.44</v>
      </c>
      <c r="U339" s="371">
        <f t="shared" si="737"/>
        <v>743.44</v>
      </c>
      <c r="V339" s="107">
        <f t="shared" si="749"/>
        <v>738.44</v>
      </c>
      <c r="W339" s="371">
        <f t="shared" si="739"/>
        <v>738.44</v>
      </c>
      <c r="X339" s="184"/>
      <c r="Y339" s="141"/>
      <c r="Z339" s="141"/>
      <c r="AA339" s="141"/>
      <c r="AB339" s="534">
        <v>2203</v>
      </c>
      <c r="AC339" s="246"/>
    </row>
    <row r="340" spans="1:31" ht="12.6" customHeight="1" x14ac:dyDescent="0.2">
      <c r="A340" s="101"/>
      <c r="B340" s="1115" t="s">
        <v>251</v>
      </c>
      <c r="C340" s="1284"/>
      <c r="D340" s="1284"/>
      <c r="E340" s="1284"/>
      <c r="F340" s="481">
        <f>0.838*X2</f>
        <v>770.95999999999992</v>
      </c>
      <c r="G340" s="304">
        <f>+F340*$X$1</f>
        <v>770.95999999999992</v>
      </c>
      <c r="H340" s="383"/>
      <c r="I340" s="383"/>
      <c r="J340" s="383"/>
      <c r="K340" s="345"/>
      <c r="L340" s="383">
        <f t="shared" si="742"/>
        <v>840.95999999999992</v>
      </c>
      <c r="M340" s="345">
        <f t="shared" si="743"/>
        <v>840.95999999999992</v>
      </c>
      <c r="N340" s="383">
        <f t="shared" si="744"/>
        <v>812.95999999999992</v>
      </c>
      <c r="O340" s="345">
        <f t="shared" si="731"/>
        <v>812.95999999999992</v>
      </c>
      <c r="P340" s="383">
        <f t="shared" si="745"/>
        <v>808.95999999999992</v>
      </c>
      <c r="Q340" s="345">
        <f t="shared" si="746"/>
        <v>808.95999999999992</v>
      </c>
      <c r="R340" s="383">
        <f t="shared" si="747"/>
        <v>799.95999999999992</v>
      </c>
      <c r="S340" s="345">
        <f t="shared" si="735"/>
        <v>799.95999999999992</v>
      </c>
      <c r="T340" s="108">
        <f t="shared" si="748"/>
        <v>794.95999999999992</v>
      </c>
      <c r="U340" s="304">
        <f t="shared" si="737"/>
        <v>794.95999999999992</v>
      </c>
      <c r="V340" s="108">
        <f t="shared" si="749"/>
        <v>789.95999999999992</v>
      </c>
      <c r="W340" s="304">
        <f t="shared" si="739"/>
        <v>789.95999999999992</v>
      </c>
      <c r="X340" s="185"/>
      <c r="Y340" s="145"/>
      <c r="Z340" s="145"/>
      <c r="AA340" s="148"/>
      <c r="AB340" s="534">
        <v>2205</v>
      </c>
      <c r="AC340" s="69"/>
    </row>
    <row r="341" spans="1:31" ht="12.6" customHeight="1" x14ac:dyDescent="0.2">
      <c r="A341" s="101"/>
      <c r="B341" s="712" t="s">
        <v>252</v>
      </c>
      <c r="C341" s="713"/>
      <c r="D341" s="713"/>
      <c r="E341" s="713"/>
      <c r="F341" s="482">
        <f>0.521*X2</f>
        <v>479.32</v>
      </c>
      <c r="G341" s="371">
        <f>+F341*$X$1</f>
        <v>479.32</v>
      </c>
      <c r="H341" s="600"/>
      <c r="I341" s="600"/>
      <c r="J341" s="600"/>
      <c r="K341" s="346"/>
      <c r="L341" s="600">
        <f t="shared" si="742"/>
        <v>549.31999999999994</v>
      </c>
      <c r="M341" s="346">
        <f t="shared" si="743"/>
        <v>549.31999999999994</v>
      </c>
      <c r="N341" s="600">
        <f t="shared" si="744"/>
        <v>521.31999999999994</v>
      </c>
      <c r="O341" s="346">
        <f t="shared" si="731"/>
        <v>521.31999999999994</v>
      </c>
      <c r="P341" s="600">
        <f t="shared" si="745"/>
        <v>517.31999999999994</v>
      </c>
      <c r="Q341" s="346">
        <f t="shared" si="746"/>
        <v>517.31999999999994</v>
      </c>
      <c r="R341" s="600">
        <f t="shared" si="747"/>
        <v>508.32</v>
      </c>
      <c r="S341" s="346">
        <f t="shared" si="735"/>
        <v>508.32</v>
      </c>
      <c r="T341" s="107">
        <f t="shared" si="748"/>
        <v>503.32</v>
      </c>
      <c r="U341" s="371">
        <f t="shared" si="737"/>
        <v>503.32</v>
      </c>
      <c r="V341" s="107">
        <f t="shared" si="749"/>
        <v>498.32</v>
      </c>
      <c r="W341" s="371">
        <f t="shared" si="739"/>
        <v>498.32</v>
      </c>
      <c r="X341" s="145"/>
      <c r="Y341" s="145"/>
      <c r="Z341" s="145"/>
      <c r="AA341" s="148"/>
      <c r="AB341" s="534">
        <v>2207</v>
      </c>
    </row>
    <row r="342" spans="1:31" ht="12.6" customHeight="1" x14ac:dyDescent="0.2">
      <c r="A342" s="101"/>
      <c r="B342" s="719" t="s">
        <v>253</v>
      </c>
      <c r="C342" s="762"/>
      <c r="D342" s="762"/>
      <c r="E342" s="762"/>
      <c r="F342" s="481">
        <f>0.42*X2</f>
        <v>386.4</v>
      </c>
      <c r="G342" s="626">
        <f>+F342*$X$1</f>
        <v>386.4</v>
      </c>
      <c r="H342" s="120"/>
      <c r="I342" s="120"/>
      <c r="J342" s="120"/>
      <c r="K342" s="347"/>
      <c r="L342" s="383">
        <f t="shared" si="742"/>
        <v>456.4</v>
      </c>
      <c r="M342" s="345">
        <f t="shared" si="743"/>
        <v>456.4</v>
      </c>
      <c r="N342" s="383">
        <f t="shared" si="744"/>
        <v>428.4</v>
      </c>
      <c r="O342" s="345">
        <f t="shared" si="731"/>
        <v>428.4</v>
      </c>
      <c r="P342" s="383">
        <f t="shared" si="745"/>
        <v>424.4</v>
      </c>
      <c r="Q342" s="345">
        <f t="shared" si="746"/>
        <v>424.4</v>
      </c>
      <c r="R342" s="383">
        <f t="shared" si="747"/>
        <v>415.4</v>
      </c>
      <c r="S342" s="345">
        <f t="shared" si="735"/>
        <v>415.4</v>
      </c>
      <c r="T342" s="108">
        <f t="shared" si="748"/>
        <v>410.4</v>
      </c>
      <c r="U342" s="304">
        <f t="shared" si="737"/>
        <v>410.4</v>
      </c>
      <c r="V342" s="108">
        <f t="shared" si="749"/>
        <v>405.4</v>
      </c>
      <c r="W342" s="304">
        <f t="shared" si="739"/>
        <v>405.4</v>
      </c>
      <c r="X342" s="145"/>
      <c r="Y342" s="145"/>
      <c r="Z342" s="145"/>
      <c r="AA342" s="148"/>
      <c r="AB342" s="534">
        <v>2209</v>
      </c>
    </row>
    <row r="343" spans="1:31" ht="12.6" customHeight="1" x14ac:dyDescent="0.2">
      <c r="A343" s="101"/>
      <c r="B343" s="1292" t="s">
        <v>254</v>
      </c>
      <c r="C343" s="1293"/>
      <c r="D343" s="1293"/>
      <c r="E343" s="1293"/>
      <c r="F343" s="482">
        <f>4.636*X2</f>
        <v>4265.12</v>
      </c>
      <c r="G343" s="346">
        <f t="shared" ref="G343" si="751">+F343*$X$1</f>
        <v>4265.12</v>
      </c>
      <c r="H343" s="600">
        <f>F343+250</f>
        <v>4515.12</v>
      </c>
      <c r="I343" s="346">
        <f>+H343*$X$1</f>
        <v>4515.12</v>
      </c>
      <c r="J343" s="600">
        <f>F343+80</f>
        <v>4345.12</v>
      </c>
      <c r="K343" s="346">
        <f t="shared" ref="K343" si="752">+J343*$X$1</f>
        <v>4345.12</v>
      </c>
      <c r="L343" s="600">
        <f>F343+60</f>
        <v>4325.12</v>
      </c>
      <c r="M343" s="346">
        <f t="shared" ref="M343" si="753">+L343*$X$1</f>
        <v>4325.12</v>
      </c>
      <c r="N343" s="600">
        <f>F343+40</f>
        <v>4305.12</v>
      </c>
      <c r="O343" s="346">
        <f t="shared" ref="O343" si="754">+N343*$X$1</f>
        <v>4305.12</v>
      </c>
      <c r="P343" s="600">
        <f>F343+37</f>
        <v>4302.12</v>
      </c>
      <c r="Q343" s="346">
        <f t="shared" ref="Q343" si="755">+P343*$X$1</f>
        <v>4302.12</v>
      </c>
      <c r="R343" s="600">
        <f>F343+33</f>
        <v>4298.12</v>
      </c>
      <c r="S343" s="346">
        <f t="shared" ref="S343" si="756">+R343*$X$1</f>
        <v>4298.12</v>
      </c>
      <c r="T343" s="600">
        <f>F343+29</f>
        <v>4294.12</v>
      </c>
      <c r="U343" s="346">
        <f t="shared" ref="U343" si="757">+T343*$X$1</f>
        <v>4294.12</v>
      </c>
      <c r="V343" s="600">
        <f>F343+25</f>
        <v>4290.12</v>
      </c>
      <c r="W343" s="346">
        <f t="shared" ref="W343" si="758">+V343*$X$1</f>
        <v>4290.12</v>
      </c>
      <c r="X343" s="704"/>
      <c r="Y343" s="735"/>
      <c r="Z343" s="735"/>
      <c r="AA343" s="706"/>
      <c r="AB343" s="534">
        <v>2216</v>
      </c>
      <c r="AC343" s="69"/>
    </row>
    <row r="344" spans="1:31" ht="12.6" customHeight="1" x14ac:dyDescent="0.2">
      <c r="A344" s="111"/>
      <c r="B344" s="943" t="s">
        <v>423</v>
      </c>
      <c r="C344" s="910"/>
      <c r="D344" s="910"/>
      <c r="E344" s="910"/>
      <c r="F344" s="485">
        <v>1350</v>
      </c>
      <c r="G344" s="410">
        <f>+F344*$X$1</f>
        <v>1350</v>
      </c>
      <c r="H344" s="601">
        <f>F344+250</f>
        <v>1600</v>
      </c>
      <c r="I344" s="410">
        <f>+H344*$X$1</f>
        <v>1600</v>
      </c>
      <c r="J344" s="601">
        <f>F344+80</f>
        <v>1430</v>
      </c>
      <c r="K344" s="410">
        <f t="shared" ref="K344" si="759">+J344*$X$1</f>
        <v>1430</v>
      </c>
      <c r="L344" s="601">
        <f>F344+60</f>
        <v>1410</v>
      </c>
      <c r="M344" s="410">
        <f t="shared" ref="M344:M348" si="760">+L344*$X$1</f>
        <v>1410</v>
      </c>
      <c r="N344" s="601">
        <f>F344+40</f>
        <v>1390</v>
      </c>
      <c r="O344" s="410">
        <f t="shared" ref="O344:O348" si="761">+N344*$X$1</f>
        <v>1390</v>
      </c>
      <c r="P344" s="109"/>
      <c r="Q344" s="1164" t="s">
        <v>155</v>
      </c>
      <c r="R344" s="1165"/>
      <c r="S344" s="1165"/>
      <c r="T344" s="1165"/>
      <c r="U344" s="1165"/>
      <c r="V344" s="1165"/>
      <c r="W344" s="1166"/>
      <c r="X344" s="704"/>
      <c r="Y344" s="735"/>
      <c r="Z344" s="735"/>
      <c r="AA344" s="706"/>
      <c r="AB344" s="534">
        <v>2222</v>
      </c>
    </row>
    <row r="345" spans="1:31" ht="12.6" customHeight="1" x14ac:dyDescent="0.2">
      <c r="A345" s="20"/>
      <c r="B345" s="1281" t="s">
        <v>833</v>
      </c>
      <c r="C345" s="1282"/>
      <c r="D345" s="1282"/>
      <c r="E345" s="1283"/>
      <c r="F345" s="486">
        <f>0.585*X2</f>
        <v>538.19999999999993</v>
      </c>
      <c r="G345" s="346">
        <f t="shared" ref="G345" si="762">+F345*$X$1</f>
        <v>538.19999999999993</v>
      </c>
      <c r="H345" s="335"/>
      <c r="I345" s="335"/>
      <c r="J345" s="613"/>
      <c r="K345" s="613"/>
      <c r="L345" s="613">
        <f t="shared" ref="L345" si="763">F345+70</f>
        <v>608.19999999999993</v>
      </c>
      <c r="M345" s="346">
        <f t="shared" si="760"/>
        <v>608.19999999999993</v>
      </c>
      <c r="N345" s="613">
        <f t="shared" ref="N345" si="764">F345+42</f>
        <v>580.19999999999993</v>
      </c>
      <c r="O345" s="346">
        <f t="shared" si="761"/>
        <v>580.19999999999993</v>
      </c>
      <c r="P345" s="613">
        <f t="shared" ref="P345" si="765">F345+38</f>
        <v>576.19999999999993</v>
      </c>
      <c r="Q345" s="346">
        <f t="shared" ref="Q345" si="766">+P345*$X$1</f>
        <v>576.19999999999993</v>
      </c>
      <c r="R345" s="613">
        <f t="shared" ref="R345" si="767">F345+29</f>
        <v>567.19999999999993</v>
      </c>
      <c r="S345" s="346">
        <f t="shared" ref="S345" si="768">+R345*$X$1</f>
        <v>567.19999999999993</v>
      </c>
      <c r="T345" s="107">
        <f t="shared" ref="T345" si="769">F345+24</f>
        <v>562.19999999999993</v>
      </c>
      <c r="U345" s="371">
        <f t="shared" ref="U345" si="770">+T345*$X$1</f>
        <v>562.19999999999993</v>
      </c>
      <c r="V345" s="107">
        <f t="shared" ref="V345" si="771">F345+19</f>
        <v>557.19999999999993</v>
      </c>
      <c r="W345" s="371">
        <f t="shared" ref="W345" si="772">+V345*$X$1</f>
        <v>557.19999999999993</v>
      </c>
      <c r="X345" s="612"/>
      <c r="Y345" s="611"/>
      <c r="Z345" s="611"/>
      <c r="AA345" s="612"/>
      <c r="AB345" s="534">
        <v>2231</v>
      </c>
      <c r="AC345" s="69"/>
    </row>
    <row r="346" spans="1:31" ht="12.6" customHeight="1" x14ac:dyDescent="0.2">
      <c r="A346" s="20"/>
      <c r="B346" s="1281" t="s">
        <v>846</v>
      </c>
      <c r="C346" s="1282"/>
      <c r="D346" s="1282"/>
      <c r="E346" s="1283"/>
      <c r="F346" s="487">
        <f>0.568*X2</f>
        <v>522.55999999999995</v>
      </c>
      <c r="G346" s="345">
        <f t="shared" ref="G346" si="773">+F346*$X$1</f>
        <v>522.55999999999995</v>
      </c>
      <c r="H346" s="336"/>
      <c r="I346" s="336"/>
      <c r="J346" s="383"/>
      <c r="K346" s="383"/>
      <c r="L346" s="383">
        <f t="shared" ref="L346" si="774">F346+70</f>
        <v>592.55999999999995</v>
      </c>
      <c r="M346" s="345">
        <f t="shared" ref="M346" si="775">+L346*$X$1</f>
        <v>592.55999999999995</v>
      </c>
      <c r="N346" s="383">
        <f t="shared" ref="N346" si="776">F346+42</f>
        <v>564.55999999999995</v>
      </c>
      <c r="O346" s="345">
        <f t="shared" ref="O346" si="777">+N346*$X$1</f>
        <v>564.55999999999995</v>
      </c>
      <c r="P346" s="383">
        <f t="shared" ref="P346" si="778">F346+38</f>
        <v>560.55999999999995</v>
      </c>
      <c r="Q346" s="345">
        <f t="shared" ref="Q346" si="779">+P346*$X$1</f>
        <v>560.55999999999995</v>
      </c>
      <c r="R346" s="383">
        <f t="shared" ref="R346" si="780">F346+29</f>
        <v>551.55999999999995</v>
      </c>
      <c r="S346" s="345">
        <f t="shared" ref="S346" si="781">+R346*$X$1</f>
        <v>551.55999999999995</v>
      </c>
      <c r="T346" s="108">
        <f t="shared" ref="T346" si="782">F346+24</f>
        <v>546.55999999999995</v>
      </c>
      <c r="U346" s="304">
        <f t="shared" ref="U346" si="783">+T346*$X$1</f>
        <v>546.55999999999995</v>
      </c>
      <c r="V346" s="108">
        <f t="shared" ref="V346" si="784">F346+19</f>
        <v>541.55999999999995</v>
      </c>
      <c r="W346" s="304">
        <f t="shared" ref="W346" si="785">+V346*$X$1</f>
        <v>541.55999999999995</v>
      </c>
      <c r="X346" s="621"/>
      <c r="Y346" s="620"/>
      <c r="Z346" s="620"/>
      <c r="AA346" s="621"/>
      <c r="AB346" s="534">
        <v>2232</v>
      </c>
      <c r="AC346" s="69"/>
    </row>
    <row r="347" spans="1:31" ht="12.6" customHeight="1" x14ac:dyDescent="0.2">
      <c r="A347" s="20"/>
      <c r="B347" s="1281" t="s">
        <v>847</v>
      </c>
      <c r="C347" s="1282"/>
      <c r="D347" s="1282"/>
      <c r="E347" s="1283"/>
      <c r="F347" s="486">
        <f>2.037*X2</f>
        <v>1874.04</v>
      </c>
      <c r="G347" s="346">
        <f t="shared" ref="G347" si="786">+F347*$X$1</f>
        <v>1874.04</v>
      </c>
      <c r="H347" s="335"/>
      <c r="I347" s="335"/>
      <c r="J347" s="622"/>
      <c r="K347" s="622"/>
      <c r="L347" s="622">
        <f t="shared" ref="L347" si="787">F347+70</f>
        <v>1944.04</v>
      </c>
      <c r="M347" s="346">
        <f t="shared" ref="M347" si="788">+L347*$X$1</f>
        <v>1944.04</v>
      </c>
      <c r="N347" s="622">
        <f t="shared" ref="N347" si="789">F347+42</f>
        <v>1916.04</v>
      </c>
      <c r="O347" s="346">
        <f t="shared" ref="O347" si="790">+N347*$X$1</f>
        <v>1916.04</v>
      </c>
      <c r="P347" s="622">
        <f t="shared" ref="P347" si="791">F347+38</f>
        <v>1912.04</v>
      </c>
      <c r="Q347" s="346">
        <f t="shared" ref="Q347" si="792">+P347*$X$1</f>
        <v>1912.04</v>
      </c>
      <c r="R347" s="622">
        <f t="shared" ref="R347" si="793">F347+29</f>
        <v>1903.04</v>
      </c>
      <c r="S347" s="346">
        <f t="shared" ref="S347" si="794">+R347*$X$1</f>
        <v>1903.04</v>
      </c>
      <c r="T347" s="107">
        <f t="shared" ref="T347" si="795">F347+24</f>
        <v>1898.04</v>
      </c>
      <c r="U347" s="371">
        <f t="shared" ref="U347" si="796">+T347*$X$1</f>
        <v>1898.04</v>
      </c>
      <c r="V347" s="107">
        <f t="shared" ref="V347" si="797">F347+19</f>
        <v>1893.04</v>
      </c>
      <c r="W347" s="371">
        <f t="shared" ref="W347" si="798">+V347*$X$1</f>
        <v>1893.04</v>
      </c>
      <c r="X347" s="621"/>
      <c r="Y347" s="620"/>
      <c r="Z347" s="620"/>
      <c r="AA347" s="621"/>
      <c r="AB347" s="534">
        <v>2233</v>
      </c>
      <c r="AC347" s="69"/>
    </row>
    <row r="348" spans="1:31" ht="12.6" customHeight="1" x14ac:dyDescent="0.2">
      <c r="A348" s="101"/>
      <c r="B348" s="943" t="s">
        <v>465</v>
      </c>
      <c r="C348" s="910"/>
      <c r="D348" s="910"/>
      <c r="E348" s="910"/>
      <c r="F348" s="485">
        <f>0.4*X2</f>
        <v>368</v>
      </c>
      <c r="G348" s="410">
        <f t="shared" ref="G348:G352" si="799">+F348*$X$1</f>
        <v>368</v>
      </c>
      <c r="H348" s="601"/>
      <c r="I348" s="410"/>
      <c r="J348" s="601"/>
      <c r="K348" s="410"/>
      <c r="L348" s="601">
        <f>F348+110</f>
        <v>478</v>
      </c>
      <c r="M348" s="410">
        <f t="shared" si="760"/>
        <v>478</v>
      </c>
      <c r="N348" s="601">
        <f>F348+65</f>
        <v>433</v>
      </c>
      <c r="O348" s="410">
        <f t="shared" si="761"/>
        <v>433</v>
      </c>
      <c r="P348" s="601">
        <f>F348+60</f>
        <v>428</v>
      </c>
      <c r="Q348" s="410">
        <f t="shared" ref="Q348" si="800">+P348*$X$1</f>
        <v>428</v>
      </c>
      <c r="R348" s="601">
        <f>F348+45</f>
        <v>413</v>
      </c>
      <c r="S348" s="410">
        <f t="shared" ref="S348" si="801">+R348*$X$1</f>
        <v>413</v>
      </c>
      <c r="T348" s="601">
        <f>F348+36</f>
        <v>404</v>
      </c>
      <c r="U348" s="410">
        <f t="shared" ref="U348" si="802">+T348*$X$1</f>
        <v>404</v>
      </c>
      <c r="V348" s="343"/>
      <c r="W348" s="426"/>
      <c r="X348" s="149"/>
      <c r="Y348" s="145"/>
      <c r="Z348" s="145"/>
      <c r="AA348" s="148"/>
      <c r="AB348" s="534">
        <v>2234</v>
      </c>
    </row>
    <row r="349" spans="1:31" ht="12.6" customHeight="1" x14ac:dyDescent="0.2">
      <c r="A349" s="101"/>
      <c r="B349" s="712" t="s">
        <v>466</v>
      </c>
      <c r="C349" s="699"/>
      <c r="D349" s="699"/>
      <c r="E349" s="699"/>
      <c r="F349" s="482">
        <f>0.614*X2</f>
        <v>564.88</v>
      </c>
      <c r="G349" s="346">
        <f t="shared" si="799"/>
        <v>564.88</v>
      </c>
      <c r="H349" s="335"/>
      <c r="I349" s="421"/>
      <c r="J349" s="600"/>
      <c r="K349" s="346"/>
      <c r="L349" s="600">
        <f>F349+110</f>
        <v>674.88</v>
      </c>
      <c r="M349" s="346">
        <f t="shared" ref="M349:M359" si="803">+L349*$X$1</f>
        <v>674.88</v>
      </c>
      <c r="N349" s="600">
        <f>F349+65</f>
        <v>629.88</v>
      </c>
      <c r="O349" s="346">
        <f t="shared" ref="O349:O359" si="804">+N349*$X$1</f>
        <v>629.88</v>
      </c>
      <c r="P349" s="600">
        <f>F349+60</f>
        <v>624.88</v>
      </c>
      <c r="Q349" s="346">
        <f t="shared" ref="Q349:Q358" si="805">+P349*$X$1</f>
        <v>624.88</v>
      </c>
      <c r="R349" s="600">
        <f>F349+45</f>
        <v>609.88</v>
      </c>
      <c r="S349" s="346">
        <f t="shared" ref="S349:S358" si="806">+R349*$X$1</f>
        <v>609.88</v>
      </c>
      <c r="T349" s="600">
        <f>F349+36</f>
        <v>600.88</v>
      </c>
      <c r="U349" s="346">
        <f t="shared" ref="U349:U358" si="807">+T349*$X$1</f>
        <v>600.88</v>
      </c>
      <c r="V349" s="600">
        <f>F349+29</f>
        <v>593.88</v>
      </c>
      <c r="W349" s="346">
        <f t="shared" ref="W349:W358" si="808">+V349*$X$1</f>
        <v>593.88</v>
      </c>
      <c r="X349" s="149"/>
      <c r="Y349" s="145"/>
      <c r="Z349" s="145"/>
      <c r="AA349" s="148"/>
      <c r="AB349" s="534" t="s">
        <v>255</v>
      </c>
    </row>
    <row r="350" spans="1:31" ht="12.6" customHeight="1" x14ac:dyDescent="0.2">
      <c r="A350" s="101"/>
      <c r="B350" s="719" t="s">
        <v>256</v>
      </c>
      <c r="C350" s="720"/>
      <c r="D350" s="720"/>
      <c r="E350" s="720"/>
      <c r="F350" s="481">
        <f>0.447*X2</f>
        <v>411.24</v>
      </c>
      <c r="G350" s="345">
        <f t="shared" si="799"/>
        <v>411.24</v>
      </c>
      <c r="H350" s="336"/>
      <c r="I350" s="420"/>
      <c r="J350" s="383"/>
      <c r="K350" s="345"/>
      <c r="L350" s="383">
        <f t="shared" ref="L350:L359" si="809">F350+70</f>
        <v>481.24</v>
      </c>
      <c r="M350" s="345">
        <f t="shared" si="803"/>
        <v>481.24</v>
      </c>
      <c r="N350" s="383">
        <f t="shared" ref="N350:N359" si="810">F350+42</f>
        <v>453.24</v>
      </c>
      <c r="O350" s="345">
        <f t="shared" si="804"/>
        <v>453.24</v>
      </c>
      <c r="P350" s="383">
        <f t="shared" ref="P350:P358" si="811">F350+38</f>
        <v>449.24</v>
      </c>
      <c r="Q350" s="345">
        <f t="shared" si="805"/>
        <v>449.24</v>
      </c>
      <c r="R350" s="383">
        <f t="shared" ref="R350:R358" si="812">F350+29</f>
        <v>440.24</v>
      </c>
      <c r="S350" s="345">
        <f t="shared" si="806"/>
        <v>440.24</v>
      </c>
      <c r="T350" s="108">
        <f t="shared" ref="T350:T358" si="813">F350+24</f>
        <v>435.24</v>
      </c>
      <c r="U350" s="304">
        <f t="shared" si="807"/>
        <v>435.24</v>
      </c>
      <c r="V350" s="108">
        <f>F350+19</f>
        <v>430.24</v>
      </c>
      <c r="W350" s="304">
        <f t="shared" si="808"/>
        <v>430.24</v>
      </c>
      <c r="X350" s="149"/>
      <c r="Y350" s="145"/>
      <c r="Z350" s="145"/>
      <c r="AA350" s="148"/>
      <c r="AB350" s="534">
        <v>2238</v>
      </c>
    </row>
    <row r="351" spans="1:31" ht="12.6" customHeight="1" x14ac:dyDescent="0.2">
      <c r="A351" s="111"/>
      <c r="B351" s="774" t="s">
        <v>257</v>
      </c>
      <c r="C351" s="775"/>
      <c r="D351" s="775"/>
      <c r="E351" s="776"/>
      <c r="F351" s="482">
        <f>0.428*X2</f>
        <v>393.76</v>
      </c>
      <c r="G351" s="346">
        <f t="shared" si="799"/>
        <v>393.76</v>
      </c>
      <c r="H351" s="335"/>
      <c r="I351" s="421"/>
      <c r="J351" s="600"/>
      <c r="K351" s="346"/>
      <c r="L351" s="600"/>
      <c r="M351" s="346"/>
      <c r="N351" s="600">
        <f t="shared" si="810"/>
        <v>435.76</v>
      </c>
      <c r="O351" s="346">
        <f t="shared" si="804"/>
        <v>435.76</v>
      </c>
      <c r="P351" s="600">
        <f t="shared" si="811"/>
        <v>431.76</v>
      </c>
      <c r="Q351" s="346">
        <f t="shared" si="805"/>
        <v>431.76</v>
      </c>
      <c r="R351" s="600">
        <f t="shared" si="812"/>
        <v>422.76</v>
      </c>
      <c r="S351" s="346">
        <f t="shared" si="806"/>
        <v>422.76</v>
      </c>
      <c r="T351" s="107">
        <f t="shared" si="813"/>
        <v>417.76</v>
      </c>
      <c r="U351" s="371">
        <f t="shared" si="807"/>
        <v>417.76</v>
      </c>
      <c r="V351" s="107">
        <f t="shared" ref="V351:V358" si="814">F351+19</f>
        <v>412.76</v>
      </c>
      <c r="W351" s="371">
        <f t="shared" si="808"/>
        <v>412.76</v>
      </c>
      <c r="X351" s="149"/>
      <c r="Y351" s="145"/>
      <c r="Z351" s="145"/>
      <c r="AA351" s="148"/>
      <c r="AB351" s="534">
        <v>2239</v>
      </c>
    </row>
    <row r="352" spans="1:31" ht="12.6" customHeight="1" x14ac:dyDescent="0.2">
      <c r="A352" s="101"/>
      <c r="B352" s="719" t="s">
        <v>258</v>
      </c>
      <c r="C352" s="720"/>
      <c r="D352" s="720"/>
      <c r="E352" s="720"/>
      <c r="F352" s="525">
        <f>0.35*X2</f>
        <v>322</v>
      </c>
      <c r="G352" s="345">
        <f t="shared" si="799"/>
        <v>322</v>
      </c>
      <c r="H352" s="336"/>
      <c r="I352" s="420"/>
      <c r="J352" s="383"/>
      <c r="K352" s="345"/>
      <c r="L352" s="383">
        <f t="shared" si="809"/>
        <v>392</v>
      </c>
      <c r="M352" s="345">
        <f t="shared" si="803"/>
        <v>392</v>
      </c>
      <c r="N352" s="383">
        <f t="shared" si="810"/>
        <v>364</v>
      </c>
      <c r="O352" s="345">
        <f t="shared" si="804"/>
        <v>364</v>
      </c>
      <c r="P352" s="383">
        <f t="shared" si="811"/>
        <v>360</v>
      </c>
      <c r="Q352" s="345">
        <f t="shared" si="805"/>
        <v>360</v>
      </c>
      <c r="R352" s="383">
        <f t="shared" si="812"/>
        <v>351</v>
      </c>
      <c r="S352" s="345">
        <f t="shared" si="806"/>
        <v>351</v>
      </c>
      <c r="T352" s="108">
        <f t="shared" si="813"/>
        <v>346</v>
      </c>
      <c r="U352" s="304">
        <f t="shared" si="807"/>
        <v>346</v>
      </c>
      <c r="V352" s="108"/>
      <c r="W352" s="304"/>
      <c r="X352" s="149"/>
      <c r="Y352" s="145"/>
      <c r="Z352" s="145"/>
      <c r="AA352" s="148"/>
      <c r="AB352" s="534">
        <v>2244</v>
      </c>
    </row>
    <row r="353" spans="1:29" ht="12.6" customHeight="1" x14ac:dyDescent="0.2">
      <c r="A353" s="20"/>
      <c r="B353" s="712" t="s">
        <v>376</v>
      </c>
      <c r="C353" s="699"/>
      <c r="D353" s="699"/>
      <c r="E353" s="699"/>
      <c r="F353" s="494">
        <f>0.29*X2</f>
        <v>266.79999999999995</v>
      </c>
      <c r="G353" s="346">
        <f t="shared" ref="G353" si="815">+F353*$X$1</f>
        <v>266.79999999999995</v>
      </c>
      <c r="H353" s="335"/>
      <c r="I353" s="421"/>
      <c r="J353" s="600"/>
      <c r="K353" s="346"/>
      <c r="L353" s="600">
        <f t="shared" si="809"/>
        <v>336.79999999999995</v>
      </c>
      <c r="M353" s="346">
        <f t="shared" si="803"/>
        <v>336.79999999999995</v>
      </c>
      <c r="N353" s="600">
        <f t="shared" si="810"/>
        <v>308.79999999999995</v>
      </c>
      <c r="O353" s="346">
        <f t="shared" si="804"/>
        <v>308.79999999999995</v>
      </c>
      <c r="P353" s="600">
        <f t="shared" si="811"/>
        <v>304.79999999999995</v>
      </c>
      <c r="Q353" s="346">
        <f t="shared" si="805"/>
        <v>304.79999999999995</v>
      </c>
      <c r="R353" s="600">
        <f t="shared" si="812"/>
        <v>295.79999999999995</v>
      </c>
      <c r="S353" s="346">
        <f t="shared" si="806"/>
        <v>295.79999999999995</v>
      </c>
      <c r="T353" s="107">
        <f t="shared" si="813"/>
        <v>290.79999999999995</v>
      </c>
      <c r="U353" s="371">
        <f t="shared" si="807"/>
        <v>290.79999999999995</v>
      </c>
      <c r="V353" s="107">
        <f t="shared" si="814"/>
        <v>285.79999999999995</v>
      </c>
      <c r="W353" s="371">
        <f t="shared" si="808"/>
        <v>285.79999999999995</v>
      </c>
      <c r="X353" s="149"/>
      <c r="Y353" s="145"/>
      <c r="Z353" s="145"/>
      <c r="AA353" s="148"/>
      <c r="AB353" s="534">
        <v>2245</v>
      </c>
    </row>
    <row r="354" spans="1:29" ht="12.6" customHeight="1" x14ac:dyDescent="0.2">
      <c r="A354" s="101"/>
      <c r="B354" s="719" t="s">
        <v>622</v>
      </c>
      <c r="C354" s="720"/>
      <c r="D354" s="720"/>
      <c r="E354" s="720"/>
      <c r="F354" s="401">
        <v>1450</v>
      </c>
      <c r="G354" s="345">
        <f>+F354*$X$1</f>
        <v>1450</v>
      </c>
      <c r="H354" s="336"/>
      <c r="I354" s="420"/>
      <c r="J354" s="383"/>
      <c r="K354" s="345"/>
      <c r="L354" s="383">
        <f t="shared" si="809"/>
        <v>1520</v>
      </c>
      <c r="M354" s="345">
        <f t="shared" si="803"/>
        <v>1520</v>
      </c>
      <c r="N354" s="383">
        <f t="shared" si="810"/>
        <v>1492</v>
      </c>
      <c r="O354" s="345">
        <f t="shared" si="804"/>
        <v>1492</v>
      </c>
      <c r="P354" s="383">
        <f t="shared" si="811"/>
        <v>1488</v>
      </c>
      <c r="Q354" s="345">
        <f t="shared" si="805"/>
        <v>1488</v>
      </c>
      <c r="R354" s="383">
        <f t="shared" si="812"/>
        <v>1479</v>
      </c>
      <c r="S354" s="345">
        <f t="shared" si="806"/>
        <v>1479</v>
      </c>
      <c r="T354" s="108">
        <f t="shared" si="813"/>
        <v>1474</v>
      </c>
      <c r="U354" s="304">
        <f t="shared" si="807"/>
        <v>1474</v>
      </c>
      <c r="V354" s="108">
        <f t="shared" si="814"/>
        <v>1469</v>
      </c>
      <c r="W354" s="304">
        <f t="shared" si="808"/>
        <v>1469</v>
      </c>
      <c r="X354" s="149"/>
      <c r="Y354" s="145"/>
      <c r="Z354" s="145"/>
      <c r="AA354" s="148"/>
      <c r="AB354" s="534">
        <v>2246</v>
      </c>
    </row>
    <row r="355" spans="1:29" ht="12.6" customHeight="1" x14ac:dyDescent="0.2">
      <c r="A355" s="20"/>
      <c r="B355" s="774" t="s">
        <v>564</v>
      </c>
      <c r="C355" s="920"/>
      <c r="D355" s="920"/>
      <c r="E355" s="921"/>
      <c r="F355" s="486">
        <f>0.47*X2</f>
        <v>432.4</v>
      </c>
      <c r="G355" s="346">
        <f t="shared" ref="G355:G360" si="816">+F355*$X$1</f>
        <v>432.4</v>
      </c>
      <c r="H355" s="335"/>
      <c r="I355" s="421"/>
      <c r="J355" s="600"/>
      <c r="K355" s="346"/>
      <c r="L355" s="600">
        <f t="shared" si="809"/>
        <v>502.4</v>
      </c>
      <c r="M355" s="346">
        <f t="shared" si="803"/>
        <v>502.4</v>
      </c>
      <c r="N355" s="600">
        <f t="shared" si="810"/>
        <v>474.4</v>
      </c>
      <c r="O355" s="346">
        <f t="shared" si="804"/>
        <v>474.4</v>
      </c>
      <c r="P355" s="600">
        <f t="shared" si="811"/>
        <v>470.4</v>
      </c>
      <c r="Q355" s="346">
        <f t="shared" si="805"/>
        <v>470.4</v>
      </c>
      <c r="R355" s="600">
        <f t="shared" si="812"/>
        <v>461.4</v>
      </c>
      <c r="S355" s="346">
        <f t="shared" si="806"/>
        <v>461.4</v>
      </c>
      <c r="T355" s="107">
        <f t="shared" si="813"/>
        <v>456.4</v>
      </c>
      <c r="U355" s="371">
        <f t="shared" si="807"/>
        <v>456.4</v>
      </c>
      <c r="V355" s="107">
        <f t="shared" si="814"/>
        <v>451.4</v>
      </c>
      <c r="W355" s="371">
        <f t="shared" si="808"/>
        <v>451.4</v>
      </c>
      <c r="X355" s="141"/>
      <c r="Y355" s="141"/>
      <c r="Z355" s="141"/>
      <c r="AA355" s="141"/>
      <c r="AB355" s="553">
        <v>2251</v>
      </c>
    </row>
    <row r="356" spans="1:29" ht="12.6" customHeight="1" x14ac:dyDescent="0.2">
      <c r="A356" s="20"/>
      <c r="B356" s="714" t="s">
        <v>825</v>
      </c>
      <c r="C356" s="763"/>
      <c r="D356" s="763"/>
      <c r="E356" s="764"/>
      <c r="F356" s="487">
        <f>0.47*X2</f>
        <v>432.4</v>
      </c>
      <c r="G356" s="345">
        <f t="shared" si="816"/>
        <v>432.4</v>
      </c>
      <c r="H356" s="336"/>
      <c r="I356" s="420"/>
      <c r="J356" s="383"/>
      <c r="K356" s="345"/>
      <c r="L356" s="383">
        <f t="shared" si="809"/>
        <v>502.4</v>
      </c>
      <c r="M356" s="345">
        <f t="shared" si="803"/>
        <v>502.4</v>
      </c>
      <c r="N356" s="383">
        <f t="shared" si="810"/>
        <v>474.4</v>
      </c>
      <c r="O356" s="345">
        <f t="shared" si="804"/>
        <v>474.4</v>
      </c>
      <c r="P356" s="383">
        <f t="shared" si="811"/>
        <v>470.4</v>
      </c>
      <c r="Q356" s="345">
        <f t="shared" si="805"/>
        <v>470.4</v>
      </c>
      <c r="R356" s="383">
        <f t="shared" si="812"/>
        <v>461.4</v>
      </c>
      <c r="S356" s="345">
        <f t="shared" si="806"/>
        <v>461.4</v>
      </c>
      <c r="T356" s="108">
        <f t="shared" si="813"/>
        <v>456.4</v>
      </c>
      <c r="U356" s="304">
        <f t="shared" si="807"/>
        <v>456.4</v>
      </c>
      <c r="V356" s="108">
        <f t="shared" si="814"/>
        <v>451.4</v>
      </c>
      <c r="W356" s="304">
        <f t="shared" si="808"/>
        <v>451.4</v>
      </c>
      <c r="X356" s="141"/>
      <c r="Y356" s="141"/>
      <c r="Z356" s="141"/>
      <c r="AA356" s="141"/>
      <c r="AB356" s="534">
        <v>2252</v>
      </c>
    </row>
    <row r="357" spans="1:29" ht="12.6" customHeight="1" x14ac:dyDescent="0.2">
      <c r="A357" s="111"/>
      <c r="B357" s="774" t="s">
        <v>259</v>
      </c>
      <c r="C357" s="917"/>
      <c r="D357" s="917"/>
      <c r="E357" s="918"/>
      <c r="F357" s="482">
        <f>0.372*X2</f>
        <v>342.24</v>
      </c>
      <c r="G357" s="346">
        <f t="shared" si="816"/>
        <v>342.24</v>
      </c>
      <c r="H357" s="335"/>
      <c r="I357" s="421"/>
      <c r="J357" s="600"/>
      <c r="K357" s="346"/>
      <c r="L357" s="600">
        <f t="shared" si="809"/>
        <v>412.24</v>
      </c>
      <c r="M357" s="346">
        <f t="shared" si="803"/>
        <v>412.24</v>
      </c>
      <c r="N357" s="600">
        <f t="shared" si="810"/>
        <v>384.24</v>
      </c>
      <c r="O357" s="346">
        <f t="shared" si="804"/>
        <v>384.24</v>
      </c>
      <c r="P357" s="600">
        <f t="shared" si="811"/>
        <v>380.24</v>
      </c>
      <c r="Q357" s="346">
        <f t="shared" si="805"/>
        <v>380.24</v>
      </c>
      <c r="R357" s="600">
        <f t="shared" si="812"/>
        <v>371.24</v>
      </c>
      <c r="S357" s="346">
        <f t="shared" si="806"/>
        <v>371.24</v>
      </c>
      <c r="T357" s="107">
        <f t="shared" si="813"/>
        <v>366.24</v>
      </c>
      <c r="U357" s="371">
        <f t="shared" si="807"/>
        <v>366.24</v>
      </c>
      <c r="V357" s="107">
        <f t="shared" si="814"/>
        <v>361.24</v>
      </c>
      <c r="W357" s="371">
        <f t="shared" si="808"/>
        <v>361.24</v>
      </c>
      <c r="X357" s="184"/>
      <c r="Y357" s="141"/>
      <c r="Z357" s="141"/>
      <c r="AA357" s="161"/>
      <c r="AB357" s="534">
        <v>2254</v>
      </c>
      <c r="AC357" s="69"/>
    </row>
    <row r="358" spans="1:29" ht="12.6" customHeight="1" x14ac:dyDescent="0.2">
      <c r="A358" s="111"/>
      <c r="B358" s="714" t="s">
        <v>579</v>
      </c>
      <c r="C358" s="760"/>
      <c r="D358" s="760"/>
      <c r="E358" s="761"/>
      <c r="F358" s="481">
        <f>0.429*X2</f>
        <v>394.68</v>
      </c>
      <c r="G358" s="345">
        <f t="shared" si="816"/>
        <v>394.68</v>
      </c>
      <c r="H358" s="336"/>
      <c r="I358" s="420"/>
      <c r="J358" s="383"/>
      <c r="K358" s="345"/>
      <c r="L358" s="383">
        <f t="shared" si="809"/>
        <v>464.68</v>
      </c>
      <c r="M358" s="345">
        <f t="shared" si="803"/>
        <v>464.68</v>
      </c>
      <c r="N358" s="383">
        <f t="shared" si="810"/>
        <v>436.68</v>
      </c>
      <c r="O358" s="345">
        <f t="shared" si="804"/>
        <v>436.68</v>
      </c>
      <c r="P358" s="383">
        <f t="shared" si="811"/>
        <v>432.68</v>
      </c>
      <c r="Q358" s="345">
        <f t="shared" si="805"/>
        <v>432.68</v>
      </c>
      <c r="R358" s="383">
        <f t="shared" si="812"/>
        <v>423.68</v>
      </c>
      <c r="S358" s="345">
        <f t="shared" si="806"/>
        <v>423.68</v>
      </c>
      <c r="T358" s="108">
        <f t="shared" si="813"/>
        <v>418.68</v>
      </c>
      <c r="U358" s="304">
        <f t="shared" si="807"/>
        <v>418.68</v>
      </c>
      <c r="V358" s="108">
        <f t="shared" si="814"/>
        <v>413.68</v>
      </c>
      <c r="W358" s="304">
        <f t="shared" si="808"/>
        <v>413.68</v>
      </c>
      <c r="X358" s="184"/>
      <c r="Y358" s="141"/>
      <c r="Z358" s="141"/>
      <c r="AA358" s="161"/>
      <c r="AB358" s="534" t="s">
        <v>612</v>
      </c>
      <c r="AC358" s="69"/>
    </row>
    <row r="359" spans="1:29" ht="12.6" customHeight="1" x14ac:dyDescent="0.2">
      <c r="A359" s="111"/>
      <c r="B359" s="774" t="s">
        <v>584</v>
      </c>
      <c r="C359" s="917"/>
      <c r="D359" s="917"/>
      <c r="E359" s="918"/>
      <c r="F359" s="482">
        <f>0.372*X2</f>
        <v>342.24</v>
      </c>
      <c r="G359" s="346">
        <f t="shared" si="816"/>
        <v>342.24</v>
      </c>
      <c r="H359" s="335"/>
      <c r="I359" s="421"/>
      <c r="J359" s="600"/>
      <c r="K359" s="346"/>
      <c r="L359" s="600">
        <f t="shared" si="809"/>
        <v>412.24</v>
      </c>
      <c r="M359" s="346">
        <f t="shared" si="803"/>
        <v>412.24</v>
      </c>
      <c r="N359" s="600">
        <f t="shared" si="810"/>
        <v>384.24</v>
      </c>
      <c r="O359" s="346">
        <f t="shared" si="804"/>
        <v>384.24</v>
      </c>
      <c r="P359" s="600"/>
      <c r="Q359" s="346"/>
      <c r="R359" s="600"/>
      <c r="S359" s="346"/>
      <c r="T359" s="107"/>
      <c r="U359" s="371"/>
      <c r="V359" s="107"/>
      <c r="W359" s="371"/>
      <c r="X359" s="184"/>
      <c r="Y359" s="141"/>
      <c r="Z359" s="141"/>
      <c r="AA359" s="161"/>
      <c r="AB359" s="534" t="s">
        <v>611</v>
      </c>
      <c r="AC359" s="69"/>
    </row>
    <row r="360" spans="1:29" ht="12.6" customHeight="1" x14ac:dyDescent="0.2">
      <c r="A360" s="111"/>
      <c r="B360" s="714" t="s">
        <v>260</v>
      </c>
      <c r="C360" s="717"/>
      <c r="D360" s="717"/>
      <c r="E360" s="718"/>
      <c r="F360" s="401">
        <v>619</v>
      </c>
      <c r="G360" s="345">
        <f t="shared" si="816"/>
        <v>619</v>
      </c>
      <c r="H360" s="336"/>
      <c r="I360" s="420"/>
      <c r="J360" s="383"/>
      <c r="K360" s="345"/>
      <c r="L360" s="383">
        <f t="shared" ref="L360" si="817">F360+70</f>
        <v>689</v>
      </c>
      <c r="M360" s="345">
        <f t="shared" ref="M360" si="818">+L360*$X$1</f>
        <v>689</v>
      </c>
      <c r="N360" s="383">
        <f t="shared" ref="N360" si="819">F360+42</f>
        <v>661</v>
      </c>
      <c r="O360" s="345">
        <f t="shared" ref="O360" si="820">+N360*$X$1</f>
        <v>661</v>
      </c>
      <c r="P360" s="383">
        <f t="shared" ref="P360" si="821">F360+38</f>
        <v>657</v>
      </c>
      <c r="Q360" s="345">
        <f t="shared" ref="Q360" si="822">+P360*$X$1</f>
        <v>657</v>
      </c>
      <c r="R360" s="383">
        <f t="shared" ref="R360" si="823">F360+29</f>
        <v>648</v>
      </c>
      <c r="S360" s="345">
        <f t="shared" ref="S360" si="824">+R360*$X$1</f>
        <v>648</v>
      </c>
      <c r="T360" s="108">
        <f t="shared" ref="T360" si="825">F360+24</f>
        <v>643</v>
      </c>
      <c r="U360" s="304">
        <f t="shared" ref="U360" si="826">+T360*$X$1</f>
        <v>643</v>
      </c>
      <c r="V360" s="108">
        <f t="shared" ref="V360" si="827">F360+19</f>
        <v>638</v>
      </c>
      <c r="W360" s="304">
        <f t="shared" ref="W360" si="828">+V360*$X$1</f>
        <v>638</v>
      </c>
      <c r="X360" s="184"/>
      <c r="Y360" s="141"/>
      <c r="Z360" s="141"/>
      <c r="AA360" s="141"/>
      <c r="AB360" s="534">
        <v>2255</v>
      </c>
      <c r="AC360" s="69"/>
    </row>
    <row r="361" spans="1:29" ht="12.6" customHeight="1" x14ac:dyDescent="0.2">
      <c r="A361" s="20"/>
      <c r="B361" s="1081" t="s">
        <v>661</v>
      </c>
      <c r="C361" s="1285"/>
      <c r="D361" s="1285"/>
      <c r="E361" s="1285"/>
      <c r="F361" s="400"/>
      <c r="G361" s="346"/>
      <c r="H361" s="600"/>
      <c r="I361" s="346"/>
      <c r="J361" s="600"/>
      <c r="K361" s="346"/>
      <c r="L361" s="600"/>
      <c r="M361" s="346"/>
      <c r="N361" s="600"/>
      <c r="O361" s="346"/>
      <c r="P361" s="600"/>
      <c r="Q361" s="346"/>
      <c r="R361" s="600"/>
      <c r="S361" s="346"/>
      <c r="T361" s="600"/>
      <c r="U361" s="346"/>
      <c r="V361" s="600"/>
      <c r="W361" s="346"/>
      <c r="X361" s="704"/>
      <c r="Y361" s="705"/>
      <c r="Z361" s="705"/>
      <c r="AA361" s="706"/>
      <c r="AB361" s="534">
        <v>2257</v>
      </c>
      <c r="AC361" s="69"/>
    </row>
    <row r="362" spans="1:29" ht="12.6" customHeight="1" x14ac:dyDescent="0.2">
      <c r="A362" s="20"/>
      <c r="B362" s="914" t="s">
        <v>803</v>
      </c>
      <c r="C362" s="915"/>
      <c r="D362" s="915"/>
      <c r="E362" s="915"/>
      <c r="F362" s="481">
        <f>0.702*X2</f>
        <v>645.83999999999992</v>
      </c>
      <c r="G362" s="345">
        <f t="shared" ref="G362" si="829">+F362*$X$1</f>
        <v>645.83999999999992</v>
      </c>
      <c r="H362" s="383"/>
      <c r="I362" s="345"/>
      <c r="J362" s="383"/>
      <c r="K362" s="345"/>
      <c r="L362" s="383">
        <f t="shared" ref="L362:L366" si="830">F362+70</f>
        <v>715.83999999999992</v>
      </c>
      <c r="M362" s="345">
        <f t="shared" ref="M362:M367" si="831">+L362*$X$1</f>
        <v>715.83999999999992</v>
      </c>
      <c r="N362" s="383">
        <f t="shared" ref="N362:N366" si="832">F362+42</f>
        <v>687.83999999999992</v>
      </c>
      <c r="O362" s="345">
        <f t="shared" ref="O362:O367" si="833">+N362*$X$1</f>
        <v>687.83999999999992</v>
      </c>
      <c r="P362" s="383">
        <f t="shared" ref="P362:P366" si="834">F362+38</f>
        <v>683.83999999999992</v>
      </c>
      <c r="Q362" s="345">
        <f t="shared" ref="Q362:Q367" si="835">+P362*$X$1</f>
        <v>683.83999999999992</v>
      </c>
      <c r="R362" s="383">
        <f t="shared" ref="R362:R366" si="836">F362+29</f>
        <v>674.83999999999992</v>
      </c>
      <c r="S362" s="345">
        <f t="shared" ref="S362:S367" si="837">+R362*$X$1</f>
        <v>674.83999999999992</v>
      </c>
      <c r="T362" s="108">
        <f t="shared" ref="T362:T366" si="838">F362+24</f>
        <v>669.83999999999992</v>
      </c>
      <c r="U362" s="304">
        <f t="shared" ref="U362:U367" si="839">+T362*$X$1</f>
        <v>669.83999999999992</v>
      </c>
      <c r="V362" s="108">
        <f t="shared" ref="V362:V366" si="840">F362+19</f>
        <v>664.83999999999992</v>
      </c>
      <c r="W362" s="304">
        <f t="shared" ref="W362:W367" si="841">+V362*$X$1</f>
        <v>664.83999999999992</v>
      </c>
      <c r="X362" s="704"/>
      <c r="Y362" s="705"/>
      <c r="Z362" s="705"/>
      <c r="AA362" s="706"/>
      <c r="AB362" s="534">
        <v>2260</v>
      </c>
      <c r="AC362" s="69"/>
    </row>
    <row r="363" spans="1:29" ht="12.6" customHeight="1" x14ac:dyDescent="0.2">
      <c r="A363" s="20"/>
      <c r="B363" s="914" t="s">
        <v>770</v>
      </c>
      <c r="C363" s="915"/>
      <c r="D363" s="915"/>
      <c r="E363" s="915"/>
      <c r="F363" s="482">
        <f>0.614*X2</f>
        <v>564.88</v>
      </c>
      <c r="G363" s="346">
        <f t="shared" ref="G363:G364" si="842">+F363*$X$1</f>
        <v>564.88</v>
      </c>
      <c r="H363" s="625"/>
      <c r="I363" s="346"/>
      <c r="J363" s="625"/>
      <c r="K363" s="346"/>
      <c r="L363" s="625">
        <f t="shared" si="830"/>
        <v>634.88</v>
      </c>
      <c r="M363" s="346">
        <f t="shared" si="831"/>
        <v>634.88</v>
      </c>
      <c r="N363" s="625">
        <f t="shared" si="832"/>
        <v>606.88</v>
      </c>
      <c r="O363" s="346">
        <f t="shared" si="833"/>
        <v>606.88</v>
      </c>
      <c r="P363" s="625">
        <f t="shared" si="834"/>
        <v>602.88</v>
      </c>
      <c r="Q363" s="346">
        <f t="shared" si="835"/>
        <v>602.88</v>
      </c>
      <c r="R363" s="625">
        <f t="shared" si="836"/>
        <v>593.88</v>
      </c>
      <c r="S363" s="346">
        <f t="shared" si="837"/>
        <v>593.88</v>
      </c>
      <c r="T363" s="107">
        <f t="shared" si="838"/>
        <v>588.88</v>
      </c>
      <c r="U363" s="371">
        <f t="shared" si="839"/>
        <v>588.88</v>
      </c>
      <c r="V363" s="107">
        <f t="shared" si="840"/>
        <v>583.88</v>
      </c>
      <c r="W363" s="371">
        <f t="shared" si="841"/>
        <v>583.88</v>
      </c>
      <c r="X363" s="704"/>
      <c r="Y363" s="705"/>
      <c r="Z363" s="705"/>
      <c r="AA363" s="706"/>
      <c r="AB363" s="534">
        <v>2261</v>
      </c>
      <c r="AC363" s="69"/>
    </row>
    <row r="364" spans="1:29" ht="12.6" customHeight="1" x14ac:dyDescent="0.2">
      <c r="A364" s="20"/>
      <c r="B364" s="914" t="s">
        <v>805</v>
      </c>
      <c r="C364" s="915"/>
      <c r="D364" s="915"/>
      <c r="E364" s="915"/>
      <c r="F364" s="481">
        <f>0.652*X2</f>
        <v>599.84</v>
      </c>
      <c r="G364" s="345">
        <f t="shared" si="842"/>
        <v>599.84</v>
      </c>
      <c r="H364" s="383"/>
      <c r="I364" s="345"/>
      <c r="J364" s="383"/>
      <c r="K364" s="345"/>
      <c r="L364" s="383">
        <f t="shared" si="830"/>
        <v>669.84</v>
      </c>
      <c r="M364" s="345">
        <f t="shared" si="831"/>
        <v>669.84</v>
      </c>
      <c r="N364" s="383">
        <f t="shared" si="832"/>
        <v>641.84</v>
      </c>
      <c r="O364" s="345">
        <f t="shared" si="833"/>
        <v>641.84</v>
      </c>
      <c r="P364" s="383">
        <f t="shared" si="834"/>
        <v>637.84</v>
      </c>
      <c r="Q364" s="345">
        <f t="shared" si="835"/>
        <v>637.84</v>
      </c>
      <c r="R364" s="383">
        <f t="shared" si="836"/>
        <v>628.84</v>
      </c>
      <c r="S364" s="345">
        <f t="shared" si="837"/>
        <v>628.84</v>
      </c>
      <c r="T364" s="108">
        <f t="shared" si="838"/>
        <v>623.84</v>
      </c>
      <c r="U364" s="304">
        <f t="shared" si="839"/>
        <v>623.84</v>
      </c>
      <c r="V364" s="108">
        <f t="shared" si="840"/>
        <v>618.84</v>
      </c>
      <c r="W364" s="304">
        <f t="shared" si="841"/>
        <v>618.84</v>
      </c>
      <c r="X364" s="704"/>
      <c r="Y364" s="705"/>
      <c r="Z364" s="705"/>
      <c r="AA364" s="706"/>
      <c r="AB364" s="534">
        <v>2262</v>
      </c>
      <c r="AC364" s="69"/>
    </row>
    <row r="365" spans="1:29" ht="12.6" customHeight="1" x14ac:dyDescent="0.2">
      <c r="A365" s="20"/>
      <c r="B365" s="914" t="s">
        <v>733</v>
      </c>
      <c r="C365" s="915"/>
      <c r="D365" s="915"/>
      <c r="E365" s="915"/>
      <c r="F365" s="482">
        <f>1.91*X2</f>
        <v>1757.1999999999998</v>
      </c>
      <c r="G365" s="346">
        <f t="shared" ref="G365" si="843">+F365*$X$1</f>
        <v>1757.1999999999998</v>
      </c>
      <c r="H365" s="625"/>
      <c r="I365" s="346"/>
      <c r="J365" s="625"/>
      <c r="K365" s="346"/>
      <c r="L365" s="625">
        <f t="shared" si="830"/>
        <v>1827.1999999999998</v>
      </c>
      <c r="M365" s="346">
        <f t="shared" si="831"/>
        <v>1827.1999999999998</v>
      </c>
      <c r="N365" s="625">
        <f t="shared" si="832"/>
        <v>1799.1999999999998</v>
      </c>
      <c r="O365" s="346">
        <f t="shared" si="833"/>
        <v>1799.1999999999998</v>
      </c>
      <c r="P365" s="625">
        <f t="shared" si="834"/>
        <v>1795.1999999999998</v>
      </c>
      <c r="Q365" s="346">
        <f t="shared" si="835"/>
        <v>1795.1999999999998</v>
      </c>
      <c r="R365" s="625">
        <f t="shared" si="836"/>
        <v>1786.1999999999998</v>
      </c>
      <c r="S365" s="346">
        <f t="shared" si="837"/>
        <v>1786.1999999999998</v>
      </c>
      <c r="T365" s="107">
        <f t="shared" si="838"/>
        <v>1781.1999999999998</v>
      </c>
      <c r="U365" s="371">
        <f t="shared" si="839"/>
        <v>1781.1999999999998</v>
      </c>
      <c r="V365" s="107">
        <f t="shared" si="840"/>
        <v>1776.1999999999998</v>
      </c>
      <c r="W365" s="371">
        <f t="shared" si="841"/>
        <v>1776.1999999999998</v>
      </c>
      <c r="X365" s="704"/>
      <c r="Y365" s="705"/>
      <c r="Z365" s="705"/>
      <c r="AA365" s="706"/>
      <c r="AB365" s="534">
        <v>2264</v>
      </c>
      <c r="AC365" s="69"/>
    </row>
    <row r="366" spans="1:29" ht="12.6" customHeight="1" x14ac:dyDescent="0.2">
      <c r="A366" s="20"/>
      <c r="B366" s="1115" t="s">
        <v>804</v>
      </c>
      <c r="C366" s="1286"/>
      <c r="D366" s="1286"/>
      <c r="E366" s="1286"/>
      <c r="F366" s="481">
        <f>0.838*X2</f>
        <v>770.95999999999992</v>
      </c>
      <c r="G366" s="345">
        <f t="shared" ref="G366" si="844">+F366*$X$1</f>
        <v>770.95999999999992</v>
      </c>
      <c r="H366" s="383"/>
      <c r="I366" s="345"/>
      <c r="J366" s="383"/>
      <c r="K366" s="345"/>
      <c r="L366" s="383">
        <f t="shared" si="830"/>
        <v>840.95999999999992</v>
      </c>
      <c r="M366" s="345">
        <f t="shared" si="831"/>
        <v>840.95999999999992</v>
      </c>
      <c r="N366" s="383">
        <f t="shared" si="832"/>
        <v>812.95999999999992</v>
      </c>
      <c r="O366" s="345">
        <f t="shared" si="833"/>
        <v>812.95999999999992</v>
      </c>
      <c r="P366" s="383">
        <f t="shared" si="834"/>
        <v>808.95999999999992</v>
      </c>
      <c r="Q366" s="345">
        <f t="shared" si="835"/>
        <v>808.95999999999992</v>
      </c>
      <c r="R366" s="383">
        <f t="shared" si="836"/>
        <v>799.95999999999992</v>
      </c>
      <c r="S366" s="345">
        <f t="shared" si="837"/>
        <v>799.95999999999992</v>
      </c>
      <c r="T366" s="108">
        <f t="shared" si="838"/>
        <v>794.95999999999992</v>
      </c>
      <c r="U366" s="304">
        <f t="shared" si="839"/>
        <v>794.95999999999992</v>
      </c>
      <c r="V366" s="108">
        <f t="shared" si="840"/>
        <v>789.95999999999992</v>
      </c>
      <c r="W366" s="304">
        <f t="shared" si="841"/>
        <v>789.95999999999992</v>
      </c>
      <c r="X366" s="704"/>
      <c r="Y366" s="705"/>
      <c r="Z366" s="705"/>
      <c r="AA366" s="706"/>
      <c r="AB366" s="534">
        <v>2266</v>
      </c>
      <c r="AC366" s="69"/>
    </row>
    <row r="367" spans="1:29" ht="12.6" customHeight="1" x14ac:dyDescent="0.2">
      <c r="A367" s="20"/>
      <c r="B367" s="1190" t="s">
        <v>261</v>
      </c>
      <c r="C367" s="1191"/>
      <c r="D367" s="1191"/>
      <c r="E367" s="1191"/>
      <c r="F367" s="488">
        <f>1.96*X2</f>
        <v>1803.2</v>
      </c>
      <c r="G367" s="346">
        <f t="shared" ref="G367:G368" si="845">+F367*$X$1</f>
        <v>1803.2</v>
      </c>
      <c r="H367" s="625">
        <f>F367+250</f>
        <v>2053.1999999999998</v>
      </c>
      <c r="I367" s="346">
        <f>+H367*$X$1</f>
        <v>2053.1999999999998</v>
      </c>
      <c r="J367" s="625">
        <f>F367+80</f>
        <v>1883.2</v>
      </c>
      <c r="K367" s="346">
        <f t="shared" ref="K367" si="846">+J367*$X$1</f>
        <v>1883.2</v>
      </c>
      <c r="L367" s="625">
        <f>F367+60</f>
        <v>1863.2</v>
      </c>
      <c r="M367" s="346">
        <f t="shared" si="831"/>
        <v>1863.2</v>
      </c>
      <c r="N367" s="625">
        <f>F367+40</f>
        <v>1843.2</v>
      </c>
      <c r="O367" s="346">
        <f t="shared" si="833"/>
        <v>1843.2</v>
      </c>
      <c r="P367" s="625">
        <f>F367+37</f>
        <v>1840.2</v>
      </c>
      <c r="Q367" s="346">
        <f t="shared" si="835"/>
        <v>1840.2</v>
      </c>
      <c r="R367" s="625">
        <f>F367+33</f>
        <v>1836.2</v>
      </c>
      <c r="S367" s="346">
        <f t="shared" si="837"/>
        <v>1836.2</v>
      </c>
      <c r="T367" s="625">
        <f>F367+29</f>
        <v>1832.2</v>
      </c>
      <c r="U367" s="346">
        <f t="shared" si="839"/>
        <v>1832.2</v>
      </c>
      <c r="V367" s="625">
        <f>F367+25</f>
        <v>1828.2</v>
      </c>
      <c r="W367" s="346">
        <f t="shared" si="841"/>
        <v>1828.2</v>
      </c>
      <c r="X367" s="735"/>
      <c r="Y367" s="705"/>
      <c r="Z367" s="705"/>
      <c r="AA367" s="706"/>
      <c r="AB367" s="534">
        <v>2268</v>
      </c>
      <c r="AC367" s="69"/>
    </row>
    <row r="368" spans="1:29" ht="12.6" customHeight="1" x14ac:dyDescent="0.2">
      <c r="A368" s="20"/>
      <c r="B368" s="1115" t="s">
        <v>262</v>
      </c>
      <c r="C368" s="1284"/>
      <c r="D368" s="1284"/>
      <c r="E368" s="1284"/>
      <c r="F368" s="481">
        <f>0.393*X2</f>
        <v>361.56</v>
      </c>
      <c r="G368" s="345">
        <f t="shared" si="845"/>
        <v>361.56</v>
      </c>
      <c r="H368" s="336"/>
      <c r="I368" s="336"/>
      <c r="J368" s="383"/>
      <c r="K368" s="383"/>
      <c r="L368" s="383">
        <f t="shared" ref="L368:L371" si="847">F368+70</f>
        <v>431.56</v>
      </c>
      <c r="M368" s="345">
        <f t="shared" ref="M368:M371" si="848">+L368*$X$1</f>
        <v>431.56</v>
      </c>
      <c r="N368" s="383">
        <f t="shared" ref="N368:N371" si="849">F368+42</f>
        <v>403.56</v>
      </c>
      <c r="O368" s="345">
        <f t="shared" ref="O368:O371" si="850">+N368*$X$1</f>
        <v>403.56</v>
      </c>
      <c r="P368" s="383">
        <f t="shared" ref="P368:P371" si="851">F368+38</f>
        <v>399.56</v>
      </c>
      <c r="Q368" s="345">
        <f t="shared" ref="Q368:Q371" si="852">+P368*$X$1</f>
        <v>399.56</v>
      </c>
      <c r="R368" s="383">
        <f t="shared" ref="R368:R371" si="853">F368+29</f>
        <v>390.56</v>
      </c>
      <c r="S368" s="345">
        <f t="shared" ref="S368:S371" si="854">+R368*$X$1</f>
        <v>390.56</v>
      </c>
      <c r="T368" s="108">
        <f t="shared" ref="T368:T371" si="855">F368+24</f>
        <v>385.56</v>
      </c>
      <c r="U368" s="304">
        <f t="shared" ref="U368:U371" si="856">+T368*$X$1</f>
        <v>385.56</v>
      </c>
      <c r="V368" s="108">
        <f t="shared" ref="V368:V371" si="857">F368+19</f>
        <v>380.56</v>
      </c>
      <c r="W368" s="304">
        <f t="shared" ref="W368:W371" si="858">+V368*$X$1</f>
        <v>380.56</v>
      </c>
      <c r="X368" s="190"/>
      <c r="Y368" s="192"/>
      <c r="Z368" s="192"/>
      <c r="AA368" s="190"/>
      <c r="AB368" s="534">
        <v>2270</v>
      </c>
      <c r="AC368" s="69"/>
    </row>
    <row r="369" spans="1:29" ht="12.6" customHeight="1" x14ac:dyDescent="0.2">
      <c r="A369" s="20"/>
      <c r="B369" s="1081" t="s">
        <v>263</v>
      </c>
      <c r="C369" s="1287"/>
      <c r="D369" s="1287"/>
      <c r="E369" s="1287"/>
      <c r="F369" s="482">
        <f>0.48*X2</f>
        <v>441.59999999999997</v>
      </c>
      <c r="G369" s="346">
        <f>+F369*$X$1</f>
        <v>441.59999999999997</v>
      </c>
      <c r="H369" s="335"/>
      <c r="I369" s="335"/>
      <c r="J369" s="625"/>
      <c r="K369" s="625"/>
      <c r="L369" s="625">
        <f t="shared" si="847"/>
        <v>511.59999999999997</v>
      </c>
      <c r="M369" s="346">
        <f t="shared" si="848"/>
        <v>511.59999999999997</v>
      </c>
      <c r="N369" s="625">
        <f t="shared" si="849"/>
        <v>483.59999999999997</v>
      </c>
      <c r="O369" s="346">
        <f t="shared" si="850"/>
        <v>483.59999999999997</v>
      </c>
      <c r="P369" s="625">
        <f t="shared" si="851"/>
        <v>479.59999999999997</v>
      </c>
      <c r="Q369" s="346">
        <f t="shared" si="852"/>
        <v>479.59999999999997</v>
      </c>
      <c r="R369" s="625">
        <f t="shared" si="853"/>
        <v>470.59999999999997</v>
      </c>
      <c r="S369" s="346">
        <f t="shared" si="854"/>
        <v>470.59999999999997</v>
      </c>
      <c r="T369" s="107">
        <f t="shared" si="855"/>
        <v>465.59999999999997</v>
      </c>
      <c r="U369" s="371">
        <f t="shared" si="856"/>
        <v>465.59999999999997</v>
      </c>
      <c r="V369" s="107">
        <f t="shared" si="857"/>
        <v>460.59999999999997</v>
      </c>
      <c r="W369" s="371">
        <f t="shared" si="858"/>
        <v>460.59999999999997</v>
      </c>
      <c r="X369" s="190"/>
      <c r="Y369" s="192"/>
      <c r="Z369" s="192"/>
      <c r="AA369" s="190"/>
      <c r="AB369" s="534">
        <v>2271</v>
      </c>
      <c r="AC369" s="69"/>
    </row>
    <row r="370" spans="1:29" ht="12.6" customHeight="1" x14ac:dyDescent="0.2">
      <c r="A370" s="20"/>
      <c r="B370" s="1115" t="s">
        <v>264</v>
      </c>
      <c r="C370" s="1284"/>
      <c r="D370" s="1284"/>
      <c r="E370" s="1284"/>
      <c r="F370" s="481">
        <f>0.725*X2</f>
        <v>667</v>
      </c>
      <c r="G370" s="345">
        <f t="shared" ref="G370" si="859">+F370*$X$1</f>
        <v>667</v>
      </c>
      <c r="H370" s="336"/>
      <c r="I370" s="336"/>
      <c r="J370" s="383"/>
      <c r="K370" s="383"/>
      <c r="L370" s="383">
        <f t="shared" si="847"/>
        <v>737</v>
      </c>
      <c r="M370" s="345">
        <f t="shared" si="848"/>
        <v>737</v>
      </c>
      <c r="N370" s="383">
        <f t="shared" si="849"/>
        <v>709</v>
      </c>
      <c r="O370" s="345">
        <f t="shared" si="850"/>
        <v>709</v>
      </c>
      <c r="P370" s="383">
        <f t="shared" si="851"/>
        <v>705</v>
      </c>
      <c r="Q370" s="345">
        <f t="shared" si="852"/>
        <v>705</v>
      </c>
      <c r="R370" s="383">
        <f t="shared" si="853"/>
        <v>696</v>
      </c>
      <c r="S370" s="345">
        <f t="shared" si="854"/>
        <v>696</v>
      </c>
      <c r="T370" s="108">
        <f t="shared" si="855"/>
        <v>691</v>
      </c>
      <c r="U370" s="304">
        <f t="shared" si="856"/>
        <v>691</v>
      </c>
      <c r="V370" s="108">
        <f t="shared" si="857"/>
        <v>686</v>
      </c>
      <c r="W370" s="304">
        <f t="shared" si="858"/>
        <v>686</v>
      </c>
      <c r="X370" s="190"/>
      <c r="Y370" s="192"/>
      <c r="Z370" s="192"/>
      <c r="AA370" s="190"/>
      <c r="AB370" s="534">
        <v>2272</v>
      </c>
      <c r="AC370" s="69"/>
    </row>
    <row r="371" spans="1:29" ht="12.6" customHeight="1" x14ac:dyDescent="0.2">
      <c r="A371" s="20"/>
      <c r="B371" s="1081" t="s">
        <v>265</v>
      </c>
      <c r="C371" s="1082"/>
      <c r="D371" s="1082"/>
      <c r="E371" s="1082"/>
      <c r="F371" s="482">
        <f>0.596*X2</f>
        <v>548.31999999999994</v>
      </c>
      <c r="G371" s="346">
        <f>+F371*$X$1</f>
        <v>548.31999999999994</v>
      </c>
      <c r="H371" s="335"/>
      <c r="I371" s="335"/>
      <c r="J371" s="625"/>
      <c r="K371" s="625"/>
      <c r="L371" s="625">
        <f t="shared" si="847"/>
        <v>618.31999999999994</v>
      </c>
      <c r="M371" s="346">
        <f t="shared" si="848"/>
        <v>618.31999999999994</v>
      </c>
      <c r="N371" s="625">
        <f t="shared" si="849"/>
        <v>590.31999999999994</v>
      </c>
      <c r="O371" s="346">
        <f t="shared" si="850"/>
        <v>590.31999999999994</v>
      </c>
      <c r="P371" s="625">
        <f t="shared" si="851"/>
        <v>586.31999999999994</v>
      </c>
      <c r="Q371" s="346">
        <f t="shared" si="852"/>
        <v>586.31999999999994</v>
      </c>
      <c r="R371" s="625">
        <f t="shared" si="853"/>
        <v>577.31999999999994</v>
      </c>
      <c r="S371" s="346">
        <f t="shared" si="854"/>
        <v>577.31999999999994</v>
      </c>
      <c r="T371" s="107">
        <f t="shared" si="855"/>
        <v>572.31999999999994</v>
      </c>
      <c r="U371" s="371">
        <f t="shared" si="856"/>
        <v>572.31999999999994</v>
      </c>
      <c r="V371" s="107">
        <f t="shared" si="857"/>
        <v>567.31999999999994</v>
      </c>
      <c r="W371" s="371">
        <f t="shared" si="858"/>
        <v>567.31999999999994</v>
      </c>
      <c r="X371" s="190"/>
      <c r="Y371" s="192"/>
      <c r="Z371" s="192"/>
      <c r="AA371" s="190"/>
      <c r="AB371" s="534">
        <v>2275</v>
      </c>
      <c r="AC371" s="69"/>
    </row>
    <row r="372" spans="1:29" ht="12.6" customHeight="1" x14ac:dyDescent="0.2">
      <c r="A372" s="20"/>
      <c r="B372" s="1115" t="s">
        <v>731</v>
      </c>
      <c r="C372" s="1116"/>
      <c r="D372" s="1116"/>
      <c r="E372" s="1116"/>
      <c r="F372" s="481">
        <f>0.82*X2</f>
        <v>754.4</v>
      </c>
      <c r="G372" s="345">
        <f t="shared" ref="G372:G373" si="860">+F372*$X$1</f>
        <v>754.4</v>
      </c>
      <c r="H372" s="336"/>
      <c r="I372" s="336"/>
      <c r="J372" s="383"/>
      <c r="K372" s="383"/>
      <c r="L372" s="383">
        <f t="shared" ref="L372:L373" si="861">F372+70</f>
        <v>824.4</v>
      </c>
      <c r="M372" s="345">
        <f t="shared" ref="M372:M373" si="862">+L372*$X$1</f>
        <v>824.4</v>
      </c>
      <c r="N372" s="383">
        <f t="shared" ref="N372:N374" si="863">F372+42</f>
        <v>796.4</v>
      </c>
      <c r="O372" s="345">
        <f t="shared" ref="O372:O374" si="864">+N372*$X$1</f>
        <v>796.4</v>
      </c>
      <c r="P372" s="383">
        <f t="shared" ref="P372:P374" si="865">F372+38</f>
        <v>792.4</v>
      </c>
      <c r="Q372" s="345">
        <f t="shared" ref="Q372:Q374" si="866">+P372*$X$1</f>
        <v>792.4</v>
      </c>
      <c r="R372" s="383">
        <f t="shared" ref="R372:R374" si="867">F372+29</f>
        <v>783.4</v>
      </c>
      <c r="S372" s="345">
        <f t="shared" ref="S372:S374" si="868">+R372*$X$1</f>
        <v>783.4</v>
      </c>
      <c r="T372" s="108">
        <f t="shared" ref="T372:T374" si="869">F372+24</f>
        <v>778.4</v>
      </c>
      <c r="U372" s="304">
        <f t="shared" ref="U372:U374" si="870">+T372*$X$1</f>
        <v>778.4</v>
      </c>
      <c r="V372" s="108">
        <f t="shared" ref="V372:V374" si="871">F372+19</f>
        <v>773.4</v>
      </c>
      <c r="W372" s="304">
        <f t="shared" ref="W372:W374" si="872">+V372*$X$1</f>
        <v>773.4</v>
      </c>
      <c r="X372" s="244"/>
      <c r="Y372" s="245"/>
      <c r="Z372" s="245"/>
      <c r="AA372" s="244"/>
      <c r="AB372" s="534">
        <v>2279</v>
      </c>
      <c r="AC372" s="69"/>
    </row>
    <row r="373" spans="1:29" ht="12.6" customHeight="1" x14ac:dyDescent="0.2">
      <c r="A373" s="20"/>
      <c r="B373" s="1081" t="s">
        <v>266</v>
      </c>
      <c r="C373" s="1082"/>
      <c r="D373" s="1082"/>
      <c r="E373" s="1082"/>
      <c r="F373" s="482">
        <f>0.484*X2</f>
        <v>445.28</v>
      </c>
      <c r="G373" s="346">
        <f t="shared" si="860"/>
        <v>445.28</v>
      </c>
      <c r="H373" s="335"/>
      <c r="I373" s="335"/>
      <c r="J373" s="625"/>
      <c r="K373" s="625"/>
      <c r="L373" s="625">
        <f t="shared" si="861"/>
        <v>515.28</v>
      </c>
      <c r="M373" s="346">
        <f t="shared" si="862"/>
        <v>515.28</v>
      </c>
      <c r="N373" s="625">
        <f t="shared" si="863"/>
        <v>487.28</v>
      </c>
      <c r="O373" s="346">
        <f t="shared" si="864"/>
        <v>487.28</v>
      </c>
      <c r="P373" s="625">
        <f t="shared" si="865"/>
        <v>483.28</v>
      </c>
      <c r="Q373" s="346">
        <f t="shared" si="866"/>
        <v>483.28</v>
      </c>
      <c r="R373" s="625">
        <f t="shared" si="867"/>
        <v>474.28</v>
      </c>
      <c r="S373" s="346">
        <f t="shared" si="868"/>
        <v>474.28</v>
      </c>
      <c r="T373" s="107">
        <f t="shared" si="869"/>
        <v>469.28</v>
      </c>
      <c r="U373" s="371">
        <f t="shared" si="870"/>
        <v>469.28</v>
      </c>
      <c r="V373" s="107">
        <f t="shared" si="871"/>
        <v>464.28</v>
      </c>
      <c r="W373" s="371">
        <f t="shared" si="872"/>
        <v>464.28</v>
      </c>
      <c r="X373" s="190"/>
      <c r="Y373" s="192"/>
      <c r="Z373" s="192"/>
      <c r="AA373" s="190"/>
      <c r="AB373" s="534">
        <v>2280</v>
      </c>
      <c r="AC373" s="69"/>
    </row>
    <row r="374" spans="1:29" ht="12.6" customHeight="1" x14ac:dyDescent="0.2">
      <c r="A374" s="20"/>
      <c r="B374" s="1115" t="s">
        <v>572</v>
      </c>
      <c r="C374" s="1116"/>
      <c r="D374" s="1116"/>
      <c r="E374" s="1116"/>
      <c r="F374" s="481">
        <f>0.55*X2</f>
        <v>506.00000000000006</v>
      </c>
      <c r="G374" s="345">
        <f t="shared" ref="G374:G376" si="873">+F374*$X$1</f>
        <v>506.00000000000006</v>
      </c>
      <c r="H374" s="336"/>
      <c r="I374" s="336"/>
      <c r="J374" s="383"/>
      <c r="K374" s="383"/>
      <c r="L374" s="383"/>
      <c r="M374" s="345"/>
      <c r="N374" s="383">
        <f t="shared" si="863"/>
        <v>548</v>
      </c>
      <c r="O374" s="345">
        <f t="shared" si="864"/>
        <v>548</v>
      </c>
      <c r="P374" s="383">
        <f t="shared" si="865"/>
        <v>544</v>
      </c>
      <c r="Q374" s="345">
        <f t="shared" si="866"/>
        <v>544</v>
      </c>
      <c r="R374" s="383">
        <f t="shared" si="867"/>
        <v>535</v>
      </c>
      <c r="S374" s="345">
        <f t="shared" si="868"/>
        <v>535</v>
      </c>
      <c r="T374" s="108">
        <f t="shared" si="869"/>
        <v>530</v>
      </c>
      <c r="U374" s="304">
        <f t="shared" si="870"/>
        <v>530</v>
      </c>
      <c r="V374" s="108">
        <f t="shared" si="871"/>
        <v>525</v>
      </c>
      <c r="W374" s="304">
        <f t="shared" si="872"/>
        <v>525</v>
      </c>
      <c r="X374" s="190"/>
      <c r="Y374" s="192"/>
      <c r="Z374" s="192"/>
      <c r="AA374" s="190"/>
      <c r="AB374" s="534">
        <v>2281</v>
      </c>
      <c r="AC374" s="69"/>
    </row>
    <row r="375" spans="1:29" ht="12.6" customHeight="1" x14ac:dyDescent="0.2">
      <c r="A375" s="20"/>
      <c r="B375" s="1081" t="s">
        <v>389</v>
      </c>
      <c r="C375" s="1082"/>
      <c r="D375" s="1082"/>
      <c r="E375" s="1082"/>
      <c r="F375" s="482">
        <f>0.745*X2</f>
        <v>685.4</v>
      </c>
      <c r="G375" s="346">
        <f t="shared" si="873"/>
        <v>685.4</v>
      </c>
      <c r="H375" s="335"/>
      <c r="I375" s="335"/>
      <c r="J375" s="625"/>
      <c r="K375" s="625"/>
      <c r="L375" s="625">
        <f t="shared" ref="L375:L387" si="874">F375+70</f>
        <v>755.4</v>
      </c>
      <c r="M375" s="346">
        <f t="shared" ref="M375:M387" si="875">+L375*$X$1</f>
        <v>755.4</v>
      </c>
      <c r="N375" s="625">
        <f t="shared" ref="N375:N387" si="876">F375+42</f>
        <v>727.4</v>
      </c>
      <c r="O375" s="346">
        <f t="shared" ref="O375:O387" si="877">+N375*$X$1</f>
        <v>727.4</v>
      </c>
      <c r="P375" s="625">
        <f t="shared" ref="P375:P387" si="878">F375+38</f>
        <v>723.4</v>
      </c>
      <c r="Q375" s="346">
        <f t="shared" ref="Q375:Q387" si="879">+P375*$X$1</f>
        <v>723.4</v>
      </c>
      <c r="R375" s="625">
        <f t="shared" ref="R375:R387" si="880">F375+29</f>
        <v>714.4</v>
      </c>
      <c r="S375" s="346">
        <f t="shared" ref="S375:S387" si="881">+R375*$X$1</f>
        <v>714.4</v>
      </c>
      <c r="T375" s="107">
        <f t="shared" ref="T375:T387" si="882">F375+24</f>
        <v>709.4</v>
      </c>
      <c r="U375" s="371">
        <f t="shared" ref="U375:U387" si="883">+T375*$X$1</f>
        <v>709.4</v>
      </c>
      <c r="V375" s="107">
        <f t="shared" ref="V375:V387" si="884">F375+19</f>
        <v>704.4</v>
      </c>
      <c r="W375" s="371">
        <f t="shared" ref="W375:W387" si="885">+V375*$X$1</f>
        <v>704.4</v>
      </c>
      <c r="X375" s="203"/>
      <c r="Y375" s="202"/>
      <c r="Z375" s="202"/>
      <c r="AA375" s="203"/>
      <c r="AB375" s="534">
        <v>2285</v>
      </c>
      <c r="AC375" s="69"/>
    </row>
    <row r="376" spans="1:29" ht="12.6" customHeight="1" x14ac:dyDescent="0.2">
      <c r="A376" s="20"/>
      <c r="B376" s="1115" t="s">
        <v>390</v>
      </c>
      <c r="C376" s="1116"/>
      <c r="D376" s="1116"/>
      <c r="E376" s="1116"/>
      <c r="F376" s="481">
        <f>0.373*X2</f>
        <v>343.16</v>
      </c>
      <c r="G376" s="345">
        <f t="shared" si="873"/>
        <v>343.16</v>
      </c>
      <c r="H376" s="336"/>
      <c r="I376" s="336"/>
      <c r="J376" s="383"/>
      <c r="K376" s="383"/>
      <c r="L376" s="383">
        <f t="shared" si="874"/>
        <v>413.16</v>
      </c>
      <c r="M376" s="345">
        <f t="shared" si="875"/>
        <v>413.16</v>
      </c>
      <c r="N376" s="383">
        <f t="shared" si="876"/>
        <v>385.16</v>
      </c>
      <c r="O376" s="345">
        <f t="shared" si="877"/>
        <v>385.16</v>
      </c>
      <c r="P376" s="383">
        <f t="shared" si="878"/>
        <v>381.16</v>
      </c>
      <c r="Q376" s="345">
        <f t="shared" si="879"/>
        <v>381.16</v>
      </c>
      <c r="R376" s="383">
        <f t="shared" si="880"/>
        <v>372.16</v>
      </c>
      <c r="S376" s="345">
        <f t="shared" si="881"/>
        <v>372.16</v>
      </c>
      <c r="T376" s="108">
        <f t="shared" si="882"/>
        <v>367.16</v>
      </c>
      <c r="U376" s="304">
        <f t="shared" si="883"/>
        <v>367.16</v>
      </c>
      <c r="V376" s="108">
        <f t="shared" si="884"/>
        <v>362.16</v>
      </c>
      <c r="W376" s="304">
        <f t="shared" si="885"/>
        <v>362.16</v>
      </c>
      <c r="X376" s="204"/>
      <c r="Y376" s="205"/>
      <c r="Z376" s="205"/>
      <c r="AA376" s="204"/>
      <c r="AB376" s="534">
        <v>2286</v>
      </c>
      <c r="AC376" s="69"/>
    </row>
    <row r="377" spans="1:29" ht="12.6" customHeight="1" x14ac:dyDescent="0.2">
      <c r="A377" s="20"/>
      <c r="B377" s="1188" t="s">
        <v>439</v>
      </c>
      <c r="C377" s="1189"/>
      <c r="D377" s="1189"/>
      <c r="E377" s="1189"/>
      <c r="F377" s="486">
        <f>0.521*X2</f>
        <v>479.32</v>
      </c>
      <c r="G377" s="388">
        <f t="shared" ref="G377:G379" si="886">+F377*$X$1</f>
        <v>479.32</v>
      </c>
      <c r="H377" s="363"/>
      <c r="I377" s="363"/>
      <c r="J377" s="107"/>
      <c r="K377" s="107"/>
      <c r="L377" s="625">
        <f t="shared" si="874"/>
        <v>549.31999999999994</v>
      </c>
      <c r="M377" s="346">
        <f t="shared" si="875"/>
        <v>549.31999999999994</v>
      </c>
      <c r="N377" s="625">
        <f t="shared" si="876"/>
        <v>521.31999999999994</v>
      </c>
      <c r="O377" s="346">
        <f t="shared" si="877"/>
        <v>521.31999999999994</v>
      </c>
      <c r="P377" s="625">
        <f t="shared" si="878"/>
        <v>517.31999999999994</v>
      </c>
      <c r="Q377" s="346">
        <f t="shared" si="879"/>
        <v>517.31999999999994</v>
      </c>
      <c r="R377" s="625">
        <f t="shared" si="880"/>
        <v>508.32</v>
      </c>
      <c r="S377" s="346">
        <f t="shared" si="881"/>
        <v>508.32</v>
      </c>
      <c r="T377" s="107">
        <f t="shared" si="882"/>
        <v>503.32</v>
      </c>
      <c r="U377" s="371">
        <f t="shared" si="883"/>
        <v>503.32</v>
      </c>
      <c r="V377" s="107">
        <f t="shared" si="884"/>
        <v>498.32</v>
      </c>
      <c r="W377" s="371">
        <f t="shared" si="885"/>
        <v>498.32</v>
      </c>
      <c r="X377" s="238"/>
      <c r="Y377" s="237"/>
      <c r="Z377" s="237"/>
      <c r="AA377" s="238"/>
      <c r="AB377" s="534">
        <v>2287</v>
      </c>
      <c r="AC377" s="69"/>
    </row>
    <row r="378" spans="1:29" ht="12.6" customHeight="1" x14ac:dyDescent="0.2">
      <c r="A378" s="20"/>
      <c r="B378" s="1170" t="s">
        <v>451</v>
      </c>
      <c r="C378" s="1171"/>
      <c r="D378" s="1171"/>
      <c r="E378" s="1172"/>
      <c r="F378" s="481">
        <f>1.19*X2</f>
        <v>1094.8</v>
      </c>
      <c r="G378" s="345">
        <f t="shared" si="886"/>
        <v>1094.8</v>
      </c>
      <c r="H378" s="336"/>
      <c r="I378" s="336"/>
      <c r="J378" s="383"/>
      <c r="K378" s="383"/>
      <c r="L378" s="383">
        <f t="shared" si="874"/>
        <v>1164.8</v>
      </c>
      <c r="M378" s="345">
        <f t="shared" si="875"/>
        <v>1164.8</v>
      </c>
      <c r="N378" s="383">
        <f t="shared" si="876"/>
        <v>1136.8</v>
      </c>
      <c r="O378" s="345">
        <f t="shared" si="877"/>
        <v>1136.8</v>
      </c>
      <c r="P378" s="383">
        <f t="shared" si="878"/>
        <v>1132.8</v>
      </c>
      <c r="Q378" s="345">
        <f t="shared" si="879"/>
        <v>1132.8</v>
      </c>
      <c r="R378" s="383">
        <f t="shared" si="880"/>
        <v>1123.8</v>
      </c>
      <c r="S378" s="345">
        <f t="shared" si="881"/>
        <v>1123.8</v>
      </c>
      <c r="T378" s="108">
        <f t="shared" si="882"/>
        <v>1118.8</v>
      </c>
      <c r="U378" s="304">
        <f t="shared" si="883"/>
        <v>1118.8</v>
      </c>
      <c r="V378" s="108">
        <f t="shared" si="884"/>
        <v>1113.8</v>
      </c>
      <c r="W378" s="304">
        <f t="shared" si="885"/>
        <v>1113.8</v>
      </c>
      <c r="X378" s="240"/>
      <c r="Y378" s="241"/>
      <c r="Z378" s="241"/>
      <c r="AA378" s="240"/>
      <c r="AB378" s="534">
        <v>2289</v>
      </c>
      <c r="AC378" s="69"/>
    </row>
    <row r="379" spans="1:29" ht="12.6" customHeight="1" x14ac:dyDescent="0.2">
      <c r="A379" s="20"/>
      <c r="B379" s="1281" t="s">
        <v>832</v>
      </c>
      <c r="C379" s="1282"/>
      <c r="D379" s="1282"/>
      <c r="E379" s="1283"/>
      <c r="F379" s="486">
        <f>0.785*X2</f>
        <v>722.2</v>
      </c>
      <c r="G379" s="346">
        <f t="shared" si="886"/>
        <v>722.2</v>
      </c>
      <c r="H379" s="335"/>
      <c r="I379" s="335"/>
      <c r="J379" s="625"/>
      <c r="K379" s="625"/>
      <c r="L379" s="625">
        <f t="shared" ref="L379" si="887">F379+70</f>
        <v>792.2</v>
      </c>
      <c r="M379" s="346">
        <f t="shared" ref="M379" si="888">+L379*$X$1</f>
        <v>792.2</v>
      </c>
      <c r="N379" s="625">
        <f t="shared" ref="N379" si="889">F379+42</f>
        <v>764.2</v>
      </c>
      <c r="O379" s="346">
        <f t="shared" ref="O379" si="890">+N379*$X$1</f>
        <v>764.2</v>
      </c>
      <c r="P379" s="625">
        <f t="shared" ref="P379" si="891">F379+38</f>
        <v>760.2</v>
      </c>
      <c r="Q379" s="346">
        <f t="shared" ref="Q379" si="892">+P379*$X$1</f>
        <v>760.2</v>
      </c>
      <c r="R379" s="625">
        <f t="shared" ref="R379" si="893">F379+29</f>
        <v>751.2</v>
      </c>
      <c r="S379" s="346">
        <f t="shared" ref="S379" si="894">+R379*$X$1</f>
        <v>751.2</v>
      </c>
      <c r="T379" s="107">
        <f t="shared" ref="T379" si="895">F379+24</f>
        <v>746.2</v>
      </c>
      <c r="U379" s="371">
        <f t="shared" ref="U379" si="896">+T379*$X$1</f>
        <v>746.2</v>
      </c>
      <c r="V379" s="107">
        <f t="shared" ref="V379" si="897">F379+19</f>
        <v>741.2</v>
      </c>
      <c r="W379" s="371">
        <f t="shared" ref="W379" si="898">+V379*$X$1</f>
        <v>741.2</v>
      </c>
      <c r="X379" s="609"/>
      <c r="Y379" s="610"/>
      <c r="Z379" s="610"/>
      <c r="AA379" s="609"/>
      <c r="AB379" s="534">
        <v>2290</v>
      </c>
      <c r="AC379" s="69"/>
    </row>
    <row r="380" spans="1:29" ht="12.6" customHeight="1" x14ac:dyDescent="0.2">
      <c r="A380" s="20"/>
      <c r="B380" s="1059" t="s">
        <v>570</v>
      </c>
      <c r="C380" s="1060"/>
      <c r="D380" s="1060"/>
      <c r="E380" s="1061"/>
      <c r="F380" s="487">
        <f>0.546*X2</f>
        <v>502.32000000000005</v>
      </c>
      <c r="G380" s="345">
        <f t="shared" ref="G380" si="899">+F380*$X$1</f>
        <v>502.32000000000005</v>
      </c>
      <c r="H380" s="336"/>
      <c r="I380" s="336"/>
      <c r="J380" s="383"/>
      <c r="K380" s="383"/>
      <c r="L380" s="383">
        <f t="shared" si="874"/>
        <v>572.32000000000005</v>
      </c>
      <c r="M380" s="345">
        <f t="shared" si="875"/>
        <v>572.32000000000005</v>
      </c>
      <c r="N380" s="383">
        <f t="shared" si="876"/>
        <v>544.32000000000005</v>
      </c>
      <c r="O380" s="345">
        <f t="shared" si="877"/>
        <v>544.32000000000005</v>
      </c>
      <c r="P380" s="383">
        <f t="shared" si="878"/>
        <v>540.32000000000005</v>
      </c>
      <c r="Q380" s="345">
        <f t="shared" si="879"/>
        <v>540.32000000000005</v>
      </c>
      <c r="R380" s="383">
        <f t="shared" si="880"/>
        <v>531.32000000000005</v>
      </c>
      <c r="S380" s="345">
        <f t="shared" si="881"/>
        <v>531.32000000000005</v>
      </c>
      <c r="T380" s="108">
        <f t="shared" si="882"/>
        <v>526.32000000000005</v>
      </c>
      <c r="U380" s="304">
        <f t="shared" si="883"/>
        <v>526.32000000000005</v>
      </c>
      <c r="V380" s="108">
        <f t="shared" si="884"/>
        <v>521.32000000000005</v>
      </c>
      <c r="W380" s="304">
        <f t="shared" si="885"/>
        <v>521.32000000000005</v>
      </c>
      <c r="X380" s="287"/>
      <c r="Y380" s="291"/>
      <c r="Z380" s="291"/>
      <c r="AA380" s="287"/>
      <c r="AB380" s="534">
        <v>2291</v>
      </c>
      <c r="AC380" s="69"/>
    </row>
    <row r="381" spans="1:29" ht="12.6" customHeight="1" x14ac:dyDescent="0.2">
      <c r="A381" s="20"/>
      <c r="B381" s="768" t="s">
        <v>732</v>
      </c>
      <c r="C381" s="769"/>
      <c r="D381" s="769"/>
      <c r="E381" s="770"/>
      <c r="F381" s="486">
        <f>0.549*X2</f>
        <v>505.08000000000004</v>
      </c>
      <c r="G381" s="346">
        <f t="shared" ref="G381" si="900">+F381*$X$1</f>
        <v>505.08000000000004</v>
      </c>
      <c r="H381" s="335"/>
      <c r="I381" s="335"/>
      <c r="J381" s="625"/>
      <c r="K381" s="625"/>
      <c r="L381" s="625">
        <f t="shared" si="874"/>
        <v>575.08000000000004</v>
      </c>
      <c r="M381" s="346">
        <f t="shared" si="875"/>
        <v>575.08000000000004</v>
      </c>
      <c r="N381" s="625">
        <f t="shared" si="876"/>
        <v>547.08000000000004</v>
      </c>
      <c r="O381" s="346">
        <f t="shared" si="877"/>
        <v>547.08000000000004</v>
      </c>
      <c r="P381" s="625">
        <f t="shared" si="878"/>
        <v>543.08000000000004</v>
      </c>
      <c r="Q381" s="346">
        <f t="shared" si="879"/>
        <v>543.08000000000004</v>
      </c>
      <c r="R381" s="625">
        <f t="shared" si="880"/>
        <v>534.08000000000004</v>
      </c>
      <c r="S381" s="346">
        <f t="shared" si="881"/>
        <v>534.08000000000004</v>
      </c>
      <c r="T381" s="107">
        <f t="shared" si="882"/>
        <v>529.08000000000004</v>
      </c>
      <c r="U381" s="371">
        <f t="shared" si="883"/>
        <v>529.08000000000004</v>
      </c>
      <c r="V381" s="107">
        <f t="shared" si="884"/>
        <v>524.08000000000004</v>
      </c>
      <c r="W381" s="371">
        <f t="shared" si="885"/>
        <v>524.08000000000004</v>
      </c>
      <c r="X381" s="302"/>
      <c r="Y381" s="303"/>
      <c r="Z381" s="303"/>
      <c r="AA381" s="302"/>
      <c r="AB381" s="534">
        <v>2292</v>
      </c>
      <c r="AC381" s="69"/>
    </row>
    <row r="382" spans="1:29" ht="12.6" customHeight="1" x14ac:dyDescent="0.2">
      <c r="A382" s="20"/>
      <c r="B382" s="1059" t="s">
        <v>593</v>
      </c>
      <c r="C382" s="1060"/>
      <c r="D382" s="1060"/>
      <c r="E382" s="1061"/>
      <c r="F382" s="487">
        <f>1.287*X2</f>
        <v>1184.04</v>
      </c>
      <c r="G382" s="345">
        <f t="shared" ref="G382" si="901">+F382*$X$1</f>
        <v>1184.04</v>
      </c>
      <c r="H382" s="336"/>
      <c r="I382" s="336"/>
      <c r="J382" s="383"/>
      <c r="K382" s="383"/>
      <c r="L382" s="383">
        <f t="shared" si="874"/>
        <v>1254.04</v>
      </c>
      <c r="M382" s="345">
        <f t="shared" si="875"/>
        <v>1254.04</v>
      </c>
      <c r="N382" s="383">
        <f t="shared" si="876"/>
        <v>1226.04</v>
      </c>
      <c r="O382" s="345">
        <f t="shared" si="877"/>
        <v>1226.04</v>
      </c>
      <c r="P382" s="383">
        <f t="shared" si="878"/>
        <v>1222.04</v>
      </c>
      <c r="Q382" s="345">
        <f t="shared" si="879"/>
        <v>1222.04</v>
      </c>
      <c r="R382" s="383">
        <f t="shared" si="880"/>
        <v>1213.04</v>
      </c>
      <c r="S382" s="345">
        <f t="shared" si="881"/>
        <v>1213.04</v>
      </c>
      <c r="T382" s="108">
        <f t="shared" si="882"/>
        <v>1208.04</v>
      </c>
      <c r="U382" s="304">
        <f t="shared" si="883"/>
        <v>1208.04</v>
      </c>
      <c r="V382" s="108">
        <f t="shared" si="884"/>
        <v>1203.04</v>
      </c>
      <c r="W382" s="304">
        <f t="shared" si="885"/>
        <v>1203.04</v>
      </c>
      <c r="X382" s="306"/>
      <c r="Y382" s="307"/>
      <c r="Z382" s="307"/>
      <c r="AA382" s="306"/>
      <c r="AB382" s="534">
        <v>2293</v>
      </c>
      <c r="AC382" s="69"/>
    </row>
    <row r="383" spans="1:29" ht="12.6" customHeight="1" x14ac:dyDescent="0.2">
      <c r="A383" s="20"/>
      <c r="B383" s="768" t="s">
        <v>663</v>
      </c>
      <c r="C383" s="769"/>
      <c r="D383" s="769"/>
      <c r="E383" s="770"/>
      <c r="F383" s="506">
        <v>440</v>
      </c>
      <c r="G383" s="346">
        <f t="shared" ref="G383" si="902">+F383*$X$1</f>
        <v>440</v>
      </c>
      <c r="H383" s="335"/>
      <c r="I383" s="335"/>
      <c r="J383" s="625"/>
      <c r="K383" s="625"/>
      <c r="L383" s="625">
        <f t="shared" si="874"/>
        <v>510</v>
      </c>
      <c r="M383" s="346">
        <f t="shared" si="875"/>
        <v>510</v>
      </c>
      <c r="N383" s="625">
        <f t="shared" si="876"/>
        <v>482</v>
      </c>
      <c r="O383" s="346">
        <f t="shared" si="877"/>
        <v>482</v>
      </c>
      <c r="P383" s="625">
        <f t="shared" si="878"/>
        <v>478</v>
      </c>
      <c r="Q383" s="346">
        <f t="shared" si="879"/>
        <v>478</v>
      </c>
      <c r="R383" s="625">
        <f t="shared" si="880"/>
        <v>469</v>
      </c>
      <c r="S383" s="346">
        <f t="shared" si="881"/>
        <v>469</v>
      </c>
      <c r="T383" s="107">
        <f t="shared" si="882"/>
        <v>464</v>
      </c>
      <c r="U383" s="371">
        <f t="shared" si="883"/>
        <v>464</v>
      </c>
      <c r="V383" s="107">
        <f t="shared" si="884"/>
        <v>459</v>
      </c>
      <c r="W383" s="371">
        <f t="shared" si="885"/>
        <v>459</v>
      </c>
      <c r="X383" s="398"/>
      <c r="Y383" s="399"/>
      <c r="Z383" s="399"/>
      <c r="AA383" s="398"/>
      <c r="AB383" s="534">
        <v>2294</v>
      </c>
      <c r="AC383" s="69"/>
    </row>
    <row r="384" spans="1:29" ht="12.6" customHeight="1" x14ac:dyDescent="0.2">
      <c r="A384" s="20"/>
      <c r="B384" s="1059" t="s">
        <v>524</v>
      </c>
      <c r="C384" s="1060"/>
      <c r="D384" s="1060"/>
      <c r="E384" s="1061"/>
      <c r="F384" s="487">
        <f>0.783*X2</f>
        <v>720.36</v>
      </c>
      <c r="G384" s="345">
        <f t="shared" ref="G384" si="903">+F384*$X$1</f>
        <v>720.36</v>
      </c>
      <c r="H384" s="336"/>
      <c r="I384" s="336"/>
      <c r="J384" s="383"/>
      <c r="K384" s="383"/>
      <c r="L384" s="383">
        <f t="shared" si="874"/>
        <v>790.36</v>
      </c>
      <c r="M384" s="345">
        <f t="shared" si="875"/>
        <v>790.36</v>
      </c>
      <c r="N384" s="383">
        <f t="shared" si="876"/>
        <v>762.36</v>
      </c>
      <c r="O384" s="345">
        <f t="shared" si="877"/>
        <v>762.36</v>
      </c>
      <c r="P384" s="383">
        <f t="shared" si="878"/>
        <v>758.36</v>
      </c>
      <c r="Q384" s="345">
        <f t="shared" si="879"/>
        <v>758.36</v>
      </c>
      <c r="R384" s="383">
        <f t="shared" si="880"/>
        <v>749.36</v>
      </c>
      <c r="S384" s="345">
        <f t="shared" si="881"/>
        <v>749.36</v>
      </c>
      <c r="T384" s="108">
        <f t="shared" si="882"/>
        <v>744.36</v>
      </c>
      <c r="U384" s="304">
        <f t="shared" si="883"/>
        <v>744.36</v>
      </c>
      <c r="V384" s="108">
        <f t="shared" si="884"/>
        <v>739.36</v>
      </c>
      <c r="W384" s="304">
        <f t="shared" si="885"/>
        <v>739.36</v>
      </c>
      <c r="X384" s="242"/>
      <c r="Y384" s="243"/>
      <c r="Z384" s="243"/>
      <c r="AA384" s="242"/>
      <c r="AB384" s="534">
        <v>2295</v>
      </c>
      <c r="AC384" s="69"/>
    </row>
    <row r="385" spans="1:34" ht="12.6" customHeight="1" x14ac:dyDescent="0.2">
      <c r="A385" s="20"/>
      <c r="B385" s="1305" t="s">
        <v>454</v>
      </c>
      <c r="C385" s="1306"/>
      <c r="D385" s="1306"/>
      <c r="E385" s="1307"/>
      <c r="F385" s="596">
        <f>0.52*X2</f>
        <v>478.40000000000003</v>
      </c>
      <c r="G385" s="410">
        <f t="shared" ref="G385" si="904">+F385*$X$1</f>
        <v>478.40000000000003</v>
      </c>
      <c r="H385" s="342"/>
      <c r="I385" s="342"/>
      <c r="J385" s="601"/>
      <c r="K385" s="601"/>
      <c r="L385" s="601">
        <f t="shared" si="874"/>
        <v>548.40000000000009</v>
      </c>
      <c r="M385" s="410">
        <f t="shared" si="875"/>
        <v>548.40000000000009</v>
      </c>
      <c r="N385" s="601">
        <f t="shared" si="876"/>
        <v>520.40000000000009</v>
      </c>
      <c r="O385" s="410">
        <f t="shared" si="877"/>
        <v>520.40000000000009</v>
      </c>
      <c r="P385" s="601">
        <f t="shared" si="878"/>
        <v>516.40000000000009</v>
      </c>
      <c r="Q385" s="410">
        <f t="shared" si="879"/>
        <v>516.40000000000009</v>
      </c>
      <c r="R385" s="601">
        <f t="shared" si="880"/>
        <v>507.40000000000003</v>
      </c>
      <c r="S385" s="410">
        <f t="shared" si="881"/>
        <v>507.40000000000003</v>
      </c>
      <c r="T385" s="122">
        <f t="shared" si="882"/>
        <v>502.40000000000003</v>
      </c>
      <c r="U385" s="479">
        <f t="shared" si="883"/>
        <v>502.40000000000003</v>
      </c>
      <c r="V385" s="122">
        <f t="shared" si="884"/>
        <v>497.40000000000003</v>
      </c>
      <c r="W385" s="479">
        <f t="shared" si="885"/>
        <v>497.40000000000003</v>
      </c>
      <c r="X385" s="242"/>
      <c r="Y385" s="243"/>
      <c r="Z385" s="243"/>
      <c r="AA385" s="242"/>
      <c r="AB385" s="534">
        <v>2296</v>
      </c>
      <c r="AC385" s="69"/>
    </row>
    <row r="386" spans="1:34" ht="12.6" customHeight="1" x14ac:dyDescent="0.2">
      <c r="A386" s="20"/>
      <c r="B386" s="1059" t="s">
        <v>496</v>
      </c>
      <c r="C386" s="1060"/>
      <c r="D386" s="1060"/>
      <c r="E386" s="1061"/>
      <c r="F386" s="487">
        <f>0.627*X2</f>
        <v>576.84</v>
      </c>
      <c r="G386" s="345">
        <f t="shared" ref="G386" si="905">+F386*$X$1</f>
        <v>576.84</v>
      </c>
      <c r="H386" s="336"/>
      <c r="I386" s="336"/>
      <c r="J386" s="383"/>
      <c r="K386" s="383"/>
      <c r="L386" s="383">
        <f t="shared" si="874"/>
        <v>646.84</v>
      </c>
      <c r="M386" s="345">
        <f t="shared" si="875"/>
        <v>646.84</v>
      </c>
      <c r="N386" s="383">
        <f t="shared" si="876"/>
        <v>618.84</v>
      </c>
      <c r="O386" s="345">
        <f t="shared" si="877"/>
        <v>618.84</v>
      </c>
      <c r="P386" s="383"/>
      <c r="Q386" s="345"/>
      <c r="R386" s="383"/>
      <c r="S386" s="345"/>
      <c r="T386" s="108"/>
      <c r="U386" s="304"/>
      <c r="V386" s="108"/>
      <c r="W386" s="304"/>
      <c r="X386" s="261"/>
      <c r="Y386" s="260"/>
      <c r="Z386" s="260"/>
      <c r="AA386" s="261"/>
      <c r="AB386" s="534">
        <v>2298</v>
      </c>
      <c r="AC386" s="69"/>
    </row>
    <row r="387" spans="1:34" ht="12.6" customHeight="1" x14ac:dyDescent="0.2">
      <c r="A387" s="20"/>
      <c r="B387" s="768" t="s">
        <v>643</v>
      </c>
      <c r="C387" s="769"/>
      <c r="D387" s="769"/>
      <c r="E387" s="770"/>
      <c r="F387" s="486">
        <f>0.686*X2</f>
        <v>631.12</v>
      </c>
      <c r="G387" s="346">
        <f t="shared" ref="G387" si="906">+F387*$X$1</f>
        <v>631.12</v>
      </c>
      <c r="H387" s="335"/>
      <c r="I387" s="335"/>
      <c r="J387" s="625"/>
      <c r="K387" s="346"/>
      <c r="L387" s="625">
        <f t="shared" si="874"/>
        <v>701.12</v>
      </c>
      <c r="M387" s="346">
        <f t="shared" si="875"/>
        <v>701.12</v>
      </c>
      <c r="N387" s="625">
        <f t="shared" si="876"/>
        <v>673.12</v>
      </c>
      <c r="O387" s="346">
        <f t="shared" si="877"/>
        <v>673.12</v>
      </c>
      <c r="P387" s="625">
        <f t="shared" si="878"/>
        <v>669.12</v>
      </c>
      <c r="Q387" s="346">
        <f t="shared" si="879"/>
        <v>669.12</v>
      </c>
      <c r="R387" s="625">
        <f t="shared" si="880"/>
        <v>660.12</v>
      </c>
      <c r="S387" s="346">
        <f t="shared" si="881"/>
        <v>660.12</v>
      </c>
      <c r="T387" s="107">
        <f t="shared" si="882"/>
        <v>655.12</v>
      </c>
      <c r="U387" s="371">
        <f t="shared" si="883"/>
        <v>655.12</v>
      </c>
      <c r="V387" s="107">
        <f t="shared" si="884"/>
        <v>650.12</v>
      </c>
      <c r="W387" s="371">
        <f t="shared" si="885"/>
        <v>650.12</v>
      </c>
      <c r="X387" s="380"/>
      <c r="Y387" s="381"/>
      <c r="Z387" s="381"/>
      <c r="AA387" s="380"/>
      <c r="AB387" s="534">
        <v>2299</v>
      </c>
      <c r="AC387" s="69"/>
    </row>
    <row r="388" spans="1:34" ht="12.6" customHeight="1" x14ac:dyDescent="0.2">
      <c r="A388" s="20"/>
      <c r="B388" s="1115" t="s">
        <v>267</v>
      </c>
      <c r="C388" s="1286"/>
      <c r="D388" s="1286"/>
      <c r="E388" s="1286"/>
      <c r="F388" s="481">
        <f>2.719*X2</f>
        <v>2501.48</v>
      </c>
      <c r="G388" s="345">
        <f t="shared" ref="G388:G389" si="907">+F388*$X$1</f>
        <v>2501.48</v>
      </c>
      <c r="H388" s="383">
        <f t="shared" ref="H388:H392" si="908">F388+250</f>
        <v>2751.48</v>
      </c>
      <c r="I388" s="345">
        <f t="shared" ref="I388:I392" si="909">+H388*$X$1</f>
        <v>2751.48</v>
      </c>
      <c r="J388" s="383">
        <f t="shared" ref="J388:J392" si="910">F388+80</f>
        <v>2581.48</v>
      </c>
      <c r="K388" s="345">
        <f t="shared" ref="K388" si="911">+J388*$X$1</f>
        <v>2581.48</v>
      </c>
      <c r="L388" s="383">
        <f t="shared" ref="L388:L392" si="912">F388+60</f>
        <v>2561.48</v>
      </c>
      <c r="M388" s="345">
        <f t="shared" ref="M388" si="913">+L388*$X$1</f>
        <v>2561.48</v>
      </c>
      <c r="N388" s="383"/>
      <c r="O388" s="345"/>
      <c r="P388" s="383"/>
      <c r="Q388" s="345"/>
      <c r="R388" s="383"/>
      <c r="S388" s="345"/>
      <c r="T388" s="383"/>
      <c r="U388" s="345"/>
      <c r="V388" s="383"/>
      <c r="W388" s="345"/>
      <c r="X388" s="704"/>
      <c r="Y388" s="705"/>
      <c r="Z388" s="705"/>
      <c r="AA388" s="706"/>
      <c r="AB388" s="534">
        <v>2321</v>
      </c>
      <c r="AC388" s="69"/>
    </row>
    <row r="389" spans="1:34" ht="12.6" customHeight="1" x14ac:dyDescent="0.2">
      <c r="A389" s="20"/>
      <c r="B389" s="1081" t="s">
        <v>511</v>
      </c>
      <c r="C389" s="1285"/>
      <c r="D389" s="1285"/>
      <c r="E389" s="1285"/>
      <c r="F389" s="482">
        <f>1.57*X2</f>
        <v>1444.4</v>
      </c>
      <c r="G389" s="346">
        <f t="shared" si="907"/>
        <v>1444.4</v>
      </c>
      <c r="H389" s="625">
        <f t="shared" si="908"/>
        <v>1694.4</v>
      </c>
      <c r="I389" s="346">
        <f t="shared" si="909"/>
        <v>1694.4</v>
      </c>
      <c r="J389" s="625">
        <f t="shared" si="910"/>
        <v>1524.4</v>
      </c>
      <c r="K389" s="346">
        <f t="shared" ref="K389" si="914">+J389*$X$1</f>
        <v>1524.4</v>
      </c>
      <c r="L389" s="625">
        <f t="shared" si="912"/>
        <v>1504.4</v>
      </c>
      <c r="M389" s="346">
        <f t="shared" ref="M389" si="915">+L389*$X$1</f>
        <v>1504.4</v>
      </c>
      <c r="N389" s="625">
        <f>F389+40</f>
        <v>1484.4</v>
      </c>
      <c r="O389" s="346">
        <f t="shared" ref="O389" si="916">+N389*$X$1</f>
        <v>1484.4</v>
      </c>
      <c r="P389" s="625">
        <f>F389+37</f>
        <v>1481.4</v>
      </c>
      <c r="Q389" s="346">
        <f t="shared" ref="Q389" si="917">+P389*$X$1</f>
        <v>1481.4</v>
      </c>
      <c r="R389" s="625">
        <f>F389+33</f>
        <v>1477.4</v>
      </c>
      <c r="S389" s="346">
        <f t="shared" ref="S389" si="918">+R389*$X$1</f>
        <v>1477.4</v>
      </c>
      <c r="T389" s="625">
        <f>F389+29</f>
        <v>1473.4</v>
      </c>
      <c r="U389" s="346">
        <f t="shared" ref="U389" si="919">+T389*$X$1</f>
        <v>1473.4</v>
      </c>
      <c r="V389" s="625">
        <f>F389+25</f>
        <v>1469.4</v>
      </c>
      <c r="W389" s="346">
        <f t="shared" ref="W389" si="920">+V389*$X$1</f>
        <v>1469.4</v>
      </c>
      <c r="X389" s="704"/>
      <c r="Y389" s="705"/>
      <c r="Z389" s="705"/>
      <c r="AA389" s="706"/>
      <c r="AB389" s="534">
        <v>2322</v>
      </c>
      <c r="AC389" s="69"/>
    </row>
    <row r="390" spans="1:34" ht="12.6" customHeight="1" x14ac:dyDescent="0.2">
      <c r="A390" s="20"/>
      <c r="B390" s="714" t="s">
        <v>268</v>
      </c>
      <c r="C390" s="760"/>
      <c r="D390" s="760"/>
      <c r="E390" s="761"/>
      <c r="F390" s="481">
        <f>3.407*X2</f>
        <v>3134.44</v>
      </c>
      <c r="G390" s="345">
        <f>+F390*$X$1</f>
        <v>3134.44</v>
      </c>
      <c r="H390" s="383">
        <f t="shared" si="908"/>
        <v>3384.44</v>
      </c>
      <c r="I390" s="345">
        <f t="shared" si="909"/>
        <v>3384.44</v>
      </c>
      <c r="J390" s="383">
        <f t="shared" si="910"/>
        <v>3214.44</v>
      </c>
      <c r="K390" s="345">
        <f t="shared" ref="K390:K392" si="921">+J390*$X$1</f>
        <v>3214.44</v>
      </c>
      <c r="L390" s="383">
        <f t="shared" si="912"/>
        <v>3194.44</v>
      </c>
      <c r="M390" s="345">
        <f t="shared" ref="M390:M392" si="922">+L390*$X$1</f>
        <v>3194.44</v>
      </c>
      <c r="N390" s="383">
        <f>F390+40</f>
        <v>3174.44</v>
      </c>
      <c r="O390" s="345">
        <f t="shared" ref="O390:O392" si="923">+N390*$X$1</f>
        <v>3174.44</v>
      </c>
      <c r="P390" s="383">
        <f>F390+37</f>
        <v>3171.44</v>
      </c>
      <c r="Q390" s="345">
        <f t="shared" ref="Q390:Q392" si="924">+P390*$X$1</f>
        <v>3171.44</v>
      </c>
      <c r="R390" s="383">
        <f>F390+33</f>
        <v>3167.44</v>
      </c>
      <c r="S390" s="345">
        <f t="shared" ref="S390:S392" si="925">+R390*$X$1</f>
        <v>3167.44</v>
      </c>
      <c r="T390" s="383">
        <f>F390+29</f>
        <v>3163.44</v>
      </c>
      <c r="U390" s="345">
        <f t="shared" ref="U390:U392" si="926">+T390*$X$1</f>
        <v>3163.44</v>
      </c>
      <c r="V390" s="383">
        <f>F390+25</f>
        <v>3159.44</v>
      </c>
      <c r="W390" s="345">
        <f t="shared" ref="W390:W392" si="927">+V390*$X$1</f>
        <v>3159.44</v>
      </c>
      <c r="X390" s="704"/>
      <c r="Y390" s="705"/>
      <c r="Z390" s="705"/>
      <c r="AA390" s="706"/>
      <c r="AB390" s="534">
        <v>2330</v>
      </c>
      <c r="AC390" s="69"/>
    </row>
    <row r="391" spans="1:34" ht="12.6" customHeight="1" x14ac:dyDescent="0.2">
      <c r="A391" s="111"/>
      <c r="B391" s="1288" t="s">
        <v>855</v>
      </c>
      <c r="C391" s="777"/>
      <c r="D391" s="777"/>
      <c r="E391" s="778"/>
      <c r="F391" s="482">
        <f>5.39*X2</f>
        <v>4958.7999999999993</v>
      </c>
      <c r="G391" s="346">
        <f t="shared" ref="G391" si="928">+F391*$X$1</f>
        <v>4958.7999999999993</v>
      </c>
      <c r="H391" s="625">
        <f>F391+370</f>
        <v>5328.7999999999993</v>
      </c>
      <c r="I391" s="346">
        <f t="shared" si="909"/>
        <v>5328.7999999999993</v>
      </c>
      <c r="J391" s="625">
        <f>F391+120</f>
        <v>5078.7999999999993</v>
      </c>
      <c r="K391" s="346">
        <f t="shared" si="921"/>
        <v>5078.7999999999993</v>
      </c>
      <c r="L391" s="625">
        <f>F391+90</f>
        <v>5048.7999999999993</v>
      </c>
      <c r="M391" s="346">
        <f t="shared" si="922"/>
        <v>5048.7999999999993</v>
      </c>
      <c r="N391" s="625">
        <f>F391+60</f>
        <v>5018.7999999999993</v>
      </c>
      <c r="O391" s="346">
        <f>+N391*$X$1</f>
        <v>5018.7999999999993</v>
      </c>
      <c r="P391" s="625">
        <f>F391+55</f>
        <v>5013.7999999999993</v>
      </c>
      <c r="Q391" s="346">
        <f t="shared" si="924"/>
        <v>5013.7999999999993</v>
      </c>
      <c r="R391" s="625">
        <f>F391+49</f>
        <v>5007.7999999999993</v>
      </c>
      <c r="S391" s="346">
        <f>+R391*$X$1</f>
        <v>5007.7999999999993</v>
      </c>
      <c r="T391" s="625">
        <f>F391+44</f>
        <v>5002.7999999999993</v>
      </c>
      <c r="U391" s="346">
        <f t="shared" si="926"/>
        <v>5002.7999999999993</v>
      </c>
      <c r="V391" s="625">
        <f>F391+38</f>
        <v>4996.7999999999993</v>
      </c>
      <c r="W391" s="371">
        <f t="shared" si="927"/>
        <v>4996.7999999999993</v>
      </c>
      <c r="X391" s="704"/>
      <c r="Y391" s="705"/>
      <c r="Z391" s="705"/>
      <c r="AA391" s="706"/>
      <c r="AB391" s="534">
        <v>2332</v>
      </c>
      <c r="AC391" s="69"/>
    </row>
    <row r="392" spans="1:34" ht="12.6" customHeight="1" x14ac:dyDescent="0.2">
      <c r="A392" s="111"/>
      <c r="B392" s="714" t="s">
        <v>455</v>
      </c>
      <c r="C392" s="717"/>
      <c r="D392" s="717"/>
      <c r="E392" s="718"/>
      <c r="F392" s="481">
        <f>1.22*X2</f>
        <v>1122.3999999999999</v>
      </c>
      <c r="G392" s="345">
        <f t="shared" ref="G392" si="929">+F392*$X$1</f>
        <v>1122.3999999999999</v>
      </c>
      <c r="H392" s="383">
        <f t="shared" si="908"/>
        <v>1372.3999999999999</v>
      </c>
      <c r="I392" s="345">
        <f t="shared" si="909"/>
        <v>1372.3999999999999</v>
      </c>
      <c r="J392" s="383">
        <f t="shared" si="910"/>
        <v>1202.3999999999999</v>
      </c>
      <c r="K392" s="345">
        <f t="shared" si="921"/>
        <v>1202.3999999999999</v>
      </c>
      <c r="L392" s="383">
        <f t="shared" si="912"/>
        <v>1182.3999999999999</v>
      </c>
      <c r="M392" s="345">
        <f t="shared" si="922"/>
        <v>1182.3999999999999</v>
      </c>
      <c r="N392" s="383">
        <f>F392+40</f>
        <v>1162.3999999999999</v>
      </c>
      <c r="O392" s="345">
        <f t="shared" si="923"/>
        <v>1162.3999999999999</v>
      </c>
      <c r="P392" s="383">
        <f>F392+37</f>
        <v>1159.3999999999999</v>
      </c>
      <c r="Q392" s="345">
        <f t="shared" si="924"/>
        <v>1159.3999999999999</v>
      </c>
      <c r="R392" s="383">
        <f>F392+33</f>
        <v>1155.3999999999999</v>
      </c>
      <c r="S392" s="345">
        <f t="shared" si="925"/>
        <v>1155.3999999999999</v>
      </c>
      <c r="T392" s="383">
        <f>F392+29</f>
        <v>1151.3999999999999</v>
      </c>
      <c r="U392" s="345">
        <f t="shared" si="926"/>
        <v>1151.3999999999999</v>
      </c>
      <c r="V392" s="383">
        <f>F392+25</f>
        <v>1147.3999999999999</v>
      </c>
      <c r="W392" s="345">
        <f t="shared" si="927"/>
        <v>1147.3999999999999</v>
      </c>
      <c r="X392" s="704"/>
      <c r="Y392" s="705"/>
      <c r="Z392" s="705"/>
      <c r="AA392" s="706"/>
      <c r="AB392" s="534">
        <v>2334</v>
      </c>
      <c r="AC392" s="69"/>
    </row>
    <row r="393" spans="1:34" ht="12.6" customHeight="1" x14ac:dyDescent="0.2">
      <c r="A393" s="111"/>
      <c r="B393" s="774" t="s">
        <v>269</v>
      </c>
      <c r="C393" s="775"/>
      <c r="D393" s="775"/>
      <c r="E393" s="776"/>
      <c r="F393" s="482">
        <f>1.42*X2</f>
        <v>1306.3999999999999</v>
      </c>
      <c r="G393" s="346">
        <f t="shared" ref="G393" si="930">+F393*$X$1</f>
        <v>1306.3999999999999</v>
      </c>
      <c r="H393" s="665">
        <f>F393+250</f>
        <v>1556.3999999999999</v>
      </c>
      <c r="I393" s="346">
        <f>+H393*$X$1</f>
        <v>1556.3999999999999</v>
      </c>
      <c r="J393" s="665">
        <f>F393+80</f>
        <v>1386.3999999999999</v>
      </c>
      <c r="K393" s="346">
        <f>+J393*$X$1</f>
        <v>1386.3999999999999</v>
      </c>
      <c r="L393" s="665">
        <f>F393+60</f>
        <v>1366.3999999999999</v>
      </c>
      <c r="M393" s="346">
        <f>+L393*$X$1</f>
        <v>1366.3999999999999</v>
      </c>
      <c r="N393" s="665">
        <f>F393+40</f>
        <v>1346.3999999999999</v>
      </c>
      <c r="O393" s="346">
        <f>+N393*$X$1</f>
        <v>1346.3999999999999</v>
      </c>
      <c r="P393" s="665">
        <f>F393+37</f>
        <v>1343.3999999999999</v>
      </c>
      <c r="Q393" s="346">
        <f>+P393*$X$1</f>
        <v>1343.3999999999999</v>
      </c>
      <c r="R393" s="665">
        <f>F393+33</f>
        <v>1339.3999999999999</v>
      </c>
      <c r="S393" s="346">
        <f>+R393*$X$1</f>
        <v>1339.3999999999999</v>
      </c>
      <c r="T393" s="665">
        <f>F393+29</f>
        <v>1335.3999999999999</v>
      </c>
      <c r="U393" s="346">
        <f>+T393*$X$1</f>
        <v>1335.3999999999999</v>
      </c>
      <c r="V393" s="665">
        <f>F393+25</f>
        <v>1331.3999999999999</v>
      </c>
      <c r="W393" s="346">
        <f>+V393*$X$1</f>
        <v>1331.3999999999999</v>
      </c>
      <c r="X393" s="704"/>
      <c r="Y393" s="705"/>
      <c r="Z393" s="705"/>
      <c r="AA393" s="706"/>
      <c r="AB393" s="534">
        <v>2336</v>
      </c>
      <c r="AC393" s="69"/>
    </row>
    <row r="394" spans="1:34" ht="12.6" customHeight="1" x14ac:dyDescent="0.2">
      <c r="A394" s="20"/>
      <c r="B394" s="714" t="s">
        <v>270</v>
      </c>
      <c r="C394" s="717"/>
      <c r="D394" s="717"/>
      <c r="E394" s="718"/>
      <c r="F394" s="481">
        <f>1.48*X2</f>
        <v>1361.6</v>
      </c>
      <c r="G394" s="345">
        <f>+F394*$X$1</f>
        <v>1361.6</v>
      </c>
      <c r="H394" s="383">
        <f>F394+250</f>
        <v>1611.6</v>
      </c>
      <c r="I394" s="345">
        <f>+H394*$X$1</f>
        <v>1611.6</v>
      </c>
      <c r="J394" s="383">
        <f>F394+80</f>
        <v>1441.6</v>
      </c>
      <c r="K394" s="345">
        <f>+J394*$X$1</f>
        <v>1441.6</v>
      </c>
      <c r="L394" s="383">
        <f>F394+60</f>
        <v>1421.6</v>
      </c>
      <c r="M394" s="345">
        <f>+L394*$X$1</f>
        <v>1421.6</v>
      </c>
      <c r="N394" s="383">
        <f>F394+40</f>
        <v>1401.6</v>
      </c>
      <c r="O394" s="345">
        <f>+N394*$X$1</f>
        <v>1401.6</v>
      </c>
      <c r="P394" s="383">
        <f>F394+37</f>
        <v>1398.6</v>
      </c>
      <c r="Q394" s="345">
        <f>+P394*$X$1</f>
        <v>1398.6</v>
      </c>
      <c r="R394" s="383">
        <f>F394+33</f>
        <v>1394.6</v>
      </c>
      <c r="S394" s="345">
        <f>+R394*$X$1</f>
        <v>1394.6</v>
      </c>
      <c r="T394" s="383">
        <f>F394+29</f>
        <v>1390.6</v>
      </c>
      <c r="U394" s="345">
        <f>+T394*$X$1</f>
        <v>1390.6</v>
      </c>
      <c r="V394" s="383">
        <f>F394+25</f>
        <v>1386.6</v>
      </c>
      <c r="W394" s="345">
        <f>+V394*$X$1</f>
        <v>1386.6</v>
      </c>
      <c r="X394" s="704"/>
      <c r="Y394" s="705"/>
      <c r="Z394" s="705"/>
      <c r="AA394" s="706"/>
      <c r="AB394" s="534">
        <v>2337</v>
      </c>
      <c r="AC394" s="69"/>
    </row>
    <row r="395" spans="1:34" ht="12.6" customHeight="1" x14ac:dyDescent="0.2">
      <c r="A395" s="20"/>
      <c r="B395" s="774" t="s">
        <v>271</v>
      </c>
      <c r="C395" s="775"/>
      <c r="D395" s="775"/>
      <c r="E395" s="776"/>
      <c r="F395" s="482">
        <f>2.02*X2</f>
        <v>1858.4</v>
      </c>
      <c r="G395" s="346">
        <f t="shared" ref="G395" si="931">+F395*$X$1</f>
        <v>1858.4</v>
      </c>
      <c r="H395" s="683">
        <f>F395+250</f>
        <v>2108.4</v>
      </c>
      <c r="I395" s="346">
        <f>+H395*$X$1</f>
        <v>2108.4</v>
      </c>
      <c r="J395" s="683">
        <f>F395+80</f>
        <v>1938.4</v>
      </c>
      <c r="K395" s="346">
        <f>+J395*$X$1</f>
        <v>1938.4</v>
      </c>
      <c r="L395" s="683">
        <f>F395+60</f>
        <v>1918.4</v>
      </c>
      <c r="M395" s="346">
        <f>+L395*$X$1</f>
        <v>1918.4</v>
      </c>
      <c r="N395" s="683">
        <f>F395+40</f>
        <v>1898.4</v>
      </c>
      <c r="O395" s="346">
        <f>+N395*$X$1</f>
        <v>1898.4</v>
      </c>
      <c r="P395" s="683">
        <f>F395+37</f>
        <v>1895.4</v>
      </c>
      <c r="Q395" s="346">
        <f>+P395*$X$1</f>
        <v>1895.4</v>
      </c>
      <c r="R395" s="683">
        <f>F395+33</f>
        <v>1891.4</v>
      </c>
      <c r="S395" s="346">
        <f>+R395*$X$1</f>
        <v>1891.4</v>
      </c>
      <c r="T395" s="683">
        <f>F395+29</f>
        <v>1887.4</v>
      </c>
      <c r="U395" s="346">
        <f>+T395*$X$1</f>
        <v>1887.4</v>
      </c>
      <c r="V395" s="683">
        <f>F395+25</f>
        <v>1883.4</v>
      </c>
      <c r="W395" s="346">
        <f>+V395*$X$1</f>
        <v>1883.4</v>
      </c>
      <c r="X395" s="704"/>
      <c r="Y395" s="705"/>
      <c r="Z395" s="705"/>
      <c r="AA395" s="706"/>
      <c r="AB395" s="534">
        <v>2338</v>
      </c>
      <c r="AC395" s="69"/>
    </row>
    <row r="396" spans="1:34" s="4" customFormat="1" ht="12.6" customHeight="1" x14ac:dyDescent="0.2">
      <c r="A396" s="21"/>
      <c r="B396" s="18"/>
      <c r="C396" s="14"/>
      <c r="D396" s="14"/>
      <c r="E396" s="14"/>
      <c r="F396" s="62"/>
      <c r="G396" s="16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34" s="4" customFormat="1" ht="12.6" customHeight="1" x14ac:dyDescent="0.2">
      <c r="A397" s="21"/>
      <c r="B397" s="18"/>
      <c r="C397" s="14"/>
      <c r="D397" s="14"/>
      <c r="E397" s="14"/>
      <c r="F397" s="62"/>
      <c r="G397" s="1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34" s="4" customFormat="1" ht="12.6" customHeight="1" thickBot="1" x14ac:dyDescent="0.25">
      <c r="A398" s="21"/>
      <c r="B398" s="18"/>
      <c r="C398" s="14"/>
      <c r="D398" s="14"/>
      <c r="E398" s="14"/>
      <c r="F398" s="62"/>
      <c r="G398" s="16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34" ht="15.75" customHeight="1" x14ac:dyDescent="0.2">
      <c r="A399" s="20"/>
      <c r="B399" s="912" t="s">
        <v>11</v>
      </c>
      <c r="C399" s="745" t="s">
        <v>12</v>
      </c>
      <c r="D399" s="746"/>
      <c r="E399" s="746"/>
      <c r="F399" s="817" t="s">
        <v>13</v>
      </c>
      <c r="G399" s="817" t="s">
        <v>13</v>
      </c>
      <c r="H399" s="765" t="s">
        <v>14</v>
      </c>
      <c r="I399" s="765"/>
      <c r="J399" s="766"/>
      <c r="K399" s="766"/>
      <c r="L399" s="766"/>
      <c r="M399" s="766"/>
      <c r="N399" s="766"/>
      <c r="O399" s="766"/>
      <c r="P399" s="766"/>
      <c r="Q399" s="766"/>
      <c r="R399" s="766"/>
      <c r="S399" s="766"/>
      <c r="T399" s="766"/>
      <c r="U399" s="766"/>
      <c r="V399" s="766"/>
      <c r="W399" s="767"/>
      <c r="X399" s="756" t="s">
        <v>15</v>
      </c>
      <c r="Y399" s="757"/>
      <c r="Z399" s="757"/>
      <c r="AA399" s="757"/>
      <c r="AB399" s="754" t="s">
        <v>16</v>
      </c>
      <c r="AE399" s="68"/>
      <c r="AF399" s="752" t="s">
        <v>3</v>
      </c>
      <c r="AG399" s="753"/>
      <c r="AH399" s="753"/>
    </row>
    <row r="400" spans="1:34" ht="12" customHeight="1" thickBot="1" x14ac:dyDescent="0.25">
      <c r="A400" s="20"/>
      <c r="B400" s="913"/>
      <c r="C400" s="747"/>
      <c r="D400" s="747"/>
      <c r="E400" s="747"/>
      <c r="F400" s="818"/>
      <c r="G400" s="818"/>
      <c r="H400" s="296"/>
      <c r="I400" s="293" t="s">
        <v>311</v>
      </c>
      <c r="J400" s="297"/>
      <c r="K400" s="293" t="s">
        <v>18</v>
      </c>
      <c r="L400" s="298"/>
      <c r="M400" s="298" t="s">
        <v>19</v>
      </c>
      <c r="N400" s="298"/>
      <c r="O400" s="293" t="s">
        <v>20</v>
      </c>
      <c r="P400" s="298"/>
      <c r="Q400" s="298" t="s">
        <v>313</v>
      </c>
      <c r="R400" s="298"/>
      <c r="S400" s="298" t="s">
        <v>21</v>
      </c>
      <c r="T400" s="298"/>
      <c r="U400" s="298" t="s">
        <v>22</v>
      </c>
      <c r="V400" s="298"/>
      <c r="W400" s="300" t="s">
        <v>23</v>
      </c>
      <c r="X400" s="758"/>
      <c r="Y400" s="759"/>
      <c r="Z400" s="759"/>
      <c r="AA400" s="759"/>
      <c r="AB400" s="755"/>
    </row>
    <row r="401" spans="1:35" ht="12.6" customHeight="1" x14ac:dyDescent="0.2">
      <c r="A401" s="20"/>
      <c r="B401" s="774" t="s">
        <v>375</v>
      </c>
      <c r="C401" s="775"/>
      <c r="D401" s="775"/>
      <c r="E401" s="776"/>
      <c r="F401" s="488">
        <f>1.607*X2</f>
        <v>1478.44</v>
      </c>
      <c r="G401" s="346">
        <f t="shared" ref="G401:G404" si="932">+F401*$X$1</f>
        <v>1478.44</v>
      </c>
      <c r="H401" s="619">
        <f>F401+250</f>
        <v>1728.44</v>
      </c>
      <c r="I401" s="346">
        <f>+H401*$X$1</f>
        <v>1728.44</v>
      </c>
      <c r="J401" s="619">
        <f>F401+80</f>
        <v>1558.44</v>
      </c>
      <c r="K401" s="346">
        <f t="shared" ref="K401" si="933">+J401*$X$1</f>
        <v>1558.44</v>
      </c>
      <c r="L401" s="619">
        <f>F401+60</f>
        <v>1538.44</v>
      </c>
      <c r="M401" s="346">
        <f t="shared" ref="M401" si="934">+L401*$X$1</f>
        <v>1538.44</v>
      </c>
      <c r="N401" s="619">
        <f>F401+40</f>
        <v>1518.44</v>
      </c>
      <c r="O401" s="346">
        <f t="shared" ref="O401" si="935">+N401*$X$1</f>
        <v>1518.44</v>
      </c>
      <c r="P401" s="619">
        <f>F401+37</f>
        <v>1515.44</v>
      </c>
      <c r="Q401" s="346">
        <f t="shared" ref="Q401" si="936">+P401*$X$1</f>
        <v>1515.44</v>
      </c>
      <c r="R401" s="619">
        <f>F401+33</f>
        <v>1511.44</v>
      </c>
      <c r="S401" s="346">
        <f t="shared" ref="S401" si="937">+R401*$X$1</f>
        <v>1511.44</v>
      </c>
      <c r="T401" s="619">
        <f>F401+29</f>
        <v>1507.44</v>
      </c>
      <c r="U401" s="346">
        <f t="shared" ref="U401" si="938">+T401*$X$1</f>
        <v>1507.44</v>
      </c>
      <c r="V401" s="619">
        <f>F401+25</f>
        <v>1503.44</v>
      </c>
      <c r="W401" s="346">
        <f t="shared" ref="W401" si="939">+V401*$X$1</f>
        <v>1503.44</v>
      </c>
      <c r="X401" s="189"/>
      <c r="Y401" s="192"/>
      <c r="Z401" s="192"/>
      <c r="AA401" s="191"/>
      <c r="AB401" s="534">
        <v>2340</v>
      </c>
      <c r="AC401" s="69"/>
    </row>
    <row r="402" spans="1:35" ht="12.6" customHeight="1" x14ac:dyDescent="0.2">
      <c r="A402" s="20"/>
      <c r="B402" s="714" t="s">
        <v>374</v>
      </c>
      <c r="C402" s="717"/>
      <c r="D402" s="717"/>
      <c r="E402" s="718"/>
      <c r="F402" s="481">
        <f>6.958*X2</f>
        <v>6401.3600000000006</v>
      </c>
      <c r="G402" s="345">
        <f t="shared" si="932"/>
        <v>6401.3600000000006</v>
      </c>
      <c r="H402" s="383">
        <f>F402+370</f>
        <v>6771.3600000000006</v>
      </c>
      <c r="I402" s="345">
        <f t="shared" ref="I402" si="940">+H402*$X$1</f>
        <v>6771.3600000000006</v>
      </c>
      <c r="J402" s="383">
        <f>F402+120</f>
        <v>6521.3600000000006</v>
      </c>
      <c r="K402" s="345">
        <f t="shared" ref="K402:K404" si="941">+J402*$X$1</f>
        <v>6521.3600000000006</v>
      </c>
      <c r="L402" s="383">
        <f>F402+90</f>
        <v>6491.3600000000006</v>
      </c>
      <c r="M402" s="345">
        <f t="shared" ref="M402:M404" si="942">+L402*$X$1</f>
        <v>6491.3600000000006</v>
      </c>
      <c r="N402" s="383">
        <f>F402+60</f>
        <v>6461.3600000000006</v>
      </c>
      <c r="O402" s="345">
        <f>+N402*$X$1</f>
        <v>6461.3600000000006</v>
      </c>
      <c r="P402" s="383">
        <f>F402+55</f>
        <v>6456.3600000000006</v>
      </c>
      <c r="Q402" s="345">
        <f t="shared" ref="Q402:Q404" si="943">+P402*$X$1</f>
        <v>6456.3600000000006</v>
      </c>
      <c r="R402" s="383">
        <f>F402+49</f>
        <v>6450.3600000000006</v>
      </c>
      <c r="S402" s="345">
        <f>+R402*$X$1</f>
        <v>6450.3600000000006</v>
      </c>
      <c r="T402" s="383">
        <f>F402+44</f>
        <v>6445.3600000000006</v>
      </c>
      <c r="U402" s="345">
        <f t="shared" ref="U402:U404" si="944">+T402*$X$1</f>
        <v>6445.3600000000006</v>
      </c>
      <c r="V402" s="383">
        <f>F402+38</f>
        <v>6439.3600000000006</v>
      </c>
      <c r="W402" s="304">
        <f t="shared" ref="W402:W404" si="945">+V402*$X$1</f>
        <v>6439.3600000000006</v>
      </c>
      <c r="X402" s="189"/>
      <c r="Y402" s="192"/>
      <c r="Z402" s="192"/>
      <c r="AA402" s="191"/>
      <c r="AB402" s="534">
        <v>2341</v>
      </c>
      <c r="AC402" s="69"/>
    </row>
    <row r="403" spans="1:35" ht="12.6" customHeight="1" x14ac:dyDescent="0.2">
      <c r="A403" s="20"/>
      <c r="B403" s="774" t="s">
        <v>843</v>
      </c>
      <c r="C403" s="775"/>
      <c r="D403" s="775"/>
      <c r="E403" s="776"/>
      <c r="F403" s="482">
        <f>12.416*X2</f>
        <v>11422.720000000001</v>
      </c>
      <c r="G403" s="346">
        <f t="shared" ref="G403" si="946">+F403*$X$1</f>
        <v>11422.720000000001</v>
      </c>
      <c r="H403" s="619">
        <f t="shared" ref="H403:H410" si="947">F403+250</f>
        <v>11672.720000000001</v>
      </c>
      <c r="I403" s="346">
        <f t="shared" ref="I403:I410" si="948">+H403*$X$1</f>
        <v>11672.720000000001</v>
      </c>
      <c r="J403" s="619">
        <f t="shared" ref="J403:J410" si="949">F403+80</f>
        <v>11502.720000000001</v>
      </c>
      <c r="K403" s="346">
        <f t="shared" ref="K403" si="950">+J403*$X$1</f>
        <v>11502.720000000001</v>
      </c>
      <c r="L403" s="619">
        <f t="shared" ref="L403:L410" si="951">F403+60</f>
        <v>11482.720000000001</v>
      </c>
      <c r="M403" s="346">
        <f t="shared" ref="M403" si="952">+L403*$X$1</f>
        <v>11482.720000000001</v>
      </c>
      <c r="N403" s="619">
        <f t="shared" ref="N403:N410" si="953">F403+40</f>
        <v>11462.720000000001</v>
      </c>
      <c r="O403" s="346">
        <f t="shared" ref="O403" si="954">+N403*$X$1</f>
        <v>11462.720000000001</v>
      </c>
      <c r="P403" s="619">
        <f t="shared" ref="P403:P410" si="955">F403+37</f>
        <v>11459.720000000001</v>
      </c>
      <c r="Q403" s="346">
        <f t="shared" ref="Q403" si="956">+P403*$X$1</f>
        <v>11459.720000000001</v>
      </c>
      <c r="R403" s="619">
        <f t="shared" ref="R403:R410" si="957">F403+33</f>
        <v>11455.720000000001</v>
      </c>
      <c r="S403" s="346">
        <f t="shared" ref="S403" si="958">+R403*$X$1</f>
        <v>11455.720000000001</v>
      </c>
      <c r="T403" s="619">
        <f t="shared" ref="T403" si="959">F403+29</f>
        <v>11451.720000000001</v>
      </c>
      <c r="U403" s="346">
        <f t="shared" ref="U403" si="960">+T403*$X$1</f>
        <v>11451.720000000001</v>
      </c>
      <c r="V403" s="619">
        <f t="shared" ref="V403:V410" si="961">F403+25</f>
        <v>11447.720000000001</v>
      </c>
      <c r="W403" s="346">
        <f t="shared" ref="W403" si="962">+V403*$X$1</f>
        <v>11447.720000000001</v>
      </c>
      <c r="X403" s="615"/>
      <c r="Y403" s="616"/>
      <c r="Z403" s="616"/>
      <c r="AA403" s="617"/>
      <c r="AB403" s="534">
        <v>2342</v>
      </c>
      <c r="AC403" s="69"/>
    </row>
    <row r="404" spans="1:35" ht="12.6" customHeight="1" x14ac:dyDescent="0.2">
      <c r="A404" s="20"/>
      <c r="B404" s="714" t="s">
        <v>842</v>
      </c>
      <c r="C404" s="717"/>
      <c r="D404" s="717"/>
      <c r="E404" s="718"/>
      <c r="F404" s="481">
        <f>14.9*X2</f>
        <v>13708</v>
      </c>
      <c r="G404" s="345">
        <f t="shared" si="932"/>
        <v>13708</v>
      </c>
      <c r="H404" s="383">
        <f t="shared" si="947"/>
        <v>13958</v>
      </c>
      <c r="I404" s="345">
        <f t="shared" si="948"/>
        <v>13958</v>
      </c>
      <c r="J404" s="383">
        <f t="shared" si="949"/>
        <v>13788</v>
      </c>
      <c r="K404" s="345">
        <f t="shared" si="941"/>
        <v>13788</v>
      </c>
      <c r="L404" s="383">
        <f t="shared" si="951"/>
        <v>13768</v>
      </c>
      <c r="M404" s="345">
        <f t="shared" si="942"/>
        <v>13768</v>
      </c>
      <c r="N404" s="383">
        <f t="shared" si="953"/>
        <v>13748</v>
      </c>
      <c r="O404" s="345">
        <f t="shared" ref="O404" si="963">+N404*$X$1</f>
        <v>13748</v>
      </c>
      <c r="P404" s="383">
        <f t="shared" si="955"/>
        <v>13745</v>
      </c>
      <c r="Q404" s="345">
        <f t="shared" si="943"/>
        <v>13745</v>
      </c>
      <c r="R404" s="383">
        <f t="shared" si="957"/>
        <v>13741</v>
      </c>
      <c r="S404" s="345">
        <f t="shared" ref="S404" si="964">+R404*$X$1</f>
        <v>13741</v>
      </c>
      <c r="T404" s="383">
        <f t="shared" ref="T404" si="965">F404+29</f>
        <v>13737</v>
      </c>
      <c r="U404" s="345">
        <f t="shared" si="944"/>
        <v>13737</v>
      </c>
      <c r="V404" s="383">
        <f t="shared" si="961"/>
        <v>13733</v>
      </c>
      <c r="W404" s="345">
        <f t="shared" si="945"/>
        <v>13733</v>
      </c>
      <c r="X404" s="615"/>
      <c r="Y404" s="616"/>
      <c r="Z404" s="616"/>
      <c r="AA404" s="617"/>
      <c r="AB404" s="534">
        <v>2343</v>
      </c>
      <c r="AC404" s="69"/>
    </row>
    <row r="405" spans="1:35" ht="12.6" customHeight="1" x14ac:dyDescent="0.2">
      <c r="A405" s="20"/>
      <c r="B405" s="774" t="s">
        <v>525</v>
      </c>
      <c r="C405" s="775"/>
      <c r="D405" s="775"/>
      <c r="E405" s="776"/>
      <c r="F405" s="482">
        <f>8.45*X2</f>
        <v>7773.9999999999991</v>
      </c>
      <c r="G405" s="346">
        <f t="shared" ref="G405" si="966">+F405*$X$1</f>
        <v>7773.9999999999991</v>
      </c>
      <c r="H405" s="619">
        <f t="shared" si="947"/>
        <v>8023.9999999999991</v>
      </c>
      <c r="I405" s="346">
        <f t="shared" si="948"/>
        <v>8023.9999999999991</v>
      </c>
      <c r="J405" s="619">
        <f t="shared" si="949"/>
        <v>7853.9999999999991</v>
      </c>
      <c r="K405" s="346">
        <f t="shared" ref="K405" si="967">+J405*$X$1</f>
        <v>7853.9999999999991</v>
      </c>
      <c r="L405" s="619">
        <f t="shared" si="951"/>
        <v>7833.9999999999991</v>
      </c>
      <c r="M405" s="346">
        <f t="shared" ref="M405" si="968">+L405*$X$1</f>
        <v>7833.9999999999991</v>
      </c>
      <c r="N405" s="619">
        <f t="shared" si="953"/>
        <v>7813.9999999999991</v>
      </c>
      <c r="O405" s="346">
        <f t="shared" ref="O405" si="969">+N405*$X$1</f>
        <v>7813.9999999999991</v>
      </c>
      <c r="P405" s="619">
        <f t="shared" si="955"/>
        <v>7810.9999999999991</v>
      </c>
      <c r="Q405" s="346">
        <f t="shared" ref="Q405" si="970">+P405*$X$1</f>
        <v>7810.9999999999991</v>
      </c>
      <c r="R405" s="619">
        <f t="shared" si="957"/>
        <v>7806.9999999999991</v>
      </c>
      <c r="S405" s="346">
        <f t="shared" ref="S405" si="971">+R405*$X$1</f>
        <v>7806.9999999999991</v>
      </c>
      <c r="T405" s="619">
        <f t="shared" ref="T405" si="972">F405+29</f>
        <v>7802.9999999999991</v>
      </c>
      <c r="U405" s="346">
        <f t="shared" ref="U405" si="973">+T405*$X$1</f>
        <v>7802.9999999999991</v>
      </c>
      <c r="V405" s="619">
        <f t="shared" si="961"/>
        <v>7798.9999999999991</v>
      </c>
      <c r="W405" s="346">
        <f t="shared" ref="W405" si="974">+V405*$X$1</f>
        <v>7798.9999999999991</v>
      </c>
      <c r="X405" s="271"/>
      <c r="Y405" s="269"/>
      <c r="Z405" s="269"/>
      <c r="AA405" s="270"/>
      <c r="AB405" s="534">
        <v>2346</v>
      </c>
      <c r="AC405" s="69"/>
    </row>
    <row r="406" spans="1:35" ht="12.6" customHeight="1" x14ac:dyDescent="0.2">
      <c r="A406" s="20"/>
      <c r="B406" s="714" t="s">
        <v>844</v>
      </c>
      <c r="C406" s="717"/>
      <c r="D406" s="717"/>
      <c r="E406" s="718"/>
      <c r="F406" s="481">
        <f>11.84*X2</f>
        <v>10892.8</v>
      </c>
      <c r="G406" s="345">
        <f t="shared" ref="G406" si="975">+F406*$X$1</f>
        <v>10892.8</v>
      </c>
      <c r="H406" s="383">
        <f t="shared" si="947"/>
        <v>11142.8</v>
      </c>
      <c r="I406" s="345">
        <f t="shared" si="948"/>
        <v>11142.8</v>
      </c>
      <c r="J406" s="383">
        <f t="shared" si="949"/>
        <v>10972.8</v>
      </c>
      <c r="K406" s="345">
        <f t="shared" ref="K406" si="976">+J406*$X$1</f>
        <v>10972.8</v>
      </c>
      <c r="L406" s="383">
        <f t="shared" si="951"/>
        <v>10952.8</v>
      </c>
      <c r="M406" s="345">
        <f t="shared" ref="M406" si="977">+L406*$X$1</f>
        <v>10952.8</v>
      </c>
      <c r="N406" s="383">
        <f t="shared" si="953"/>
        <v>10932.8</v>
      </c>
      <c r="O406" s="345">
        <f t="shared" ref="O406" si="978">+N406*$X$1</f>
        <v>10932.8</v>
      </c>
      <c r="P406" s="383">
        <f t="shared" si="955"/>
        <v>10929.8</v>
      </c>
      <c r="Q406" s="345">
        <f t="shared" ref="Q406" si="979">+P406*$X$1</f>
        <v>10929.8</v>
      </c>
      <c r="R406" s="383">
        <f t="shared" si="957"/>
        <v>10925.8</v>
      </c>
      <c r="S406" s="345">
        <f t="shared" ref="S406" si="980">+R406*$X$1</f>
        <v>10925.8</v>
      </c>
      <c r="T406" s="383">
        <f t="shared" ref="T406" si="981">F406+29</f>
        <v>10921.8</v>
      </c>
      <c r="U406" s="345">
        <f t="shared" ref="U406" si="982">+T406*$X$1</f>
        <v>10921.8</v>
      </c>
      <c r="V406" s="383">
        <f t="shared" si="961"/>
        <v>10917.8</v>
      </c>
      <c r="W406" s="345">
        <f t="shared" ref="W406" si="983">+V406*$X$1</f>
        <v>10917.8</v>
      </c>
      <c r="X406" s="615"/>
      <c r="Y406" s="616"/>
      <c r="Z406" s="616"/>
      <c r="AA406" s="617"/>
      <c r="AB406" s="534" t="s">
        <v>856</v>
      </c>
      <c r="AC406" s="69"/>
    </row>
    <row r="407" spans="1:35" ht="12.6" customHeight="1" x14ac:dyDescent="0.2">
      <c r="A407" s="20"/>
      <c r="B407" s="1288" t="s">
        <v>845</v>
      </c>
      <c r="C407" s="777"/>
      <c r="D407" s="777"/>
      <c r="E407" s="778"/>
      <c r="F407" s="482">
        <f>12.63*X2</f>
        <v>11619.6</v>
      </c>
      <c r="G407" s="346">
        <f t="shared" ref="G407" si="984">+F407*$X$1</f>
        <v>11619.6</v>
      </c>
      <c r="H407" s="685">
        <f t="shared" ref="H407" si="985">F407+250</f>
        <v>11869.6</v>
      </c>
      <c r="I407" s="346">
        <f t="shared" ref="I407" si="986">+H407*$X$1</f>
        <v>11869.6</v>
      </c>
      <c r="J407" s="685">
        <f t="shared" ref="J407" si="987">F407+80</f>
        <v>11699.6</v>
      </c>
      <c r="K407" s="346">
        <f t="shared" ref="K407" si="988">+J407*$X$1</f>
        <v>11699.6</v>
      </c>
      <c r="L407" s="685">
        <f t="shared" ref="L407" si="989">F407+60</f>
        <v>11679.6</v>
      </c>
      <c r="M407" s="346">
        <f t="shared" ref="M407" si="990">+L407*$X$1</f>
        <v>11679.6</v>
      </c>
      <c r="N407" s="685">
        <f t="shared" ref="N407" si="991">F407+40</f>
        <v>11659.6</v>
      </c>
      <c r="O407" s="346">
        <f t="shared" ref="O407" si="992">+N407*$X$1</f>
        <v>11659.6</v>
      </c>
      <c r="P407" s="685">
        <f t="shared" ref="P407" si="993">F407+37</f>
        <v>11656.6</v>
      </c>
      <c r="Q407" s="346">
        <f t="shared" ref="Q407" si="994">+P407*$X$1</f>
        <v>11656.6</v>
      </c>
      <c r="R407" s="685">
        <f t="shared" ref="R407" si="995">F407+33</f>
        <v>11652.6</v>
      </c>
      <c r="S407" s="346">
        <f t="shared" ref="S407" si="996">+R407*$X$1</f>
        <v>11652.6</v>
      </c>
      <c r="T407" s="685">
        <f t="shared" ref="T407" si="997">F407+29</f>
        <v>11648.6</v>
      </c>
      <c r="U407" s="346">
        <f t="shared" ref="U407" si="998">+T407*$X$1</f>
        <v>11648.6</v>
      </c>
      <c r="V407" s="685">
        <f t="shared" ref="V407" si="999">F407+25</f>
        <v>11644.6</v>
      </c>
      <c r="W407" s="346">
        <f t="shared" ref="W407" si="1000">+V407*$X$1</f>
        <v>11644.6</v>
      </c>
      <c r="X407" s="615"/>
      <c r="Y407" s="616"/>
      <c r="Z407" s="616"/>
      <c r="AA407" s="617"/>
      <c r="AB407" s="534" t="s">
        <v>917</v>
      </c>
      <c r="AC407" s="69"/>
    </row>
    <row r="408" spans="1:35" ht="12.6" customHeight="1" x14ac:dyDescent="0.2">
      <c r="A408" s="20"/>
      <c r="B408" s="714" t="s">
        <v>700</v>
      </c>
      <c r="C408" s="717"/>
      <c r="D408" s="717"/>
      <c r="E408" s="718"/>
      <c r="F408" s="481">
        <f>2.985*X2</f>
        <v>2746.2</v>
      </c>
      <c r="G408" s="345">
        <f t="shared" ref="G408" si="1001">+F408*$X$1</f>
        <v>2746.2</v>
      </c>
      <c r="H408" s="383">
        <f t="shared" si="947"/>
        <v>2996.2</v>
      </c>
      <c r="I408" s="345">
        <f t="shared" si="948"/>
        <v>2996.2</v>
      </c>
      <c r="J408" s="383">
        <f t="shared" si="949"/>
        <v>2826.2</v>
      </c>
      <c r="K408" s="345">
        <f t="shared" ref="K408:K411" si="1002">+J408*$X$1</f>
        <v>2826.2</v>
      </c>
      <c r="L408" s="383">
        <f t="shared" si="951"/>
        <v>2806.2</v>
      </c>
      <c r="M408" s="345">
        <f t="shared" ref="M408:M411" si="1003">+L408*$X$1</f>
        <v>2806.2</v>
      </c>
      <c r="N408" s="383">
        <f t="shared" si="953"/>
        <v>2786.2</v>
      </c>
      <c r="O408" s="345">
        <f t="shared" ref="O408:O411" si="1004">+N408*$X$1</f>
        <v>2786.2</v>
      </c>
      <c r="P408" s="383">
        <f t="shared" si="955"/>
        <v>2783.2</v>
      </c>
      <c r="Q408" s="345">
        <f t="shared" ref="Q408:Q411" si="1005">+P408*$X$1</f>
        <v>2783.2</v>
      </c>
      <c r="R408" s="383">
        <f t="shared" si="957"/>
        <v>2779.2</v>
      </c>
      <c r="S408" s="345">
        <f t="shared" ref="S408:S411" si="1006">+R408*$X$1</f>
        <v>2779.2</v>
      </c>
      <c r="T408" s="383">
        <f t="shared" ref="T408:T413" si="1007">F408+29</f>
        <v>2775.2</v>
      </c>
      <c r="U408" s="345">
        <f t="shared" ref="U408:U411" si="1008">+T408*$X$1</f>
        <v>2775.2</v>
      </c>
      <c r="V408" s="383">
        <f t="shared" si="961"/>
        <v>2771.2</v>
      </c>
      <c r="W408" s="345">
        <f t="shared" ref="W408:W411" si="1009">+V408*$X$1</f>
        <v>2771.2</v>
      </c>
      <c r="X408" s="469"/>
      <c r="Y408" s="470"/>
      <c r="Z408" s="470"/>
      <c r="AA408" s="471"/>
      <c r="AB408" s="534">
        <v>2350</v>
      </c>
      <c r="AC408" s="69"/>
    </row>
    <row r="409" spans="1:35" ht="12.6" customHeight="1" x14ac:dyDescent="0.2">
      <c r="A409" s="20"/>
      <c r="B409" s="1288" t="s">
        <v>810</v>
      </c>
      <c r="C409" s="777"/>
      <c r="D409" s="777"/>
      <c r="E409" s="778"/>
      <c r="F409" s="482">
        <f>3.299*X2</f>
        <v>3035.08</v>
      </c>
      <c r="G409" s="346">
        <f t="shared" ref="G409" si="1010">+F409*$X$1</f>
        <v>3035.08</v>
      </c>
      <c r="H409" s="604">
        <f t="shared" si="947"/>
        <v>3285.08</v>
      </c>
      <c r="I409" s="346">
        <f t="shared" si="948"/>
        <v>3285.08</v>
      </c>
      <c r="J409" s="604">
        <f t="shared" si="949"/>
        <v>3115.08</v>
      </c>
      <c r="K409" s="346">
        <f t="shared" si="1002"/>
        <v>3115.08</v>
      </c>
      <c r="L409" s="604">
        <f t="shared" si="951"/>
        <v>3095.08</v>
      </c>
      <c r="M409" s="346">
        <f t="shared" si="1003"/>
        <v>3095.08</v>
      </c>
      <c r="N409" s="604">
        <f t="shared" si="953"/>
        <v>3075.08</v>
      </c>
      <c r="O409" s="346">
        <f t="shared" si="1004"/>
        <v>3075.08</v>
      </c>
      <c r="P409" s="604">
        <f t="shared" si="955"/>
        <v>3072.08</v>
      </c>
      <c r="Q409" s="346">
        <f t="shared" si="1005"/>
        <v>3072.08</v>
      </c>
      <c r="R409" s="604">
        <f t="shared" si="957"/>
        <v>3068.08</v>
      </c>
      <c r="S409" s="346">
        <f t="shared" si="1006"/>
        <v>3068.08</v>
      </c>
      <c r="T409" s="604">
        <f t="shared" si="1007"/>
        <v>3064.08</v>
      </c>
      <c r="U409" s="346">
        <f t="shared" si="1008"/>
        <v>3064.08</v>
      </c>
      <c r="V409" s="604">
        <f t="shared" si="961"/>
        <v>3060.08</v>
      </c>
      <c r="W409" s="346">
        <f t="shared" si="1009"/>
        <v>3060.08</v>
      </c>
      <c r="X409" s="583"/>
      <c r="Y409" s="584"/>
      <c r="Z409" s="584"/>
      <c r="AA409" s="585"/>
      <c r="AB409" s="534">
        <v>2351</v>
      </c>
      <c r="AC409" s="69"/>
    </row>
    <row r="410" spans="1:35" ht="12.6" customHeight="1" x14ac:dyDescent="0.2">
      <c r="A410" s="20"/>
      <c r="B410" s="1288" t="s">
        <v>824</v>
      </c>
      <c r="C410" s="777"/>
      <c r="D410" s="777"/>
      <c r="E410" s="778"/>
      <c r="F410" s="481">
        <f>1.59*X2</f>
        <v>1462.8000000000002</v>
      </c>
      <c r="G410" s="345">
        <f t="shared" ref="G410" si="1011">+F410*$X$1</f>
        <v>1462.8000000000002</v>
      </c>
      <c r="H410" s="383">
        <f t="shared" si="947"/>
        <v>1712.8000000000002</v>
      </c>
      <c r="I410" s="345">
        <f t="shared" si="948"/>
        <v>1712.8000000000002</v>
      </c>
      <c r="J410" s="383">
        <f t="shared" si="949"/>
        <v>1542.8000000000002</v>
      </c>
      <c r="K410" s="345">
        <f t="shared" si="1002"/>
        <v>1542.8000000000002</v>
      </c>
      <c r="L410" s="383">
        <f t="shared" si="951"/>
        <v>1522.8000000000002</v>
      </c>
      <c r="M410" s="345">
        <f t="shared" si="1003"/>
        <v>1522.8000000000002</v>
      </c>
      <c r="N410" s="383">
        <f t="shared" si="953"/>
        <v>1502.8000000000002</v>
      </c>
      <c r="O410" s="345">
        <f t="shared" si="1004"/>
        <v>1502.8000000000002</v>
      </c>
      <c r="P410" s="383">
        <f t="shared" si="955"/>
        <v>1499.8000000000002</v>
      </c>
      <c r="Q410" s="345">
        <f t="shared" si="1005"/>
        <v>1499.8000000000002</v>
      </c>
      <c r="R410" s="383">
        <f t="shared" si="957"/>
        <v>1495.8000000000002</v>
      </c>
      <c r="S410" s="345">
        <f t="shared" si="1006"/>
        <v>1495.8000000000002</v>
      </c>
      <c r="T410" s="383">
        <f t="shared" si="1007"/>
        <v>1491.8000000000002</v>
      </c>
      <c r="U410" s="345">
        <f t="shared" si="1008"/>
        <v>1491.8000000000002</v>
      </c>
      <c r="V410" s="383">
        <f t="shared" si="961"/>
        <v>1487.8000000000002</v>
      </c>
      <c r="W410" s="345">
        <f t="shared" si="1009"/>
        <v>1487.8000000000002</v>
      </c>
      <c r="X410" s="592"/>
      <c r="Y410" s="593"/>
      <c r="Z410" s="593"/>
      <c r="AA410" s="594"/>
      <c r="AB410" s="534">
        <v>2352</v>
      </c>
      <c r="AC410" s="69"/>
    </row>
    <row r="411" spans="1:35" ht="12.6" customHeight="1" x14ac:dyDescent="0.2">
      <c r="A411" s="20"/>
      <c r="B411" s="774" t="s">
        <v>720</v>
      </c>
      <c r="C411" s="775"/>
      <c r="D411" s="775"/>
      <c r="E411" s="776"/>
      <c r="F411" s="482">
        <f>1*X2</f>
        <v>920</v>
      </c>
      <c r="G411" s="346">
        <f t="shared" ref="G411" si="1012">+F411*$X$1</f>
        <v>920</v>
      </c>
      <c r="H411" s="666">
        <f>F411+290</f>
        <v>1210</v>
      </c>
      <c r="I411" s="346">
        <f>+H411*$X$1</f>
        <v>1210</v>
      </c>
      <c r="J411" s="604">
        <f>F411+120</f>
        <v>1040</v>
      </c>
      <c r="K411" s="346">
        <f t="shared" si="1002"/>
        <v>1040</v>
      </c>
      <c r="L411" s="604">
        <f>F411+74</f>
        <v>994</v>
      </c>
      <c r="M411" s="346">
        <f t="shared" si="1003"/>
        <v>994</v>
      </c>
      <c r="N411" s="604">
        <f>F411+46</f>
        <v>966</v>
      </c>
      <c r="O411" s="346">
        <f t="shared" si="1004"/>
        <v>966</v>
      </c>
      <c r="P411" s="604">
        <f>F411+42</f>
        <v>962</v>
      </c>
      <c r="Q411" s="346">
        <f t="shared" si="1005"/>
        <v>962</v>
      </c>
      <c r="R411" s="604">
        <f>F411+35</f>
        <v>955</v>
      </c>
      <c r="S411" s="346">
        <f t="shared" si="1006"/>
        <v>955</v>
      </c>
      <c r="T411" s="107">
        <f t="shared" si="1007"/>
        <v>949</v>
      </c>
      <c r="U411" s="371">
        <f t="shared" si="1008"/>
        <v>949</v>
      </c>
      <c r="V411" s="107">
        <f>F411+24</f>
        <v>944</v>
      </c>
      <c r="W411" s="371">
        <f t="shared" si="1009"/>
        <v>944</v>
      </c>
      <c r="X411" s="704"/>
      <c r="Y411" s="735"/>
      <c r="Z411" s="735"/>
      <c r="AA411" s="706"/>
      <c r="AB411" s="534">
        <v>2504</v>
      </c>
    </row>
    <row r="412" spans="1:35" ht="12.6" customHeight="1" x14ac:dyDescent="0.2">
      <c r="A412" s="20"/>
      <c r="B412" s="714" t="s">
        <v>808</v>
      </c>
      <c r="C412" s="717"/>
      <c r="D412" s="717"/>
      <c r="E412" s="718"/>
      <c r="F412" s="481">
        <f>3.13*X2</f>
        <v>2879.6</v>
      </c>
      <c r="G412" s="345">
        <f t="shared" ref="G412" si="1013">+F412*$X$1</f>
        <v>2879.6</v>
      </c>
      <c r="H412" s="383">
        <f>F412+290</f>
        <v>3169.6</v>
      </c>
      <c r="I412" s="345">
        <f>+H412*$X$1</f>
        <v>3169.6</v>
      </c>
      <c r="J412" s="383">
        <f>F412+120</f>
        <v>2999.6</v>
      </c>
      <c r="K412" s="345">
        <f t="shared" ref="K412" si="1014">+J412*$X$1</f>
        <v>2999.6</v>
      </c>
      <c r="L412" s="383">
        <f>F412+74</f>
        <v>2953.6</v>
      </c>
      <c r="M412" s="345">
        <f t="shared" ref="M412" si="1015">+L412*$X$1</f>
        <v>2953.6</v>
      </c>
      <c r="N412" s="383">
        <f>F412+46</f>
        <v>2925.6</v>
      </c>
      <c r="O412" s="345">
        <f t="shared" ref="O412" si="1016">+N412*$X$1</f>
        <v>2925.6</v>
      </c>
      <c r="P412" s="383">
        <f>F412+42</f>
        <v>2921.6</v>
      </c>
      <c r="Q412" s="345">
        <f t="shared" ref="Q412" si="1017">+P412*$X$1</f>
        <v>2921.6</v>
      </c>
      <c r="R412" s="383">
        <f>F412+35</f>
        <v>2914.6</v>
      </c>
      <c r="S412" s="345">
        <f t="shared" ref="S412" si="1018">+R412*$X$1</f>
        <v>2914.6</v>
      </c>
      <c r="T412" s="108">
        <f t="shared" si="1007"/>
        <v>2908.6</v>
      </c>
      <c r="U412" s="304">
        <f t="shared" ref="U412" si="1019">+T412*$X$1</f>
        <v>2908.6</v>
      </c>
      <c r="V412" s="108">
        <f>F412+24</f>
        <v>2903.6</v>
      </c>
      <c r="W412" s="304">
        <f t="shared" ref="W412" si="1020">+V412*$X$1</f>
        <v>2903.6</v>
      </c>
      <c r="X412" s="704"/>
      <c r="Y412" s="735"/>
      <c r="Z412" s="735"/>
      <c r="AA412" s="706"/>
      <c r="AB412" s="534">
        <v>2505</v>
      </c>
    </row>
    <row r="413" spans="1:35" ht="12.6" customHeight="1" x14ac:dyDescent="0.2">
      <c r="A413" s="20"/>
      <c r="B413" s="774" t="s">
        <v>581</v>
      </c>
      <c r="C413" s="917"/>
      <c r="D413" s="917"/>
      <c r="E413" s="918"/>
      <c r="F413" s="482">
        <f>3.88*X2</f>
        <v>3569.6</v>
      </c>
      <c r="G413" s="346">
        <f t="shared" ref="G413" si="1021">+F413*$X$1</f>
        <v>3569.6</v>
      </c>
      <c r="H413" s="335"/>
      <c r="I413" s="421"/>
      <c r="J413" s="604">
        <f>F413+120</f>
        <v>3689.6</v>
      </c>
      <c r="K413" s="346">
        <f t="shared" ref="K413" si="1022">+J413*$X$1</f>
        <v>3689.6</v>
      </c>
      <c r="L413" s="604">
        <f>F413+74</f>
        <v>3643.6</v>
      </c>
      <c r="M413" s="346">
        <f t="shared" ref="M413" si="1023">+L413*$X$1</f>
        <v>3643.6</v>
      </c>
      <c r="N413" s="604">
        <f>F413+46</f>
        <v>3615.6</v>
      </c>
      <c r="O413" s="346">
        <f t="shared" ref="O413" si="1024">+N413*$X$1</f>
        <v>3615.6</v>
      </c>
      <c r="P413" s="604">
        <f>F413+42</f>
        <v>3611.6</v>
      </c>
      <c r="Q413" s="346">
        <f t="shared" ref="Q413" si="1025">+P413*$X$1</f>
        <v>3611.6</v>
      </c>
      <c r="R413" s="604">
        <f>F413+35</f>
        <v>3604.6</v>
      </c>
      <c r="S413" s="346">
        <f t="shared" ref="S413" si="1026">+R413*$X$1</f>
        <v>3604.6</v>
      </c>
      <c r="T413" s="107">
        <f t="shared" si="1007"/>
        <v>3598.6</v>
      </c>
      <c r="U413" s="371">
        <f t="shared" ref="U413" si="1027">+T413*$X$1</f>
        <v>3598.6</v>
      </c>
      <c r="V413" s="107">
        <f>F413+24</f>
        <v>3593.6</v>
      </c>
      <c r="W413" s="371">
        <f t="shared" ref="W413" si="1028">+V413*$X$1</f>
        <v>3593.6</v>
      </c>
      <c r="X413" s="176"/>
      <c r="Y413" s="145"/>
      <c r="Z413" s="145"/>
      <c r="AA413" s="148"/>
      <c r="AB413" s="546">
        <v>3001</v>
      </c>
    </row>
    <row r="414" spans="1:35" ht="12.6" customHeight="1" x14ac:dyDescent="0.2">
      <c r="A414" s="111"/>
      <c r="B414" s="1115" t="s">
        <v>637</v>
      </c>
      <c r="C414" s="1116"/>
      <c r="D414" s="1116"/>
      <c r="E414" s="1116"/>
      <c r="F414" s="345">
        <v>3705</v>
      </c>
      <c r="G414" s="345">
        <f t="shared" ref="G414" si="1029">+F414*$X$1</f>
        <v>3705</v>
      </c>
      <c r="H414" s="336"/>
      <c r="I414" s="420"/>
      <c r="J414" s="383"/>
      <c r="K414" s="345"/>
      <c r="L414" s="383">
        <f>F414+805</f>
        <v>4510</v>
      </c>
      <c r="M414" s="345">
        <f>+L414*$X$1</f>
        <v>4510</v>
      </c>
      <c r="N414" s="383">
        <f>F414+720</f>
        <v>4425</v>
      </c>
      <c r="O414" s="345">
        <f t="shared" ref="O414:O415" si="1030">+N414*$X$1</f>
        <v>4425</v>
      </c>
      <c r="P414" s="383">
        <f>F414+695</f>
        <v>4400</v>
      </c>
      <c r="Q414" s="345">
        <f t="shared" ref="Q414:Q415" si="1031">+P414*$X$1</f>
        <v>4400</v>
      </c>
      <c r="R414" s="383">
        <f>F414+655</f>
        <v>4360</v>
      </c>
      <c r="S414" s="345">
        <f>+R414*$X$1</f>
        <v>4360</v>
      </c>
      <c r="T414" s="383">
        <f>F414+665</f>
        <v>4370</v>
      </c>
      <c r="U414" s="345">
        <f>+T414*$X$1</f>
        <v>4370</v>
      </c>
      <c r="V414" s="383"/>
      <c r="W414" s="345"/>
      <c r="X414" s="231"/>
      <c r="Y414" s="233"/>
      <c r="Z414" s="233"/>
      <c r="AA414" s="232"/>
      <c r="AB414" s="534">
        <v>5003</v>
      </c>
      <c r="AC414" s="69"/>
    </row>
    <row r="415" spans="1:35" ht="12.6" customHeight="1" x14ac:dyDescent="0.2">
      <c r="A415" s="111"/>
      <c r="B415" s="914" t="s">
        <v>812</v>
      </c>
      <c r="C415" s="919"/>
      <c r="D415" s="919"/>
      <c r="E415" s="919"/>
      <c r="F415" s="346">
        <v>3705</v>
      </c>
      <c r="G415" s="346">
        <f t="shared" ref="G415" si="1032">+F415*$X$1</f>
        <v>3705</v>
      </c>
      <c r="H415" s="614">
        <f>F415+500</f>
        <v>4205</v>
      </c>
      <c r="I415" s="346">
        <f>+H415*$X$1</f>
        <v>4205</v>
      </c>
      <c r="J415" s="93">
        <f>F415+180</f>
        <v>3885</v>
      </c>
      <c r="K415" s="346">
        <f t="shared" ref="K415" si="1033">+J415*$X$1</f>
        <v>3885</v>
      </c>
      <c r="L415" s="604">
        <f>F415+120</f>
        <v>3825</v>
      </c>
      <c r="M415" s="346">
        <f t="shared" ref="M415" si="1034">+L415*$X$1</f>
        <v>3825</v>
      </c>
      <c r="N415" s="604">
        <f>F415+80</f>
        <v>3785</v>
      </c>
      <c r="O415" s="346">
        <f t="shared" si="1030"/>
        <v>3785</v>
      </c>
      <c r="P415" s="604">
        <f>F415+70</f>
        <v>3775</v>
      </c>
      <c r="Q415" s="346">
        <f t="shared" si="1031"/>
        <v>3775</v>
      </c>
      <c r="R415" s="604">
        <f>F415+55</f>
        <v>3760</v>
      </c>
      <c r="S415" s="346">
        <f t="shared" ref="S415" si="1035">+R415*$X$1</f>
        <v>3760</v>
      </c>
      <c r="T415" s="604">
        <f>F415+49</f>
        <v>3754</v>
      </c>
      <c r="U415" s="346">
        <f t="shared" ref="U415" si="1036">+T415*$X$1</f>
        <v>3754</v>
      </c>
      <c r="V415" s="604"/>
      <c r="W415" s="346"/>
      <c r="X415" s="590"/>
      <c r="Y415" s="588"/>
      <c r="Z415" s="588"/>
      <c r="AA415" s="589"/>
      <c r="AB415" s="534" t="s">
        <v>837</v>
      </c>
      <c r="AC415" s="69"/>
    </row>
    <row r="416" spans="1:35" ht="12.6" customHeight="1" x14ac:dyDescent="0.2">
      <c r="A416" s="20"/>
      <c r="B416" s="719" t="s">
        <v>633</v>
      </c>
      <c r="C416" s="720"/>
      <c r="D416" s="720"/>
      <c r="E416" s="720"/>
      <c r="F416" s="345">
        <v>4992</v>
      </c>
      <c r="G416" s="345">
        <f t="shared" ref="G416:G424" si="1037">+F416*$X$1</f>
        <v>4992</v>
      </c>
      <c r="H416" s="336"/>
      <c r="I416" s="420"/>
      <c r="J416" s="383"/>
      <c r="K416" s="345"/>
      <c r="L416" s="383">
        <f>F416+770</f>
        <v>5762</v>
      </c>
      <c r="M416" s="345">
        <f t="shared" ref="M416" si="1038">+L416*$X$1</f>
        <v>5762</v>
      </c>
      <c r="N416" s="383">
        <f>F416+580</f>
        <v>5572</v>
      </c>
      <c r="O416" s="345">
        <f t="shared" ref="O416" si="1039">+N416*$X$1</f>
        <v>5572</v>
      </c>
      <c r="P416" s="383">
        <f>F416+520</f>
        <v>5512</v>
      </c>
      <c r="Q416" s="345">
        <f t="shared" ref="Q416" si="1040">+P416*$X$1</f>
        <v>5512</v>
      </c>
      <c r="R416" s="383">
        <f>F416+500</f>
        <v>5492</v>
      </c>
      <c r="S416" s="345">
        <f>+R416*$X$1</f>
        <v>5492</v>
      </c>
      <c r="T416" s="383">
        <f>F416+486</f>
        <v>5478</v>
      </c>
      <c r="U416" s="345">
        <f>+T416*$X$1</f>
        <v>5478</v>
      </c>
      <c r="V416" s="383"/>
      <c r="W416" s="345"/>
      <c r="X416" s="1255"/>
      <c r="Y416" s="1256"/>
      <c r="Z416" s="1256"/>
      <c r="AA416" s="1257"/>
      <c r="AB416" s="208">
        <v>5008</v>
      </c>
      <c r="AC416" s="42"/>
      <c r="AD416" s="42"/>
      <c r="AE416" s="42"/>
      <c r="AF416" s="42"/>
      <c r="AG416" s="42"/>
      <c r="AH416" s="42"/>
      <c r="AI416" s="42"/>
    </row>
    <row r="417" spans="1:35" ht="12.6" customHeight="1" x14ac:dyDescent="0.2">
      <c r="A417" s="20"/>
      <c r="B417" s="774" t="s">
        <v>634</v>
      </c>
      <c r="C417" s="775"/>
      <c r="D417" s="775"/>
      <c r="E417" s="776"/>
      <c r="F417" s="346">
        <v>6786</v>
      </c>
      <c r="G417" s="346">
        <f t="shared" si="1037"/>
        <v>6786</v>
      </c>
      <c r="H417" s="335"/>
      <c r="I417" s="421"/>
      <c r="J417" s="604"/>
      <c r="K417" s="346"/>
      <c r="L417" s="604">
        <f>F417+770</f>
        <v>7556</v>
      </c>
      <c r="M417" s="346">
        <f t="shared" ref="M417:M420" si="1041">+L417*$X$1</f>
        <v>7556</v>
      </c>
      <c r="N417" s="604">
        <f>F417+580</f>
        <v>7366</v>
      </c>
      <c r="O417" s="346">
        <f t="shared" ref="O417:O419" si="1042">+N417*$X$1</f>
        <v>7366</v>
      </c>
      <c r="P417" s="604">
        <f>F417+520</f>
        <v>7306</v>
      </c>
      <c r="Q417" s="346">
        <f t="shared" ref="Q417:Q419" si="1043">+P417*$X$1</f>
        <v>7306</v>
      </c>
      <c r="R417" s="604">
        <f>F417+500</f>
        <v>7286</v>
      </c>
      <c r="S417" s="346">
        <f>+R417*$X$1</f>
        <v>7286</v>
      </c>
      <c r="T417" s="604">
        <f>F417+486</f>
        <v>7272</v>
      </c>
      <c r="U417" s="346">
        <f>+T417*$X$1</f>
        <v>7272</v>
      </c>
      <c r="V417" s="604"/>
      <c r="W417" s="346"/>
      <c r="X417" s="1255"/>
      <c r="Y417" s="1256"/>
      <c r="Z417" s="1256"/>
      <c r="AA417" s="1257"/>
      <c r="AB417" s="546">
        <v>5010</v>
      </c>
      <c r="AC417" s="42"/>
      <c r="AD417" s="42"/>
      <c r="AE417" s="42"/>
      <c r="AF417" s="42"/>
      <c r="AG417" s="42"/>
      <c r="AH417" s="42"/>
      <c r="AI417" s="42"/>
    </row>
    <row r="418" spans="1:35" ht="12.6" customHeight="1" x14ac:dyDescent="0.2">
      <c r="A418" s="20"/>
      <c r="B418" s="714" t="s">
        <v>635</v>
      </c>
      <c r="C418" s="717"/>
      <c r="D418" s="717"/>
      <c r="E418" s="718"/>
      <c r="F418" s="345">
        <v>3783</v>
      </c>
      <c r="G418" s="345">
        <f t="shared" ref="G418" si="1044">+F418*$X$1</f>
        <v>3783</v>
      </c>
      <c r="H418" s="336"/>
      <c r="I418" s="420"/>
      <c r="J418" s="383"/>
      <c r="K418" s="345"/>
      <c r="L418" s="383">
        <f>F418+770</f>
        <v>4553</v>
      </c>
      <c r="M418" s="345">
        <f t="shared" si="1041"/>
        <v>4553</v>
      </c>
      <c r="N418" s="383">
        <f>F418+580</f>
        <v>4363</v>
      </c>
      <c r="O418" s="345">
        <f t="shared" si="1042"/>
        <v>4363</v>
      </c>
      <c r="P418" s="383">
        <f>F418+520</f>
        <v>4303</v>
      </c>
      <c r="Q418" s="345">
        <f t="shared" si="1043"/>
        <v>4303</v>
      </c>
      <c r="R418" s="383">
        <f>F418+500</f>
        <v>4283</v>
      </c>
      <c r="S418" s="345">
        <f>+R418*$X$1</f>
        <v>4283</v>
      </c>
      <c r="T418" s="383">
        <f>F418+486</f>
        <v>4269</v>
      </c>
      <c r="U418" s="345">
        <f>+T418*$X$1</f>
        <v>4269</v>
      </c>
      <c r="V418" s="383"/>
      <c r="W418" s="345"/>
      <c r="X418" s="1255"/>
      <c r="Y418" s="1256"/>
      <c r="Z418" s="1256"/>
      <c r="AA418" s="1257"/>
      <c r="AB418" s="546"/>
      <c r="AC418" s="42"/>
      <c r="AD418" s="42"/>
      <c r="AE418" s="42"/>
      <c r="AF418" s="42"/>
      <c r="AG418" s="42"/>
      <c r="AH418" s="42"/>
      <c r="AI418" s="42"/>
    </row>
    <row r="419" spans="1:35" ht="12.6" customHeight="1" x14ac:dyDescent="0.2">
      <c r="A419" s="20"/>
      <c r="B419" s="774" t="s">
        <v>636</v>
      </c>
      <c r="C419" s="775"/>
      <c r="D419" s="775"/>
      <c r="E419" s="776"/>
      <c r="F419" s="346">
        <v>5616</v>
      </c>
      <c r="G419" s="346">
        <f t="shared" ref="G419" si="1045">+F419*$X$1</f>
        <v>5616</v>
      </c>
      <c r="H419" s="335"/>
      <c r="I419" s="421"/>
      <c r="J419" s="604"/>
      <c r="K419" s="346"/>
      <c r="L419" s="604">
        <f>F419+770</f>
        <v>6386</v>
      </c>
      <c r="M419" s="346">
        <f t="shared" si="1041"/>
        <v>6386</v>
      </c>
      <c r="N419" s="604">
        <f>F419+580</f>
        <v>6196</v>
      </c>
      <c r="O419" s="346">
        <f t="shared" si="1042"/>
        <v>6196</v>
      </c>
      <c r="P419" s="604">
        <f>F419+520</f>
        <v>6136</v>
      </c>
      <c r="Q419" s="346">
        <f t="shared" si="1043"/>
        <v>6136</v>
      </c>
      <c r="R419" s="604">
        <f>F419+500</f>
        <v>6116</v>
      </c>
      <c r="S419" s="346">
        <f>+R419*$X$1</f>
        <v>6116</v>
      </c>
      <c r="T419" s="604">
        <f>F419+486</f>
        <v>6102</v>
      </c>
      <c r="U419" s="346">
        <f>+T419*$X$1</f>
        <v>6102</v>
      </c>
      <c r="V419" s="604"/>
      <c r="W419" s="346"/>
      <c r="X419" s="1255"/>
      <c r="Y419" s="1256"/>
      <c r="Z419" s="1256"/>
      <c r="AA419" s="1257"/>
      <c r="AB419" s="546"/>
      <c r="AC419" s="42"/>
      <c r="AD419" s="42"/>
      <c r="AE419" s="42"/>
      <c r="AF419" s="42"/>
      <c r="AG419" s="42"/>
      <c r="AH419" s="42"/>
      <c r="AI419" s="42"/>
    </row>
    <row r="420" spans="1:35" ht="12.6" customHeight="1" x14ac:dyDescent="0.2">
      <c r="A420" s="20"/>
      <c r="B420" s="719" t="s">
        <v>631</v>
      </c>
      <c r="C420" s="762"/>
      <c r="D420" s="762"/>
      <c r="E420" s="762"/>
      <c r="F420" s="345">
        <v>1410</v>
      </c>
      <c r="G420" s="345">
        <f t="shared" si="1037"/>
        <v>1410</v>
      </c>
      <c r="H420" s="336"/>
      <c r="I420" s="420"/>
      <c r="J420" s="75">
        <f>F420+130</f>
        <v>1540</v>
      </c>
      <c r="K420" s="345">
        <f t="shared" ref="K420" si="1046">+J420*$X$1</f>
        <v>1540</v>
      </c>
      <c r="L420" s="383">
        <f>F420+85</f>
        <v>1495</v>
      </c>
      <c r="M420" s="345">
        <f t="shared" si="1041"/>
        <v>1495</v>
      </c>
      <c r="N420" s="383"/>
      <c r="O420" s="345"/>
      <c r="P420" s="383"/>
      <c r="Q420" s="345"/>
      <c r="R420" s="383"/>
      <c r="S420" s="345"/>
      <c r="T420" s="383"/>
      <c r="U420" s="345"/>
      <c r="V420" s="383"/>
      <c r="W420" s="345"/>
      <c r="X420" s="1252"/>
      <c r="Y420" s="1253"/>
      <c r="Z420" s="1253"/>
      <c r="AA420" s="1254"/>
      <c r="AB420" s="546">
        <v>11604</v>
      </c>
    </row>
    <row r="421" spans="1:35" ht="12.6" customHeight="1" x14ac:dyDescent="0.2">
      <c r="A421" s="20"/>
      <c r="B421" s="712" t="s">
        <v>632</v>
      </c>
      <c r="C421" s="713"/>
      <c r="D421" s="713"/>
      <c r="E421" s="713"/>
      <c r="F421" s="591"/>
      <c r="G421" s="604"/>
      <c r="H421" s="335"/>
      <c r="I421" s="421"/>
      <c r="J421" s="93">
        <f>F420+200</f>
        <v>1610</v>
      </c>
      <c r="K421" s="346">
        <f t="shared" ref="K421" si="1047">+J421*$X$1</f>
        <v>1610</v>
      </c>
      <c r="L421" s="604">
        <f>F420+150</f>
        <v>1560</v>
      </c>
      <c r="M421" s="346">
        <f t="shared" ref="M421" si="1048">+L421*$X$1</f>
        <v>1560</v>
      </c>
      <c r="N421" s="604"/>
      <c r="O421" s="346"/>
      <c r="P421" s="604"/>
      <c r="Q421" s="346"/>
      <c r="R421" s="604"/>
      <c r="S421" s="346"/>
      <c r="T421" s="604"/>
      <c r="U421" s="346"/>
      <c r="V421" s="604"/>
      <c r="W421" s="346"/>
      <c r="X421" s="1252"/>
      <c r="Y421" s="1253"/>
      <c r="Z421" s="1253"/>
      <c r="AA421" s="1254"/>
      <c r="AB421" s="546">
        <v>11605</v>
      </c>
    </row>
    <row r="422" spans="1:35" ht="12.6" customHeight="1" x14ac:dyDescent="0.2">
      <c r="A422" s="20"/>
      <c r="B422" s="1167" t="s">
        <v>626</v>
      </c>
      <c r="C422" s="1168"/>
      <c r="D422" s="1168"/>
      <c r="E422" s="1168"/>
      <c r="F422" s="345">
        <v>321</v>
      </c>
      <c r="G422" s="345">
        <f t="shared" si="1037"/>
        <v>321</v>
      </c>
      <c r="H422" s="336"/>
      <c r="I422" s="336"/>
      <c r="J422" s="383"/>
      <c r="K422" s="383"/>
      <c r="L422" s="383"/>
      <c r="M422" s="383"/>
      <c r="N422" s="383"/>
      <c r="O422" s="383"/>
      <c r="P422" s="336"/>
      <c r="Q422" s="336"/>
      <c r="R422" s="383"/>
      <c r="S422" s="383"/>
      <c r="T422" s="383"/>
      <c r="U422" s="383"/>
      <c r="V422" s="383"/>
      <c r="W422" s="383"/>
      <c r="X422" s="1252"/>
      <c r="Y422" s="1253"/>
      <c r="Z422" s="1253"/>
      <c r="AA422" s="1254"/>
      <c r="AB422" s="554"/>
    </row>
    <row r="423" spans="1:35" ht="12.6" customHeight="1" x14ac:dyDescent="0.2">
      <c r="A423" s="20"/>
      <c r="B423" s="712" t="s">
        <v>272</v>
      </c>
      <c r="C423" s="713"/>
      <c r="D423" s="713"/>
      <c r="E423" s="713"/>
      <c r="F423" s="346">
        <v>1067</v>
      </c>
      <c r="G423" s="346">
        <f t="shared" si="1037"/>
        <v>1067</v>
      </c>
      <c r="H423" s="335"/>
      <c r="I423" s="335"/>
      <c r="J423" s="604">
        <f>F423+120</f>
        <v>1187</v>
      </c>
      <c r="K423" s="346">
        <f t="shared" ref="K423" si="1049">+J423*$X$1</f>
        <v>1187</v>
      </c>
      <c r="L423" s="604">
        <f>F423+74</f>
        <v>1141</v>
      </c>
      <c r="M423" s="346">
        <f t="shared" ref="M423" si="1050">+L423*$X$1</f>
        <v>1141</v>
      </c>
      <c r="N423" s="604">
        <f>F423+46</f>
        <v>1113</v>
      </c>
      <c r="O423" s="346">
        <f t="shared" ref="O423" si="1051">+N423*$X$1</f>
        <v>1113</v>
      </c>
      <c r="P423" s="604">
        <f>F423+42</f>
        <v>1109</v>
      </c>
      <c r="Q423" s="346">
        <f t="shared" ref="Q423" si="1052">+P423*$X$1</f>
        <v>1109</v>
      </c>
      <c r="R423" s="604">
        <f>F423+35</f>
        <v>1102</v>
      </c>
      <c r="S423" s="346">
        <f t="shared" ref="S423" si="1053">+R423*$X$1</f>
        <v>1102</v>
      </c>
      <c r="T423" s="107">
        <f>F423+29</f>
        <v>1096</v>
      </c>
      <c r="U423" s="371">
        <f t="shared" ref="U423" si="1054">+T423*$X$1</f>
        <v>1096</v>
      </c>
      <c r="V423" s="107">
        <f>F423+24</f>
        <v>1091</v>
      </c>
      <c r="W423" s="371">
        <f t="shared" ref="W423" si="1055">+V423*$X$1</f>
        <v>1091</v>
      </c>
      <c r="X423" s="164"/>
      <c r="Y423" s="141"/>
      <c r="Z423" s="141"/>
      <c r="AA423" s="141"/>
      <c r="AB423" s="555"/>
    </row>
    <row r="424" spans="1:35" ht="12.6" customHeight="1" x14ac:dyDescent="0.2">
      <c r="A424" s="111"/>
      <c r="B424" s="943" t="s">
        <v>273</v>
      </c>
      <c r="C424" s="1192"/>
      <c r="D424" s="1192"/>
      <c r="E424" s="1192"/>
      <c r="F424" s="410">
        <v>25</v>
      </c>
      <c r="G424" s="410">
        <f t="shared" si="1037"/>
        <v>25</v>
      </c>
      <c r="H424" s="121"/>
      <c r="I424" s="121"/>
      <c r="J424" s="121"/>
      <c r="K424" s="121"/>
      <c r="L424" s="121"/>
      <c r="M424" s="121"/>
      <c r="N424" s="121"/>
      <c r="O424" s="410"/>
      <c r="P424" s="121"/>
      <c r="Q424" s="410"/>
      <c r="R424" s="121"/>
      <c r="S424" s="410"/>
      <c r="T424" s="121"/>
      <c r="U424" s="410"/>
      <c r="V424" s="121"/>
      <c r="W424" s="410"/>
      <c r="X424" s="164"/>
      <c r="Y424" s="141"/>
      <c r="Z424" s="141"/>
      <c r="AA424" s="141"/>
      <c r="AB424" s="208">
        <v>11612</v>
      </c>
    </row>
    <row r="425" spans="1:35" ht="12.6" customHeight="1" x14ac:dyDescent="0.2">
      <c r="A425" s="20"/>
      <c r="B425" s="774" t="s">
        <v>394</v>
      </c>
      <c r="C425" s="775"/>
      <c r="D425" s="775"/>
      <c r="E425" s="776"/>
      <c r="F425" s="346">
        <v>1267</v>
      </c>
      <c r="G425" s="346">
        <f t="shared" ref="G425:G435" si="1056">+F425*$X$1</f>
        <v>1267</v>
      </c>
      <c r="H425" s="310"/>
      <c r="I425" s="1146" t="s">
        <v>598</v>
      </c>
      <c r="J425" s="1266"/>
      <c r="K425" s="1266"/>
      <c r="L425" s="1266"/>
      <c r="M425" s="1267"/>
      <c r="N425" s="591">
        <v>1790</v>
      </c>
      <c r="O425" s="346">
        <f>+N425*$X$1</f>
        <v>1790</v>
      </c>
      <c r="P425" s="112">
        <v>1780</v>
      </c>
      <c r="Q425" s="346">
        <f t="shared" ref="Q425" si="1057">+P425*$X$1</f>
        <v>1780</v>
      </c>
      <c r="R425" s="591">
        <v>1615</v>
      </c>
      <c r="S425" s="346">
        <f>+R425*$X$1</f>
        <v>1615</v>
      </c>
      <c r="T425" s="591">
        <v>1507</v>
      </c>
      <c r="U425" s="346">
        <f>+T425*$X$1</f>
        <v>1507</v>
      </c>
      <c r="V425" s="591">
        <v>1455</v>
      </c>
      <c r="W425" s="346">
        <f t="shared" ref="W425" si="1058">+V425*$X$1</f>
        <v>1455</v>
      </c>
      <c r="X425" s="145"/>
      <c r="Y425" s="145"/>
      <c r="Z425" s="145"/>
      <c r="AA425" s="148"/>
      <c r="AB425" s="31"/>
    </row>
    <row r="426" spans="1:35" ht="12.6" customHeight="1" x14ac:dyDescent="0.2">
      <c r="A426" s="20"/>
      <c r="B426" s="714" t="s">
        <v>395</v>
      </c>
      <c r="C426" s="717"/>
      <c r="D426" s="717"/>
      <c r="E426" s="718"/>
      <c r="F426" s="345">
        <v>1267</v>
      </c>
      <c r="G426" s="345">
        <f t="shared" si="1056"/>
        <v>1267</v>
      </c>
      <c r="H426" s="310"/>
      <c r="I426" s="1268"/>
      <c r="J426" s="1269"/>
      <c r="K426" s="1269"/>
      <c r="L426" s="1269"/>
      <c r="M426" s="1270"/>
      <c r="N426" s="383">
        <v>1790</v>
      </c>
      <c r="O426" s="345">
        <f>+N426*$X$1</f>
        <v>1790</v>
      </c>
      <c r="P426" s="106">
        <v>1780</v>
      </c>
      <c r="Q426" s="345">
        <f t="shared" ref="Q426:Q429" si="1059">+P426*$X$1</f>
        <v>1780</v>
      </c>
      <c r="R426" s="383">
        <v>1615</v>
      </c>
      <c r="S426" s="345">
        <f>+R426*$X$1</f>
        <v>1615</v>
      </c>
      <c r="T426" s="383">
        <v>1507</v>
      </c>
      <c r="U426" s="345">
        <f>+T426*$X$1</f>
        <v>1507</v>
      </c>
      <c r="V426" s="383">
        <v>1455</v>
      </c>
      <c r="W426" s="345">
        <f t="shared" ref="W426:W429" si="1060">+V426*$X$1</f>
        <v>1455</v>
      </c>
      <c r="X426" s="145"/>
      <c r="Y426" s="145"/>
      <c r="Z426" s="145"/>
      <c r="AA426" s="148"/>
      <c r="AB426" s="208"/>
    </row>
    <row r="427" spans="1:35" ht="12.6" customHeight="1" x14ac:dyDescent="0.2">
      <c r="A427" s="20"/>
      <c r="B427" s="774" t="s">
        <v>396</v>
      </c>
      <c r="C427" s="775"/>
      <c r="D427" s="775"/>
      <c r="E427" s="776"/>
      <c r="F427" s="346">
        <v>1267</v>
      </c>
      <c r="G427" s="346">
        <f t="shared" si="1056"/>
        <v>1267</v>
      </c>
      <c r="H427" s="19"/>
      <c r="I427" s="1271"/>
      <c r="J427" s="1272"/>
      <c r="K427" s="1272"/>
      <c r="L427" s="1272"/>
      <c r="M427" s="1273"/>
      <c r="N427" s="591">
        <v>1790</v>
      </c>
      <c r="O427" s="346">
        <f>+N427*$X$1</f>
        <v>1790</v>
      </c>
      <c r="P427" s="112">
        <v>1780</v>
      </c>
      <c r="Q427" s="346">
        <f t="shared" si="1059"/>
        <v>1780</v>
      </c>
      <c r="R427" s="591">
        <v>1615</v>
      </c>
      <c r="S427" s="346">
        <f>+R427*$X$1</f>
        <v>1615</v>
      </c>
      <c r="T427" s="591">
        <v>1507</v>
      </c>
      <c r="U427" s="346">
        <f>+T427*$X$1</f>
        <v>1507</v>
      </c>
      <c r="V427" s="591">
        <v>1455</v>
      </c>
      <c r="W427" s="346">
        <f t="shared" si="1060"/>
        <v>1455</v>
      </c>
      <c r="X427" s="145"/>
      <c r="Y427" s="145"/>
      <c r="Z427" s="145"/>
      <c r="AA427" s="148"/>
      <c r="AB427" s="208"/>
      <c r="AG427" s="247"/>
    </row>
    <row r="428" spans="1:35" ht="12.6" customHeight="1" x14ac:dyDescent="0.2">
      <c r="A428" s="20"/>
      <c r="B428" s="1167" t="s">
        <v>274</v>
      </c>
      <c r="C428" s="1277"/>
      <c r="D428" s="1277"/>
      <c r="E428" s="1277"/>
      <c r="F428" s="481">
        <f>3.11*X2</f>
        <v>2861.2</v>
      </c>
      <c r="G428" s="345">
        <f t="shared" si="1056"/>
        <v>2861.2</v>
      </c>
      <c r="H428" s="336"/>
      <c r="I428" s="336"/>
      <c r="J428" s="383">
        <f>F428+120</f>
        <v>2981.2</v>
      </c>
      <c r="K428" s="345">
        <f t="shared" ref="K428:K429" si="1061">+J428*$X$1</f>
        <v>2981.2</v>
      </c>
      <c r="L428" s="383">
        <f>F428+74</f>
        <v>2935.2</v>
      </c>
      <c r="M428" s="345">
        <f t="shared" ref="M428:M429" si="1062">+L428*$X$1</f>
        <v>2935.2</v>
      </c>
      <c r="N428" s="383">
        <f>F428+46</f>
        <v>2907.2</v>
      </c>
      <c r="O428" s="345">
        <f t="shared" ref="O428:O429" si="1063">+N428*$X$1</f>
        <v>2907.2</v>
      </c>
      <c r="P428" s="383">
        <f>F428+42</f>
        <v>2903.2</v>
      </c>
      <c r="Q428" s="345">
        <f t="shared" si="1059"/>
        <v>2903.2</v>
      </c>
      <c r="R428" s="383">
        <f>F428+35</f>
        <v>2896.2</v>
      </c>
      <c r="S428" s="345">
        <f t="shared" ref="S428:S429" si="1064">+R428*$X$1</f>
        <v>2896.2</v>
      </c>
      <c r="T428" s="108">
        <f t="shared" ref="T428:T429" si="1065">F428+29</f>
        <v>2890.2</v>
      </c>
      <c r="U428" s="304">
        <f t="shared" ref="U428:U429" si="1066">+T428*$X$1</f>
        <v>2890.2</v>
      </c>
      <c r="V428" s="108">
        <f>F428+24</f>
        <v>2885.2</v>
      </c>
      <c r="W428" s="304">
        <f t="shared" si="1060"/>
        <v>2885.2</v>
      </c>
      <c r="X428" s="710"/>
      <c r="Y428" s="710"/>
      <c r="Z428" s="710"/>
      <c r="AA428" s="711"/>
      <c r="AB428" s="208" t="s">
        <v>275</v>
      </c>
    </row>
    <row r="429" spans="1:35" ht="12.6" customHeight="1" x14ac:dyDescent="0.2">
      <c r="A429" s="20"/>
      <c r="B429" s="712" t="s">
        <v>467</v>
      </c>
      <c r="C429" s="699"/>
      <c r="D429" s="699"/>
      <c r="E429" s="699"/>
      <c r="F429" s="482">
        <f>1.6*X2</f>
        <v>1472</v>
      </c>
      <c r="G429" s="346">
        <f t="shared" si="1056"/>
        <v>1472</v>
      </c>
      <c r="H429" s="335"/>
      <c r="I429" s="335"/>
      <c r="J429" s="664">
        <f>F429+120</f>
        <v>1592</v>
      </c>
      <c r="K429" s="346">
        <f t="shared" si="1061"/>
        <v>1592</v>
      </c>
      <c r="L429" s="664">
        <f>F429+74</f>
        <v>1546</v>
      </c>
      <c r="M429" s="346">
        <f t="shared" si="1062"/>
        <v>1546</v>
      </c>
      <c r="N429" s="664">
        <f>F429+46</f>
        <v>1518</v>
      </c>
      <c r="O429" s="346">
        <f t="shared" si="1063"/>
        <v>1518</v>
      </c>
      <c r="P429" s="664">
        <f>F429+42</f>
        <v>1514</v>
      </c>
      <c r="Q429" s="346">
        <f t="shared" si="1059"/>
        <v>1514</v>
      </c>
      <c r="R429" s="664">
        <f>F429+35</f>
        <v>1507</v>
      </c>
      <c r="S429" s="346">
        <f t="shared" si="1064"/>
        <v>1507</v>
      </c>
      <c r="T429" s="107">
        <f t="shared" si="1065"/>
        <v>1501</v>
      </c>
      <c r="U429" s="371">
        <f t="shared" si="1066"/>
        <v>1501</v>
      </c>
      <c r="V429" s="107">
        <f>F429+24</f>
        <v>1496</v>
      </c>
      <c r="W429" s="371">
        <f t="shared" si="1060"/>
        <v>1496</v>
      </c>
      <c r="X429" s="710"/>
      <c r="Y429" s="710"/>
      <c r="Z429" s="710"/>
      <c r="AA429" s="711"/>
      <c r="AB429" s="208" t="s">
        <v>517</v>
      </c>
    </row>
    <row r="430" spans="1:35" s="69" customFormat="1" ht="12.6" customHeight="1" x14ac:dyDescent="0.25">
      <c r="A430" s="101"/>
      <c r="B430" s="729" t="s">
        <v>392</v>
      </c>
      <c r="C430" s="1278"/>
      <c r="D430" s="1278"/>
      <c r="E430" s="1278"/>
      <c r="F430" s="345">
        <v>657</v>
      </c>
      <c r="G430" s="345">
        <f t="shared" si="1056"/>
        <v>657</v>
      </c>
      <c r="H430" s="334"/>
      <c r="I430" s="1146" t="s">
        <v>592</v>
      </c>
      <c r="J430" s="1147"/>
      <c r="K430" s="1147"/>
      <c r="L430" s="1148"/>
      <c r="M430" s="1149"/>
      <c r="N430" s="383">
        <v>1260</v>
      </c>
      <c r="O430" s="345">
        <f t="shared" ref="O430:O436" si="1067">+N430*$X$1</f>
        <v>1260</v>
      </c>
      <c r="P430" s="360">
        <v>1256</v>
      </c>
      <c r="Q430" s="345">
        <f t="shared" ref="Q430:Q436" si="1068">+P430*$X$1</f>
        <v>1256</v>
      </c>
      <c r="R430" s="383">
        <v>1173</v>
      </c>
      <c r="S430" s="345">
        <f t="shared" ref="S430:S436" si="1069">+R430*$X$1</f>
        <v>1173</v>
      </c>
      <c r="T430" s="383">
        <v>1071</v>
      </c>
      <c r="U430" s="345">
        <f t="shared" ref="U430:U436" si="1070">+T430*$X$1</f>
        <v>1071</v>
      </c>
      <c r="V430" s="383">
        <v>1014</v>
      </c>
      <c r="W430" s="345">
        <f t="shared" ref="W430:W436" si="1071">+V430*$X$1</f>
        <v>1014</v>
      </c>
      <c r="X430" s="162"/>
      <c r="Y430" s="162"/>
      <c r="Z430" s="162"/>
      <c r="AA430" s="163"/>
      <c r="AB430" s="556" t="s">
        <v>276</v>
      </c>
    </row>
    <row r="431" spans="1:35" s="69" customFormat="1" ht="12.6" customHeight="1" x14ac:dyDescent="0.25">
      <c r="A431" s="101"/>
      <c r="B431" s="712" t="s">
        <v>393</v>
      </c>
      <c r="C431" s="699"/>
      <c r="D431" s="699"/>
      <c r="E431" s="699"/>
      <c r="F431" s="346">
        <v>657</v>
      </c>
      <c r="G431" s="346">
        <f t="shared" si="1056"/>
        <v>657</v>
      </c>
      <c r="H431" s="340"/>
      <c r="I431" s="1150"/>
      <c r="J431" s="1151"/>
      <c r="K431" s="1151"/>
      <c r="L431" s="1152"/>
      <c r="M431" s="1153"/>
      <c r="N431" s="591">
        <v>1592</v>
      </c>
      <c r="O431" s="346">
        <f t="shared" si="1067"/>
        <v>1592</v>
      </c>
      <c r="P431" s="359">
        <v>1585</v>
      </c>
      <c r="Q431" s="346">
        <f t="shared" si="1068"/>
        <v>1585</v>
      </c>
      <c r="R431" s="591">
        <v>1509</v>
      </c>
      <c r="S431" s="346">
        <f t="shared" si="1069"/>
        <v>1509</v>
      </c>
      <c r="T431" s="591">
        <v>1457</v>
      </c>
      <c r="U431" s="346">
        <f t="shared" si="1070"/>
        <v>1457</v>
      </c>
      <c r="V431" s="591">
        <v>1381</v>
      </c>
      <c r="W431" s="346">
        <f t="shared" si="1071"/>
        <v>1381</v>
      </c>
      <c r="X431" s="186"/>
      <c r="Y431" s="145"/>
      <c r="Z431" s="145"/>
      <c r="AA431" s="148"/>
      <c r="AB431" s="557"/>
    </row>
    <row r="432" spans="1:35" s="69" customFormat="1" ht="12.6" customHeight="1" x14ac:dyDescent="0.25">
      <c r="A432" s="101"/>
      <c r="B432" s="719" t="s">
        <v>413</v>
      </c>
      <c r="C432" s="720"/>
      <c r="D432" s="720"/>
      <c r="E432" s="720"/>
      <c r="F432" s="345">
        <v>657</v>
      </c>
      <c r="G432" s="345">
        <f t="shared" si="1056"/>
        <v>657</v>
      </c>
      <c r="H432" s="332"/>
      <c r="I432" s="1150"/>
      <c r="J432" s="1151"/>
      <c r="K432" s="1151"/>
      <c r="L432" s="1152"/>
      <c r="M432" s="1153"/>
      <c r="N432" s="383">
        <v>1260</v>
      </c>
      <c r="O432" s="345">
        <f t="shared" ref="O432:O433" si="1072">+N432*$X$1</f>
        <v>1260</v>
      </c>
      <c r="P432" s="360">
        <v>1256</v>
      </c>
      <c r="Q432" s="345">
        <f t="shared" ref="Q432:Q433" si="1073">+P432*$X$1</f>
        <v>1256</v>
      </c>
      <c r="R432" s="383">
        <v>1173</v>
      </c>
      <c r="S432" s="345">
        <f t="shared" ref="S432:S433" si="1074">+R432*$X$1</f>
        <v>1173</v>
      </c>
      <c r="T432" s="383">
        <v>1071</v>
      </c>
      <c r="U432" s="345">
        <f t="shared" ref="U432:U433" si="1075">+T432*$X$1</f>
        <v>1071</v>
      </c>
      <c r="V432" s="383">
        <v>1014</v>
      </c>
      <c r="W432" s="345">
        <f t="shared" ref="W432:W433" si="1076">+V432*$X$1</f>
        <v>1014</v>
      </c>
      <c r="X432" s="145"/>
      <c r="Y432" s="145"/>
      <c r="Z432" s="145"/>
      <c r="AA432" s="148"/>
      <c r="AB432" s="556" t="s">
        <v>277</v>
      </c>
    </row>
    <row r="433" spans="1:31" s="69" customFormat="1" ht="12" customHeight="1" x14ac:dyDescent="0.25">
      <c r="A433" s="101"/>
      <c r="B433" s="712" t="s">
        <v>414</v>
      </c>
      <c r="C433" s="699"/>
      <c r="D433" s="699"/>
      <c r="E433" s="699"/>
      <c r="F433" s="346">
        <v>657</v>
      </c>
      <c r="G433" s="346">
        <f t="shared" si="1056"/>
        <v>657</v>
      </c>
      <c r="H433" s="340"/>
      <c r="I433" s="1150"/>
      <c r="J433" s="1151"/>
      <c r="K433" s="1151"/>
      <c r="L433" s="1152"/>
      <c r="M433" s="1153"/>
      <c r="N433" s="591">
        <v>1592</v>
      </c>
      <c r="O433" s="346">
        <f t="shared" si="1072"/>
        <v>1592</v>
      </c>
      <c r="P433" s="359">
        <v>1585</v>
      </c>
      <c r="Q433" s="346">
        <f t="shared" si="1073"/>
        <v>1585</v>
      </c>
      <c r="R433" s="591">
        <v>1509</v>
      </c>
      <c r="S433" s="346">
        <f t="shared" si="1074"/>
        <v>1509</v>
      </c>
      <c r="T433" s="591">
        <v>1457</v>
      </c>
      <c r="U433" s="346">
        <f t="shared" si="1075"/>
        <v>1457</v>
      </c>
      <c r="V433" s="591">
        <v>1381</v>
      </c>
      <c r="W433" s="346">
        <f t="shared" si="1076"/>
        <v>1381</v>
      </c>
      <c r="X433" s="162"/>
      <c r="Y433" s="162"/>
      <c r="Z433" s="145"/>
      <c r="AA433" s="148"/>
      <c r="AB433" s="557"/>
    </row>
    <row r="434" spans="1:31" s="69" customFormat="1" ht="12.6" customHeight="1" x14ac:dyDescent="0.25">
      <c r="A434" s="101"/>
      <c r="B434" s="719" t="s">
        <v>278</v>
      </c>
      <c r="C434" s="720"/>
      <c r="D434" s="720"/>
      <c r="E434" s="720"/>
      <c r="F434" s="345">
        <v>657</v>
      </c>
      <c r="G434" s="345">
        <f t="shared" si="1056"/>
        <v>657</v>
      </c>
      <c r="H434" s="332"/>
      <c r="I434" s="1154"/>
      <c r="J434" s="1155"/>
      <c r="K434" s="1155"/>
      <c r="L434" s="1152"/>
      <c r="M434" s="1153"/>
      <c r="N434" s="383">
        <v>1373</v>
      </c>
      <c r="O434" s="345">
        <f t="shared" si="1067"/>
        <v>1373</v>
      </c>
      <c r="P434" s="360">
        <v>1365</v>
      </c>
      <c r="Q434" s="345">
        <f t="shared" si="1068"/>
        <v>1365</v>
      </c>
      <c r="R434" s="383">
        <v>1285</v>
      </c>
      <c r="S434" s="345">
        <f t="shared" si="1069"/>
        <v>1285</v>
      </c>
      <c r="T434" s="383">
        <v>1196</v>
      </c>
      <c r="U434" s="345">
        <f t="shared" si="1070"/>
        <v>1196</v>
      </c>
      <c r="V434" s="383">
        <v>1123</v>
      </c>
      <c r="W434" s="345">
        <f t="shared" si="1071"/>
        <v>1123</v>
      </c>
      <c r="X434" s="145"/>
      <c r="Y434" s="145"/>
      <c r="Z434" s="145"/>
      <c r="AA434" s="148"/>
      <c r="AB434" s="556" t="s">
        <v>279</v>
      </c>
      <c r="AE434" s="276"/>
    </row>
    <row r="435" spans="1:31" s="69" customFormat="1" ht="12.6" customHeight="1" x14ac:dyDescent="0.25">
      <c r="A435" s="101"/>
      <c r="B435" s="712" t="s">
        <v>280</v>
      </c>
      <c r="C435" s="699"/>
      <c r="D435" s="699"/>
      <c r="E435" s="699"/>
      <c r="F435" s="346">
        <v>657</v>
      </c>
      <c r="G435" s="346">
        <f t="shared" si="1056"/>
        <v>657</v>
      </c>
      <c r="H435" s="340"/>
      <c r="I435" s="1156"/>
      <c r="J435" s="1157"/>
      <c r="K435" s="1157"/>
      <c r="L435" s="1157"/>
      <c r="M435" s="1158"/>
      <c r="N435" s="591">
        <v>1743</v>
      </c>
      <c r="O435" s="346">
        <f t="shared" si="1067"/>
        <v>1743</v>
      </c>
      <c r="P435" s="359">
        <v>1735</v>
      </c>
      <c r="Q435" s="346">
        <f t="shared" si="1068"/>
        <v>1735</v>
      </c>
      <c r="R435" s="591">
        <v>1657</v>
      </c>
      <c r="S435" s="346">
        <f t="shared" si="1069"/>
        <v>1657</v>
      </c>
      <c r="T435" s="591">
        <v>1615</v>
      </c>
      <c r="U435" s="346">
        <f t="shared" si="1070"/>
        <v>1615</v>
      </c>
      <c r="V435" s="591">
        <v>1540</v>
      </c>
      <c r="W435" s="346">
        <f t="shared" si="1071"/>
        <v>1540</v>
      </c>
      <c r="X435" s="145"/>
      <c r="Y435" s="145"/>
      <c r="Z435" s="145"/>
      <c r="AA435" s="148"/>
      <c r="AB435" s="556" t="s">
        <v>281</v>
      </c>
    </row>
    <row r="436" spans="1:31" ht="12.6" customHeight="1" x14ac:dyDescent="0.2">
      <c r="A436" s="20"/>
      <c r="B436" s="714" t="s">
        <v>282</v>
      </c>
      <c r="C436" s="717"/>
      <c r="D436" s="717"/>
      <c r="E436" s="718"/>
      <c r="F436" s="481">
        <f>2.95*X2</f>
        <v>2714</v>
      </c>
      <c r="G436" s="345">
        <f t="shared" ref="G436:G437" si="1077">+F436*$X$1</f>
        <v>2714</v>
      </c>
      <c r="H436" s="383">
        <f t="shared" ref="H436:H445" si="1078">F436+250</f>
        <v>2964</v>
      </c>
      <c r="I436" s="345">
        <f t="shared" ref="I436:I445" si="1079">+H436*$X$1</f>
        <v>2964</v>
      </c>
      <c r="J436" s="383">
        <f t="shared" ref="J436:J445" si="1080">F436+80</f>
        <v>2794</v>
      </c>
      <c r="K436" s="345">
        <f t="shared" ref="K436" si="1081">+J436*$X$1</f>
        <v>2794</v>
      </c>
      <c r="L436" s="383">
        <f>F436+60</f>
        <v>2774</v>
      </c>
      <c r="M436" s="345">
        <f t="shared" ref="M436" si="1082">+L436*$X$1</f>
        <v>2774</v>
      </c>
      <c r="N436" s="383">
        <f>F436+45</f>
        <v>2759</v>
      </c>
      <c r="O436" s="345">
        <f t="shared" si="1067"/>
        <v>2759</v>
      </c>
      <c r="P436" s="383">
        <f>F436+42</f>
        <v>2756</v>
      </c>
      <c r="Q436" s="345">
        <f t="shared" si="1068"/>
        <v>2756</v>
      </c>
      <c r="R436" s="383">
        <f>F436+39</f>
        <v>2753</v>
      </c>
      <c r="S436" s="345">
        <f t="shared" si="1069"/>
        <v>2753</v>
      </c>
      <c r="T436" s="383">
        <f>F436+35</f>
        <v>2749</v>
      </c>
      <c r="U436" s="345">
        <f t="shared" si="1070"/>
        <v>2749</v>
      </c>
      <c r="V436" s="383">
        <f>F436+30</f>
        <v>2744</v>
      </c>
      <c r="W436" s="345">
        <f t="shared" si="1071"/>
        <v>2744</v>
      </c>
      <c r="X436" s="735"/>
      <c r="Y436" s="735"/>
      <c r="Z436" s="735"/>
      <c r="AA436" s="706"/>
      <c r="AB436" s="208" t="s">
        <v>283</v>
      </c>
    </row>
    <row r="437" spans="1:31" ht="12.6" customHeight="1" x14ac:dyDescent="0.2">
      <c r="A437" s="20"/>
      <c r="B437" s="774" t="s">
        <v>284</v>
      </c>
      <c r="C437" s="775"/>
      <c r="D437" s="775"/>
      <c r="E437" s="776"/>
      <c r="F437" s="482">
        <f>2.23*X2</f>
        <v>2051.6</v>
      </c>
      <c r="G437" s="346">
        <f t="shared" si="1077"/>
        <v>2051.6</v>
      </c>
      <c r="H437" s="604">
        <f t="shared" si="1078"/>
        <v>2301.6</v>
      </c>
      <c r="I437" s="346">
        <f t="shared" si="1079"/>
        <v>2301.6</v>
      </c>
      <c r="J437" s="604">
        <f t="shared" si="1080"/>
        <v>2131.6</v>
      </c>
      <c r="K437" s="346">
        <f t="shared" ref="K437:K445" si="1083">+J437*$X$1</f>
        <v>2131.6</v>
      </c>
      <c r="L437" s="604">
        <f>F437+60</f>
        <v>2111.6</v>
      </c>
      <c r="M437" s="346">
        <f t="shared" ref="M437:M445" si="1084">+L437*$X$1</f>
        <v>2111.6</v>
      </c>
      <c r="N437" s="604">
        <f>F437+45</f>
        <v>2096.6</v>
      </c>
      <c r="O437" s="346">
        <f t="shared" ref="O437:O445" si="1085">+N437*$X$1</f>
        <v>2096.6</v>
      </c>
      <c r="P437" s="604">
        <f>F437+42</f>
        <v>2093.6</v>
      </c>
      <c r="Q437" s="346">
        <f t="shared" ref="Q437:Q445" si="1086">+P437*$X$1</f>
        <v>2093.6</v>
      </c>
      <c r="R437" s="604">
        <f>F437+39</f>
        <v>2090.6</v>
      </c>
      <c r="S437" s="346">
        <f t="shared" ref="S437:S445" si="1087">+R437*$X$1</f>
        <v>2090.6</v>
      </c>
      <c r="T437" s="604">
        <f>F437+35</f>
        <v>2086.6</v>
      </c>
      <c r="U437" s="346">
        <f t="shared" ref="U437:U445" si="1088">+T437*$X$1</f>
        <v>2086.6</v>
      </c>
      <c r="V437" s="604">
        <f>F437+30</f>
        <v>2081.6</v>
      </c>
      <c r="W437" s="346">
        <f t="shared" ref="W437:W445" si="1089">+V437*$X$1</f>
        <v>2081.6</v>
      </c>
      <c r="X437" s="735"/>
      <c r="Y437" s="735"/>
      <c r="Z437" s="735"/>
      <c r="AA437" s="706"/>
      <c r="AB437" s="208" t="s">
        <v>508</v>
      </c>
    </row>
    <row r="438" spans="1:31" ht="12.6" customHeight="1" x14ac:dyDescent="0.2">
      <c r="A438" s="20"/>
      <c r="B438" s="714" t="s">
        <v>449</v>
      </c>
      <c r="C438" s="717"/>
      <c r="D438" s="717"/>
      <c r="E438" s="718"/>
      <c r="F438" s="481">
        <f>1.99*X2</f>
        <v>1830.8</v>
      </c>
      <c r="G438" s="345">
        <f t="shared" ref="G438:G439" si="1090">+F438*$X$1</f>
        <v>1830.8</v>
      </c>
      <c r="H438" s="383">
        <f t="shared" si="1078"/>
        <v>2080.8000000000002</v>
      </c>
      <c r="I438" s="345">
        <f t="shared" si="1079"/>
        <v>2080.8000000000002</v>
      </c>
      <c r="J438" s="383">
        <f t="shared" si="1080"/>
        <v>1910.8</v>
      </c>
      <c r="K438" s="345">
        <f t="shared" si="1083"/>
        <v>1910.8</v>
      </c>
      <c r="L438" s="383">
        <f>F438+60</f>
        <v>1890.8</v>
      </c>
      <c r="M438" s="345">
        <f t="shared" si="1084"/>
        <v>1890.8</v>
      </c>
      <c r="N438" s="383">
        <f>F438+45</f>
        <v>1875.8</v>
      </c>
      <c r="O438" s="345">
        <f t="shared" si="1085"/>
        <v>1875.8</v>
      </c>
      <c r="P438" s="383">
        <f>F438+42</f>
        <v>1872.8</v>
      </c>
      <c r="Q438" s="345">
        <f t="shared" si="1086"/>
        <v>1872.8</v>
      </c>
      <c r="R438" s="383">
        <f>F438+39</f>
        <v>1869.8</v>
      </c>
      <c r="S438" s="345">
        <f t="shared" si="1087"/>
        <v>1869.8</v>
      </c>
      <c r="T438" s="383">
        <f>F438+35</f>
        <v>1865.8</v>
      </c>
      <c r="U438" s="345">
        <f t="shared" si="1088"/>
        <v>1865.8</v>
      </c>
      <c r="V438" s="383">
        <f>F438+30</f>
        <v>1860.8</v>
      </c>
      <c r="W438" s="345">
        <f t="shared" si="1089"/>
        <v>1860.8</v>
      </c>
      <c r="X438" s="735"/>
      <c r="Y438" s="705"/>
      <c r="Z438" s="705"/>
      <c r="AA438" s="706"/>
      <c r="AB438" s="208" t="s">
        <v>509</v>
      </c>
    </row>
    <row r="439" spans="1:31" ht="12.6" customHeight="1" x14ac:dyDescent="0.2">
      <c r="A439" s="111"/>
      <c r="B439" s="726" t="s">
        <v>285</v>
      </c>
      <c r="C439" s="952"/>
      <c r="D439" s="952"/>
      <c r="E439" s="952"/>
      <c r="F439" s="411">
        <v>660</v>
      </c>
      <c r="G439" s="410">
        <f t="shared" si="1090"/>
        <v>660</v>
      </c>
      <c r="H439" s="603">
        <f t="shared" si="1078"/>
        <v>910</v>
      </c>
      <c r="I439" s="410">
        <f t="shared" si="1079"/>
        <v>910</v>
      </c>
      <c r="J439" s="603">
        <f t="shared" si="1080"/>
        <v>740</v>
      </c>
      <c r="K439" s="410">
        <f t="shared" si="1083"/>
        <v>740</v>
      </c>
      <c r="L439" s="603"/>
      <c r="M439" s="410"/>
      <c r="N439" s="603"/>
      <c r="O439" s="410"/>
      <c r="P439" s="603"/>
      <c r="Q439" s="410"/>
      <c r="R439" s="603"/>
      <c r="S439" s="410"/>
      <c r="T439" s="603"/>
      <c r="U439" s="410"/>
      <c r="V439" s="603"/>
      <c r="W439" s="410"/>
      <c r="X439" s="735"/>
      <c r="Y439" s="735"/>
      <c r="Z439" s="735"/>
      <c r="AA439" s="735"/>
      <c r="AB439" s="535" t="s">
        <v>286</v>
      </c>
    </row>
    <row r="440" spans="1:31" ht="12.6" customHeight="1" x14ac:dyDescent="0.2">
      <c r="A440" s="20"/>
      <c r="B440" s="714" t="s">
        <v>582</v>
      </c>
      <c r="C440" s="717"/>
      <c r="D440" s="717"/>
      <c r="E440" s="718"/>
      <c r="F440" s="481">
        <f>1.77*X2</f>
        <v>1628.4</v>
      </c>
      <c r="G440" s="345">
        <f t="shared" ref="G440:G441" si="1091">+F440*$X$1</f>
        <v>1628.4</v>
      </c>
      <c r="H440" s="383">
        <f t="shared" si="1078"/>
        <v>1878.4</v>
      </c>
      <c r="I440" s="345">
        <f t="shared" si="1079"/>
        <v>1878.4</v>
      </c>
      <c r="J440" s="383">
        <f t="shared" si="1080"/>
        <v>1708.4</v>
      </c>
      <c r="K440" s="345">
        <f t="shared" si="1083"/>
        <v>1708.4</v>
      </c>
      <c r="L440" s="383">
        <f t="shared" ref="L440:L445" si="1092">F440+60</f>
        <v>1688.4</v>
      </c>
      <c r="M440" s="345">
        <f t="shared" si="1084"/>
        <v>1688.4</v>
      </c>
      <c r="N440" s="383">
        <f t="shared" ref="N440:N445" si="1093">F440+45</f>
        <v>1673.4</v>
      </c>
      <c r="O440" s="345">
        <f t="shared" si="1085"/>
        <v>1673.4</v>
      </c>
      <c r="P440" s="383">
        <f t="shared" ref="P440:P445" si="1094">F440+42</f>
        <v>1670.4</v>
      </c>
      <c r="Q440" s="345">
        <f t="shared" si="1086"/>
        <v>1670.4</v>
      </c>
      <c r="R440" s="383">
        <f t="shared" ref="R440:R445" si="1095">F440+39</f>
        <v>1667.4</v>
      </c>
      <c r="S440" s="345">
        <f t="shared" si="1087"/>
        <v>1667.4</v>
      </c>
      <c r="T440" s="383">
        <f t="shared" ref="T440:T445" si="1096">F440+35</f>
        <v>1663.4</v>
      </c>
      <c r="U440" s="345">
        <f t="shared" si="1088"/>
        <v>1663.4</v>
      </c>
      <c r="V440" s="383">
        <f t="shared" ref="V440:V445" si="1097">F440+30</f>
        <v>1658.4</v>
      </c>
      <c r="W440" s="345">
        <f t="shared" si="1089"/>
        <v>1658.4</v>
      </c>
      <c r="X440" s="735"/>
      <c r="Y440" s="705"/>
      <c r="Z440" s="705"/>
      <c r="AA440" s="706"/>
      <c r="AB440" s="208" t="s">
        <v>615</v>
      </c>
    </row>
    <row r="441" spans="1:31" ht="12.6" customHeight="1" x14ac:dyDescent="0.2">
      <c r="A441" s="111"/>
      <c r="B441" s="914" t="s">
        <v>789</v>
      </c>
      <c r="C441" s="919"/>
      <c r="D441" s="919"/>
      <c r="E441" s="919"/>
      <c r="F441" s="482">
        <f>1.882*X2</f>
        <v>1731.4399999999998</v>
      </c>
      <c r="G441" s="346">
        <f t="shared" si="1091"/>
        <v>1731.4399999999998</v>
      </c>
      <c r="H441" s="604">
        <f t="shared" si="1078"/>
        <v>1981.4399999999998</v>
      </c>
      <c r="I441" s="346">
        <f t="shared" si="1079"/>
        <v>1981.4399999999998</v>
      </c>
      <c r="J441" s="604">
        <f t="shared" si="1080"/>
        <v>1811.4399999999998</v>
      </c>
      <c r="K441" s="346">
        <f t="shared" si="1083"/>
        <v>1811.4399999999998</v>
      </c>
      <c r="L441" s="604">
        <f t="shared" si="1092"/>
        <v>1791.4399999999998</v>
      </c>
      <c r="M441" s="346">
        <f t="shared" si="1084"/>
        <v>1791.4399999999998</v>
      </c>
      <c r="N441" s="604">
        <f t="shared" si="1093"/>
        <v>1776.4399999999998</v>
      </c>
      <c r="O441" s="346">
        <f t="shared" si="1085"/>
        <v>1776.4399999999998</v>
      </c>
      <c r="P441" s="604">
        <f t="shared" si="1094"/>
        <v>1773.4399999999998</v>
      </c>
      <c r="Q441" s="346">
        <f t="shared" si="1086"/>
        <v>1773.4399999999998</v>
      </c>
      <c r="R441" s="604">
        <f t="shared" si="1095"/>
        <v>1770.4399999999998</v>
      </c>
      <c r="S441" s="346">
        <f t="shared" si="1087"/>
        <v>1770.4399999999998</v>
      </c>
      <c r="T441" s="604">
        <f t="shared" si="1096"/>
        <v>1766.4399999999998</v>
      </c>
      <c r="U441" s="346">
        <f t="shared" si="1088"/>
        <v>1766.4399999999998</v>
      </c>
      <c r="V441" s="604">
        <f t="shared" si="1097"/>
        <v>1761.4399999999998</v>
      </c>
      <c r="W441" s="346">
        <f t="shared" si="1089"/>
        <v>1761.4399999999998</v>
      </c>
      <c r="X441" s="735"/>
      <c r="Y441" s="735"/>
      <c r="Z441" s="735"/>
      <c r="AA441" s="735"/>
      <c r="AB441" s="534" t="s">
        <v>790</v>
      </c>
      <c r="AC441" s="69"/>
    </row>
    <row r="442" spans="1:31" ht="12.6" customHeight="1" x14ac:dyDescent="0.2">
      <c r="A442" s="111"/>
      <c r="B442" s="914" t="s">
        <v>785</v>
      </c>
      <c r="C442" s="919"/>
      <c r="D442" s="919"/>
      <c r="E442" s="919"/>
      <c r="F442" s="481">
        <f>4.75*X2</f>
        <v>4370</v>
      </c>
      <c r="G442" s="345">
        <f t="shared" ref="G442" si="1098">+F442*$X$1</f>
        <v>4370</v>
      </c>
      <c r="H442" s="383">
        <f t="shared" si="1078"/>
        <v>4620</v>
      </c>
      <c r="I442" s="345">
        <f t="shared" si="1079"/>
        <v>4620</v>
      </c>
      <c r="J442" s="383">
        <f t="shared" si="1080"/>
        <v>4450</v>
      </c>
      <c r="K442" s="345">
        <f t="shared" si="1083"/>
        <v>4450</v>
      </c>
      <c r="L442" s="383">
        <f t="shared" si="1092"/>
        <v>4430</v>
      </c>
      <c r="M442" s="345">
        <f t="shared" si="1084"/>
        <v>4430</v>
      </c>
      <c r="N442" s="383">
        <f t="shared" si="1093"/>
        <v>4415</v>
      </c>
      <c r="O442" s="345">
        <f t="shared" si="1085"/>
        <v>4415</v>
      </c>
      <c r="P442" s="383">
        <f t="shared" si="1094"/>
        <v>4412</v>
      </c>
      <c r="Q442" s="345">
        <f t="shared" si="1086"/>
        <v>4412</v>
      </c>
      <c r="R442" s="383">
        <f t="shared" si="1095"/>
        <v>4409</v>
      </c>
      <c r="S442" s="345">
        <f t="shared" si="1087"/>
        <v>4409</v>
      </c>
      <c r="T442" s="383">
        <f t="shared" si="1096"/>
        <v>4405</v>
      </c>
      <c r="U442" s="345">
        <f t="shared" si="1088"/>
        <v>4405</v>
      </c>
      <c r="V442" s="383">
        <f t="shared" si="1097"/>
        <v>4400</v>
      </c>
      <c r="W442" s="345">
        <f t="shared" si="1089"/>
        <v>4400</v>
      </c>
      <c r="X442" s="735"/>
      <c r="Y442" s="735"/>
      <c r="Z442" s="735"/>
      <c r="AA442" s="735"/>
      <c r="AB442" s="534" t="s">
        <v>786</v>
      </c>
      <c r="AC442" s="69"/>
    </row>
    <row r="443" spans="1:31" ht="12.6" customHeight="1" x14ac:dyDescent="0.2">
      <c r="A443" s="111"/>
      <c r="B443" s="914" t="s">
        <v>788</v>
      </c>
      <c r="C443" s="919"/>
      <c r="D443" s="919"/>
      <c r="E443" s="919"/>
      <c r="F443" s="482">
        <f>3.978*X2</f>
        <v>3659.76</v>
      </c>
      <c r="G443" s="346">
        <f>+F443*$X$1</f>
        <v>3659.76</v>
      </c>
      <c r="H443" s="604">
        <f t="shared" si="1078"/>
        <v>3909.76</v>
      </c>
      <c r="I443" s="346">
        <f t="shared" si="1079"/>
        <v>3909.76</v>
      </c>
      <c r="J443" s="604">
        <f t="shared" si="1080"/>
        <v>3739.76</v>
      </c>
      <c r="K443" s="346">
        <f t="shared" si="1083"/>
        <v>3739.76</v>
      </c>
      <c r="L443" s="604">
        <f t="shared" si="1092"/>
        <v>3719.76</v>
      </c>
      <c r="M443" s="346">
        <f t="shared" si="1084"/>
        <v>3719.76</v>
      </c>
      <c r="N443" s="604">
        <f t="shared" si="1093"/>
        <v>3704.76</v>
      </c>
      <c r="O443" s="346">
        <f t="shared" si="1085"/>
        <v>3704.76</v>
      </c>
      <c r="P443" s="604">
        <f t="shared" si="1094"/>
        <v>3701.76</v>
      </c>
      <c r="Q443" s="346">
        <f t="shared" si="1086"/>
        <v>3701.76</v>
      </c>
      <c r="R443" s="604">
        <f t="shared" si="1095"/>
        <v>3698.76</v>
      </c>
      <c r="S443" s="346">
        <f t="shared" si="1087"/>
        <v>3698.76</v>
      </c>
      <c r="T443" s="604">
        <f t="shared" si="1096"/>
        <v>3694.76</v>
      </c>
      <c r="U443" s="346">
        <f t="shared" si="1088"/>
        <v>3694.76</v>
      </c>
      <c r="V443" s="604">
        <f t="shared" si="1097"/>
        <v>3689.76</v>
      </c>
      <c r="W443" s="346">
        <f t="shared" si="1089"/>
        <v>3689.76</v>
      </c>
      <c r="X443" s="735"/>
      <c r="Y443" s="735"/>
      <c r="Z443" s="735"/>
      <c r="AA443" s="735"/>
      <c r="AB443" s="534" t="s">
        <v>787</v>
      </c>
      <c r="AC443" s="69"/>
    </row>
    <row r="444" spans="1:31" ht="12.6" customHeight="1" x14ac:dyDescent="0.2">
      <c r="A444" s="111"/>
      <c r="B444" s="914" t="s">
        <v>773</v>
      </c>
      <c r="C444" s="919"/>
      <c r="D444" s="919"/>
      <c r="E444" s="919"/>
      <c r="F444" s="481">
        <f>4.836*X2</f>
        <v>4449.12</v>
      </c>
      <c r="G444" s="345">
        <f t="shared" ref="G444:G448" si="1099">+F444*$X$1</f>
        <v>4449.12</v>
      </c>
      <c r="H444" s="383">
        <f t="shared" si="1078"/>
        <v>4699.12</v>
      </c>
      <c r="I444" s="345">
        <f t="shared" si="1079"/>
        <v>4699.12</v>
      </c>
      <c r="J444" s="383">
        <f t="shared" si="1080"/>
        <v>4529.12</v>
      </c>
      <c r="K444" s="345">
        <f t="shared" si="1083"/>
        <v>4529.12</v>
      </c>
      <c r="L444" s="383">
        <f t="shared" si="1092"/>
        <v>4509.12</v>
      </c>
      <c r="M444" s="345">
        <f t="shared" si="1084"/>
        <v>4509.12</v>
      </c>
      <c r="N444" s="383">
        <f t="shared" si="1093"/>
        <v>4494.12</v>
      </c>
      <c r="O444" s="345">
        <f t="shared" si="1085"/>
        <v>4494.12</v>
      </c>
      <c r="P444" s="383">
        <f t="shared" si="1094"/>
        <v>4491.12</v>
      </c>
      <c r="Q444" s="345">
        <f t="shared" si="1086"/>
        <v>4491.12</v>
      </c>
      <c r="R444" s="383">
        <f t="shared" si="1095"/>
        <v>4488.12</v>
      </c>
      <c r="S444" s="345">
        <f t="shared" si="1087"/>
        <v>4488.12</v>
      </c>
      <c r="T444" s="383">
        <f t="shared" si="1096"/>
        <v>4484.12</v>
      </c>
      <c r="U444" s="345">
        <f t="shared" si="1088"/>
        <v>4484.12</v>
      </c>
      <c r="V444" s="383">
        <f t="shared" si="1097"/>
        <v>4479.12</v>
      </c>
      <c r="W444" s="345">
        <f t="shared" si="1089"/>
        <v>4479.12</v>
      </c>
      <c r="X444" s="735"/>
      <c r="Y444" s="735"/>
      <c r="Z444" s="735"/>
      <c r="AA444" s="735"/>
      <c r="AB444" s="534" t="s">
        <v>772</v>
      </c>
      <c r="AC444" s="69"/>
    </row>
    <row r="445" spans="1:31" ht="12.6" customHeight="1" x14ac:dyDescent="0.2">
      <c r="A445" s="111"/>
      <c r="B445" s="914" t="s">
        <v>774</v>
      </c>
      <c r="C445" s="919"/>
      <c r="D445" s="919"/>
      <c r="E445" s="919"/>
      <c r="F445" s="482">
        <f>4.836*X2</f>
        <v>4449.12</v>
      </c>
      <c r="G445" s="346">
        <f t="shared" si="1099"/>
        <v>4449.12</v>
      </c>
      <c r="H445" s="604">
        <f t="shared" si="1078"/>
        <v>4699.12</v>
      </c>
      <c r="I445" s="346">
        <f t="shared" si="1079"/>
        <v>4699.12</v>
      </c>
      <c r="J445" s="604">
        <f t="shared" si="1080"/>
        <v>4529.12</v>
      </c>
      <c r="K445" s="346">
        <f t="shared" si="1083"/>
        <v>4529.12</v>
      </c>
      <c r="L445" s="604">
        <f t="shared" si="1092"/>
        <v>4509.12</v>
      </c>
      <c r="M445" s="346">
        <f t="shared" si="1084"/>
        <v>4509.12</v>
      </c>
      <c r="N445" s="604">
        <f t="shared" si="1093"/>
        <v>4494.12</v>
      </c>
      <c r="O445" s="346">
        <f t="shared" si="1085"/>
        <v>4494.12</v>
      </c>
      <c r="P445" s="604">
        <f t="shared" si="1094"/>
        <v>4491.12</v>
      </c>
      <c r="Q445" s="346">
        <f t="shared" si="1086"/>
        <v>4491.12</v>
      </c>
      <c r="R445" s="604">
        <f t="shared" si="1095"/>
        <v>4488.12</v>
      </c>
      <c r="S445" s="346">
        <f t="shared" si="1087"/>
        <v>4488.12</v>
      </c>
      <c r="T445" s="604">
        <f t="shared" si="1096"/>
        <v>4484.12</v>
      </c>
      <c r="U445" s="346">
        <f t="shared" si="1088"/>
        <v>4484.12</v>
      </c>
      <c r="V445" s="604">
        <f t="shared" si="1097"/>
        <v>4479.12</v>
      </c>
      <c r="W445" s="346">
        <f t="shared" si="1089"/>
        <v>4479.12</v>
      </c>
      <c r="X445" s="735"/>
      <c r="Y445" s="735"/>
      <c r="Z445" s="735"/>
      <c r="AA445" s="735"/>
      <c r="AB445" s="534" t="s">
        <v>771</v>
      </c>
      <c r="AC445" s="69"/>
    </row>
    <row r="446" spans="1:31" ht="12.6" customHeight="1" x14ac:dyDescent="0.2">
      <c r="A446" s="111"/>
      <c r="B446" s="1115" t="s">
        <v>778</v>
      </c>
      <c r="C446" s="1116"/>
      <c r="D446" s="1116"/>
      <c r="E446" s="1116"/>
      <c r="F446" s="481"/>
      <c r="G446" s="345"/>
      <c r="H446" s="383"/>
      <c r="I446" s="345"/>
      <c r="J446" s="383"/>
      <c r="K446" s="345"/>
      <c r="L446" s="383"/>
      <c r="M446" s="345"/>
      <c r="N446" s="383"/>
      <c r="O446" s="345"/>
      <c r="P446" s="383"/>
      <c r="Q446" s="345"/>
      <c r="R446" s="383"/>
      <c r="S446" s="345"/>
      <c r="T446" s="383"/>
      <c r="U446" s="345"/>
      <c r="V446" s="383"/>
      <c r="W446" s="345"/>
      <c r="X446" s="735"/>
      <c r="Y446" s="735"/>
      <c r="Z446" s="735"/>
      <c r="AA446" s="735"/>
      <c r="AB446" s="534" t="s">
        <v>775</v>
      </c>
      <c r="AC446" s="69"/>
    </row>
    <row r="447" spans="1:31" ht="12.6" customHeight="1" x14ac:dyDescent="0.2">
      <c r="A447" s="111"/>
      <c r="B447" s="914" t="s">
        <v>779</v>
      </c>
      <c r="C447" s="919"/>
      <c r="D447" s="919"/>
      <c r="E447" s="919"/>
      <c r="F447" s="482">
        <f>4.056*X2</f>
        <v>3731.52</v>
      </c>
      <c r="G447" s="346">
        <f t="shared" si="1099"/>
        <v>3731.52</v>
      </c>
      <c r="H447" s="604">
        <f>F447+250</f>
        <v>3981.52</v>
      </c>
      <c r="I447" s="346">
        <f>+H447*$X$1</f>
        <v>3981.52</v>
      </c>
      <c r="J447" s="604">
        <f>F447+80</f>
        <v>3811.52</v>
      </c>
      <c r="K447" s="346">
        <f t="shared" ref="K447:K448" si="1100">+J447*$X$1</f>
        <v>3811.52</v>
      </c>
      <c r="L447" s="604">
        <f>F447+60</f>
        <v>3791.52</v>
      </c>
      <c r="M447" s="346">
        <f t="shared" ref="M447:M448" si="1101">+L447*$X$1</f>
        <v>3791.52</v>
      </c>
      <c r="N447" s="604">
        <f>F447+45</f>
        <v>3776.52</v>
      </c>
      <c r="O447" s="346">
        <f t="shared" ref="O447:O448" si="1102">+N447*$X$1</f>
        <v>3776.52</v>
      </c>
      <c r="P447" s="604">
        <f>F447+42</f>
        <v>3773.52</v>
      </c>
      <c r="Q447" s="346">
        <f t="shared" ref="Q447:Q448" si="1103">+P447*$X$1</f>
        <v>3773.52</v>
      </c>
      <c r="R447" s="604">
        <f>F447+39</f>
        <v>3770.52</v>
      </c>
      <c r="S447" s="346">
        <f t="shared" ref="S447:S448" si="1104">+R447*$X$1</f>
        <v>3770.52</v>
      </c>
      <c r="T447" s="604">
        <f>F447+35</f>
        <v>3766.52</v>
      </c>
      <c r="U447" s="346">
        <f t="shared" ref="U447:U448" si="1105">+T447*$X$1</f>
        <v>3766.52</v>
      </c>
      <c r="V447" s="604">
        <f>F447+30</f>
        <v>3761.52</v>
      </c>
      <c r="W447" s="346">
        <f t="shared" ref="W447:W448" si="1106">+V447*$X$1</f>
        <v>3761.52</v>
      </c>
      <c r="X447" s="735"/>
      <c r="Y447" s="735"/>
      <c r="Z447" s="735"/>
      <c r="AA447" s="735"/>
      <c r="AB447" s="534" t="s">
        <v>776</v>
      </c>
      <c r="AC447" s="69"/>
    </row>
    <row r="448" spans="1:31" ht="12.6" customHeight="1" x14ac:dyDescent="0.2">
      <c r="A448" s="111"/>
      <c r="B448" s="914" t="s">
        <v>780</v>
      </c>
      <c r="C448" s="919"/>
      <c r="D448" s="919"/>
      <c r="E448" s="919"/>
      <c r="F448" s="481">
        <f>4.056*X2</f>
        <v>3731.52</v>
      </c>
      <c r="G448" s="345">
        <f t="shared" si="1099"/>
        <v>3731.52</v>
      </c>
      <c r="H448" s="383">
        <f>F448+250</f>
        <v>3981.52</v>
      </c>
      <c r="I448" s="345">
        <f>+H448*$X$1</f>
        <v>3981.52</v>
      </c>
      <c r="J448" s="383">
        <f>F448+80</f>
        <v>3811.52</v>
      </c>
      <c r="K448" s="345">
        <f t="shared" si="1100"/>
        <v>3811.52</v>
      </c>
      <c r="L448" s="383">
        <f>F448+60</f>
        <v>3791.52</v>
      </c>
      <c r="M448" s="345">
        <f t="shared" si="1101"/>
        <v>3791.52</v>
      </c>
      <c r="N448" s="383">
        <f>F448+45</f>
        <v>3776.52</v>
      </c>
      <c r="O448" s="345">
        <f t="shared" si="1102"/>
        <v>3776.52</v>
      </c>
      <c r="P448" s="383">
        <f>F448+42</f>
        <v>3773.52</v>
      </c>
      <c r="Q448" s="345">
        <f t="shared" si="1103"/>
        <v>3773.52</v>
      </c>
      <c r="R448" s="383">
        <f>F448+39</f>
        <v>3770.52</v>
      </c>
      <c r="S448" s="345">
        <f t="shared" si="1104"/>
        <v>3770.52</v>
      </c>
      <c r="T448" s="383">
        <f>F448+35</f>
        <v>3766.52</v>
      </c>
      <c r="U448" s="345">
        <f t="shared" si="1105"/>
        <v>3766.52</v>
      </c>
      <c r="V448" s="383">
        <f>F448+30</f>
        <v>3761.52</v>
      </c>
      <c r="W448" s="345">
        <f t="shared" si="1106"/>
        <v>3761.52</v>
      </c>
      <c r="X448" s="735"/>
      <c r="Y448" s="735"/>
      <c r="Z448" s="735"/>
      <c r="AA448" s="735"/>
      <c r="AB448" s="534" t="s">
        <v>777</v>
      </c>
      <c r="AC448" s="69"/>
    </row>
    <row r="449" spans="1:29" ht="12.6" customHeight="1" x14ac:dyDescent="0.2">
      <c r="A449" s="111"/>
      <c r="B449" s="1081" t="s">
        <v>781</v>
      </c>
      <c r="C449" s="1082"/>
      <c r="D449" s="1082"/>
      <c r="E449" s="1082"/>
      <c r="F449" s="482"/>
      <c r="G449" s="346"/>
      <c r="H449" s="604"/>
      <c r="I449" s="346"/>
      <c r="J449" s="604"/>
      <c r="K449" s="346"/>
      <c r="L449" s="604"/>
      <c r="M449" s="346"/>
      <c r="N449" s="604"/>
      <c r="O449" s="346"/>
      <c r="P449" s="604"/>
      <c r="Q449" s="346"/>
      <c r="R449" s="604"/>
      <c r="S449" s="346"/>
      <c r="T449" s="604"/>
      <c r="U449" s="346"/>
      <c r="V449" s="604"/>
      <c r="W449" s="346"/>
      <c r="X449" s="735"/>
      <c r="Y449" s="735"/>
      <c r="Z449" s="735"/>
      <c r="AA449" s="735"/>
      <c r="AB449" s="534" t="s">
        <v>782</v>
      </c>
      <c r="AC449" s="69"/>
    </row>
    <row r="450" spans="1:29" ht="12.6" customHeight="1" x14ac:dyDescent="0.2">
      <c r="A450" s="20"/>
      <c r="B450" s="1274" t="s">
        <v>287</v>
      </c>
      <c r="C450" s="1275"/>
      <c r="D450" s="1275"/>
      <c r="E450" s="1275"/>
      <c r="F450" s="1275"/>
      <c r="G450" s="1275"/>
      <c r="H450" s="1275"/>
      <c r="I450" s="1275"/>
      <c r="J450" s="1275"/>
      <c r="K450" s="1275"/>
      <c r="L450" s="1275"/>
      <c r="M450" s="1275"/>
      <c r="N450" s="1275"/>
      <c r="O450" s="1275"/>
      <c r="P450" s="1275"/>
      <c r="Q450" s="1275"/>
      <c r="R450" s="1275"/>
      <c r="S450" s="1275"/>
      <c r="T450" s="1275"/>
      <c r="U450" s="1275"/>
      <c r="V450" s="1275"/>
      <c r="W450" s="1276"/>
      <c r="X450" s="1279"/>
      <c r="Y450" s="1280"/>
      <c r="Z450" s="1280"/>
      <c r="AA450" s="1280"/>
      <c r="AB450" s="555"/>
    </row>
    <row r="451" spans="1:29" ht="12.6" customHeight="1" x14ac:dyDescent="0.2">
      <c r="A451" s="20"/>
      <c r="B451" s="799" t="s">
        <v>288</v>
      </c>
      <c r="C451" s="800"/>
      <c r="D451" s="800"/>
      <c r="E451" s="800"/>
      <c r="F451" s="388">
        <v>3150</v>
      </c>
      <c r="G451" s="346">
        <f t="shared" ref="G451:G457" si="1107">+F451*$X$1</f>
        <v>3150</v>
      </c>
      <c r="H451" s="335"/>
      <c r="I451" s="421"/>
      <c r="J451" s="478">
        <f>F451+66</f>
        <v>3216</v>
      </c>
      <c r="K451" s="346"/>
      <c r="L451" s="582">
        <f t="shared" ref="L451:L464" si="1108">F451+280</f>
        <v>3430</v>
      </c>
      <c r="M451" s="346">
        <f t="shared" ref="M451:M464" si="1109">+L451*$X$1</f>
        <v>3430</v>
      </c>
      <c r="N451" s="582">
        <f t="shared" ref="N451:N464" si="1110">F451+250</f>
        <v>3400</v>
      </c>
      <c r="O451" s="346">
        <f t="shared" ref="O451:O456" si="1111">+N451*$X$1</f>
        <v>3400</v>
      </c>
      <c r="P451" s="582">
        <f t="shared" ref="P451:P464" si="1112">F451+230</f>
        <v>3380</v>
      </c>
      <c r="Q451" s="346">
        <f t="shared" ref="Q451:Q456" si="1113">+P451*$X$1</f>
        <v>3380</v>
      </c>
      <c r="R451" s="582">
        <f t="shared" ref="R451:R464" si="1114">F451+210</f>
        <v>3360</v>
      </c>
      <c r="S451" s="346">
        <f t="shared" ref="S451:S456" si="1115">+R451*$X$1</f>
        <v>3360</v>
      </c>
      <c r="T451" s="582">
        <f t="shared" ref="T451:T464" si="1116">F451+190</f>
        <v>3340</v>
      </c>
      <c r="U451" s="346">
        <f t="shared" ref="U451:U456" si="1117">+T451*$X$1</f>
        <v>3340</v>
      </c>
      <c r="V451" s="93"/>
      <c r="W451" s="422"/>
      <c r="X451" s="159"/>
      <c r="Y451" s="141"/>
      <c r="Z451" s="141"/>
      <c r="AA451" s="141"/>
      <c r="AB451" s="208" t="s">
        <v>289</v>
      </c>
    </row>
    <row r="452" spans="1:29" ht="12.6" customHeight="1" x14ac:dyDescent="0.2">
      <c r="A452" s="20"/>
      <c r="B452" s="1259" t="s">
        <v>290</v>
      </c>
      <c r="C452" s="1260"/>
      <c r="D452" s="1260"/>
      <c r="E452" s="1260"/>
      <c r="F452" s="443">
        <v>4410</v>
      </c>
      <c r="G452" s="345">
        <f t="shared" si="1107"/>
        <v>4410</v>
      </c>
      <c r="H452" s="341"/>
      <c r="I452" s="425"/>
      <c r="J452" s="383">
        <f>F452+66</f>
        <v>4476</v>
      </c>
      <c r="K452" s="345"/>
      <c r="L452" s="383">
        <f t="shared" si="1108"/>
        <v>4690</v>
      </c>
      <c r="M452" s="345">
        <f t="shared" si="1109"/>
        <v>4690</v>
      </c>
      <c r="N452" s="383">
        <f t="shared" si="1110"/>
        <v>4660</v>
      </c>
      <c r="O452" s="345">
        <f t="shared" si="1111"/>
        <v>4660</v>
      </c>
      <c r="P452" s="383">
        <f t="shared" si="1112"/>
        <v>4640</v>
      </c>
      <c r="Q452" s="345">
        <f t="shared" si="1113"/>
        <v>4640</v>
      </c>
      <c r="R452" s="383">
        <f t="shared" si="1114"/>
        <v>4620</v>
      </c>
      <c r="S452" s="345">
        <f t="shared" si="1115"/>
        <v>4620</v>
      </c>
      <c r="T452" s="383">
        <f t="shared" si="1116"/>
        <v>4600</v>
      </c>
      <c r="U452" s="345">
        <f t="shared" si="1117"/>
        <v>4600</v>
      </c>
      <c r="V452" s="75"/>
      <c r="W452" s="423"/>
      <c r="X452" s="159"/>
      <c r="Y452" s="141"/>
      <c r="Z452" s="141"/>
      <c r="AA452" s="141"/>
      <c r="AB452" s="555"/>
    </row>
    <row r="453" spans="1:29" ht="12.6" customHeight="1" x14ac:dyDescent="0.2">
      <c r="A453" s="20"/>
      <c r="B453" s="712" t="s">
        <v>291</v>
      </c>
      <c r="C453" s="699"/>
      <c r="D453" s="699"/>
      <c r="E453" s="699"/>
      <c r="F453" s="346">
        <v>3420</v>
      </c>
      <c r="G453" s="346">
        <f t="shared" si="1107"/>
        <v>3420</v>
      </c>
      <c r="H453" s="335"/>
      <c r="I453" s="421"/>
      <c r="J453" s="478">
        <f>F453+80</f>
        <v>3500</v>
      </c>
      <c r="K453" s="346"/>
      <c r="L453" s="582">
        <f t="shared" si="1108"/>
        <v>3700</v>
      </c>
      <c r="M453" s="346">
        <f t="shared" si="1109"/>
        <v>3700</v>
      </c>
      <c r="N453" s="582">
        <f t="shared" si="1110"/>
        <v>3670</v>
      </c>
      <c r="O453" s="346">
        <f t="shared" si="1111"/>
        <v>3670</v>
      </c>
      <c r="P453" s="582">
        <f t="shared" si="1112"/>
        <v>3650</v>
      </c>
      <c r="Q453" s="346">
        <f t="shared" si="1113"/>
        <v>3650</v>
      </c>
      <c r="R453" s="582">
        <f t="shared" si="1114"/>
        <v>3630</v>
      </c>
      <c r="S453" s="346">
        <f t="shared" si="1115"/>
        <v>3630</v>
      </c>
      <c r="T453" s="582">
        <f t="shared" si="1116"/>
        <v>3610</v>
      </c>
      <c r="U453" s="346">
        <f t="shared" si="1117"/>
        <v>3610</v>
      </c>
      <c r="V453" s="93"/>
      <c r="W453" s="422"/>
      <c r="X453" s="159"/>
      <c r="Y453" s="141"/>
      <c r="Z453" s="141"/>
      <c r="AA453" s="141"/>
      <c r="AB453" s="208" t="s">
        <v>292</v>
      </c>
    </row>
    <row r="454" spans="1:29" ht="12.6" customHeight="1" x14ac:dyDescent="0.2">
      <c r="A454" s="20"/>
      <c r="B454" s="1259" t="s">
        <v>293</v>
      </c>
      <c r="C454" s="1260"/>
      <c r="D454" s="1260"/>
      <c r="E454" s="1260"/>
      <c r="F454" s="443">
        <v>4870</v>
      </c>
      <c r="G454" s="345">
        <f t="shared" si="1107"/>
        <v>4870</v>
      </c>
      <c r="H454" s="341"/>
      <c r="I454" s="425"/>
      <c r="J454" s="383">
        <f>F454+80</f>
        <v>4950</v>
      </c>
      <c r="K454" s="345"/>
      <c r="L454" s="383">
        <f t="shared" si="1108"/>
        <v>5150</v>
      </c>
      <c r="M454" s="345">
        <f t="shared" si="1109"/>
        <v>5150</v>
      </c>
      <c r="N454" s="383">
        <f t="shared" si="1110"/>
        <v>5120</v>
      </c>
      <c r="O454" s="345">
        <f t="shared" si="1111"/>
        <v>5120</v>
      </c>
      <c r="P454" s="383">
        <f t="shared" si="1112"/>
        <v>5100</v>
      </c>
      <c r="Q454" s="345">
        <f t="shared" si="1113"/>
        <v>5100</v>
      </c>
      <c r="R454" s="383">
        <f t="shared" si="1114"/>
        <v>5080</v>
      </c>
      <c r="S454" s="345">
        <f t="shared" si="1115"/>
        <v>5080</v>
      </c>
      <c r="T454" s="383">
        <f t="shared" si="1116"/>
        <v>5060</v>
      </c>
      <c r="U454" s="345">
        <f t="shared" si="1117"/>
        <v>5060</v>
      </c>
      <c r="V454" s="41"/>
      <c r="W454" s="424"/>
      <c r="X454" s="159"/>
      <c r="Y454" s="141"/>
      <c r="Z454" s="141"/>
      <c r="AA454" s="141"/>
      <c r="AB454" s="555"/>
    </row>
    <row r="455" spans="1:29" ht="12.6" customHeight="1" x14ac:dyDescent="0.2">
      <c r="A455" s="20"/>
      <c r="B455" s="712" t="s">
        <v>758</v>
      </c>
      <c r="C455" s="699"/>
      <c r="D455" s="699"/>
      <c r="E455" s="699"/>
      <c r="F455" s="346">
        <v>4622</v>
      </c>
      <c r="G455" s="346">
        <f t="shared" si="1107"/>
        <v>4622</v>
      </c>
      <c r="H455" s="335"/>
      <c r="I455" s="421"/>
      <c r="J455" s="478">
        <f>F455+66</f>
        <v>4688</v>
      </c>
      <c r="K455" s="346"/>
      <c r="L455" s="582">
        <f t="shared" si="1108"/>
        <v>4902</v>
      </c>
      <c r="M455" s="346">
        <f t="shared" si="1109"/>
        <v>4902</v>
      </c>
      <c r="N455" s="582">
        <f t="shared" si="1110"/>
        <v>4872</v>
      </c>
      <c r="O455" s="346">
        <f t="shared" si="1111"/>
        <v>4872</v>
      </c>
      <c r="P455" s="582">
        <f t="shared" si="1112"/>
        <v>4852</v>
      </c>
      <c r="Q455" s="346">
        <f t="shared" si="1113"/>
        <v>4852</v>
      </c>
      <c r="R455" s="582">
        <f t="shared" si="1114"/>
        <v>4832</v>
      </c>
      <c r="S455" s="346">
        <f t="shared" si="1115"/>
        <v>4832</v>
      </c>
      <c r="T455" s="582">
        <f t="shared" si="1116"/>
        <v>4812</v>
      </c>
      <c r="U455" s="346">
        <f t="shared" si="1117"/>
        <v>4812</v>
      </c>
      <c r="V455" s="93"/>
      <c r="W455" s="422"/>
      <c r="X455" s="159"/>
      <c r="Y455" s="141"/>
      <c r="Z455" s="141"/>
      <c r="AA455" s="141"/>
      <c r="AB455" s="208" t="s">
        <v>294</v>
      </c>
    </row>
    <row r="456" spans="1:29" ht="12.6" customHeight="1" x14ac:dyDescent="0.2">
      <c r="A456" s="20"/>
      <c r="B456" s="1261" t="s">
        <v>759</v>
      </c>
      <c r="C456" s="1262"/>
      <c r="D456" s="1262"/>
      <c r="E456" s="1262"/>
      <c r="F456" s="345">
        <v>5105</v>
      </c>
      <c r="G456" s="345">
        <f t="shared" si="1107"/>
        <v>5105</v>
      </c>
      <c r="H456" s="341"/>
      <c r="I456" s="425"/>
      <c r="J456" s="383">
        <f>F456+80</f>
        <v>5185</v>
      </c>
      <c r="K456" s="345"/>
      <c r="L456" s="383">
        <f t="shared" si="1108"/>
        <v>5385</v>
      </c>
      <c r="M456" s="345">
        <f t="shared" si="1109"/>
        <v>5385</v>
      </c>
      <c r="N456" s="383">
        <f t="shared" si="1110"/>
        <v>5355</v>
      </c>
      <c r="O456" s="345">
        <f t="shared" si="1111"/>
        <v>5355</v>
      </c>
      <c r="P456" s="383">
        <f t="shared" si="1112"/>
        <v>5335</v>
      </c>
      <c r="Q456" s="345">
        <f t="shared" si="1113"/>
        <v>5335</v>
      </c>
      <c r="R456" s="383">
        <f t="shared" si="1114"/>
        <v>5315</v>
      </c>
      <c r="S456" s="345">
        <f t="shared" si="1115"/>
        <v>5315</v>
      </c>
      <c r="T456" s="383">
        <f t="shared" si="1116"/>
        <v>5295</v>
      </c>
      <c r="U456" s="345">
        <f t="shared" si="1117"/>
        <v>5295</v>
      </c>
      <c r="V456" s="41"/>
      <c r="W456" s="424"/>
      <c r="X456" s="159"/>
      <c r="Y456" s="141"/>
      <c r="Z456" s="141"/>
      <c r="AA456" s="141"/>
      <c r="AB456" s="208" t="s">
        <v>295</v>
      </c>
    </row>
    <row r="457" spans="1:29" ht="12.6" customHeight="1" x14ac:dyDescent="0.25">
      <c r="A457" s="20"/>
      <c r="B457" s="712" t="s">
        <v>378</v>
      </c>
      <c r="C457" s="699"/>
      <c r="D457" s="699"/>
      <c r="E457" s="699"/>
      <c r="F457" s="482">
        <f>6.83*X2</f>
        <v>6283.6</v>
      </c>
      <c r="G457" s="346">
        <f t="shared" si="1107"/>
        <v>6283.6</v>
      </c>
      <c r="H457" s="582">
        <f t="shared" ref="H457:H464" si="1118">F457+400</f>
        <v>6683.6</v>
      </c>
      <c r="I457" s="346">
        <f t="shared" ref="I457:I464" si="1119">+H457*$X$1</f>
        <v>6683.6</v>
      </c>
      <c r="J457" s="582">
        <f t="shared" ref="J457:J464" si="1120">F457+320</f>
        <v>6603.6</v>
      </c>
      <c r="K457" s="346">
        <f t="shared" ref="K457:K464" si="1121">+J457*$X$1</f>
        <v>6603.6</v>
      </c>
      <c r="L457" s="582">
        <f t="shared" si="1108"/>
        <v>6563.6</v>
      </c>
      <c r="M457" s="346">
        <f t="shared" si="1109"/>
        <v>6563.6</v>
      </c>
      <c r="N457" s="582">
        <f t="shared" si="1110"/>
        <v>6533.6</v>
      </c>
      <c r="O457" s="346">
        <f t="shared" ref="O457:O464" si="1122">+N457*$X$1</f>
        <v>6533.6</v>
      </c>
      <c r="P457" s="582">
        <f t="shared" si="1112"/>
        <v>6513.6</v>
      </c>
      <c r="Q457" s="346">
        <f t="shared" ref="Q457:Q464" si="1123">+P457*$X$1</f>
        <v>6513.6</v>
      </c>
      <c r="R457" s="582">
        <f t="shared" si="1114"/>
        <v>6493.6</v>
      </c>
      <c r="S457" s="346">
        <f t="shared" ref="S457:S464" si="1124">+R457*$X$1</f>
        <v>6493.6</v>
      </c>
      <c r="T457" s="582">
        <f t="shared" si="1116"/>
        <v>6473.6</v>
      </c>
      <c r="U457" s="346">
        <f t="shared" ref="U457:U464" si="1125">+T457*$X$1</f>
        <v>6473.6</v>
      </c>
      <c r="V457" s="582">
        <f t="shared" ref="V457:V464" si="1126">F457+175</f>
        <v>6458.6</v>
      </c>
      <c r="W457" s="346">
        <f t="shared" ref="W457:W464" si="1127">+V457*$X$1</f>
        <v>6458.6</v>
      </c>
      <c r="X457" s="816"/>
      <c r="Y457" s="1169"/>
      <c r="Z457" s="1169"/>
      <c r="AA457" s="1169"/>
      <c r="AB457" s="208" t="s">
        <v>296</v>
      </c>
    </row>
    <row r="458" spans="1:29" ht="12.6" customHeight="1" x14ac:dyDescent="0.25">
      <c r="A458" s="20"/>
      <c r="B458" s="1265" t="s">
        <v>602</v>
      </c>
      <c r="C458" s="717"/>
      <c r="D458" s="717"/>
      <c r="E458" s="718"/>
      <c r="F458" s="401">
        <v>2925</v>
      </c>
      <c r="G458" s="345">
        <f t="shared" ref="G458" si="1128">+F458*$X$1</f>
        <v>2925</v>
      </c>
      <c r="H458" s="383">
        <f t="shared" si="1118"/>
        <v>3325</v>
      </c>
      <c r="I458" s="345">
        <f t="shared" si="1119"/>
        <v>3325</v>
      </c>
      <c r="J458" s="383">
        <f t="shared" si="1120"/>
        <v>3245</v>
      </c>
      <c r="K458" s="345">
        <f t="shared" si="1121"/>
        <v>3245</v>
      </c>
      <c r="L458" s="383">
        <f t="shared" si="1108"/>
        <v>3205</v>
      </c>
      <c r="M458" s="345">
        <f t="shared" si="1109"/>
        <v>3205</v>
      </c>
      <c r="N458" s="383">
        <f t="shared" si="1110"/>
        <v>3175</v>
      </c>
      <c r="O458" s="345">
        <f t="shared" si="1122"/>
        <v>3175</v>
      </c>
      <c r="P458" s="383">
        <f t="shared" si="1112"/>
        <v>3155</v>
      </c>
      <c r="Q458" s="345">
        <f t="shared" si="1123"/>
        <v>3155</v>
      </c>
      <c r="R458" s="383">
        <f t="shared" si="1114"/>
        <v>3135</v>
      </c>
      <c r="S458" s="345">
        <f t="shared" si="1124"/>
        <v>3135</v>
      </c>
      <c r="T458" s="383">
        <f t="shared" si="1116"/>
        <v>3115</v>
      </c>
      <c r="U458" s="345">
        <f t="shared" si="1125"/>
        <v>3115</v>
      </c>
      <c r="V458" s="383">
        <f t="shared" si="1126"/>
        <v>3100</v>
      </c>
      <c r="W458" s="345">
        <f t="shared" si="1127"/>
        <v>3100</v>
      </c>
      <c r="X458" s="816"/>
      <c r="Y458" s="1169"/>
      <c r="Z458" s="1169"/>
      <c r="AA458" s="1169"/>
      <c r="AB458" s="208" t="s">
        <v>526</v>
      </c>
    </row>
    <row r="459" spans="1:29" ht="12.6" customHeight="1" x14ac:dyDescent="0.2">
      <c r="A459" s="20"/>
      <c r="B459" s="712" t="s">
        <v>446</v>
      </c>
      <c r="C459" s="699"/>
      <c r="D459" s="699"/>
      <c r="E459" s="699"/>
      <c r="F459" s="346">
        <v>4700</v>
      </c>
      <c r="G459" s="346">
        <f>+F459*$X$1</f>
        <v>4700</v>
      </c>
      <c r="H459" s="582">
        <f t="shared" si="1118"/>
        <v>5100</v>
      </c>
      <c r="I459" s="346">
        <f t="shared" si="1119"/>
        <v>5100</v>
      </c>
      <c r="J459" s="582">
        <f t="shared" si="1120"/>
        <v>5020</v>
      </c>
      <c r="K459" s="346">
        <f t="shared" si="1121"/>
        <v>5020</v>
      </c>
      <c r="L459" s="582">
        <f t="shared" si="1108"/>
        <v>4980</v>
      </c>
      <c r="M459" s="346">
        <f t="shared" si="1109"/>
        <v>4980</v>
      </c>
      <c r="N459" s="582">
        <f t="shared" si="1110"/>
        <v>4950</v>
      </c>
      <c r="O459" s="346">
        <f t="shared" si="1122"/>
        <v>4950</v>
      </c>
      <c r="P459" s="582">
        <f t="shared" si="1112"/>
        <v>4930</v>
      </c>
      <c r="Q459" s="346">
        <f t="shared" si="1123"/>
        <v>4930</v>
      </c>
      <c r="R459" s="582">
        <f t="shared" si="1114"/>
        <v>4910</v>
      </c>
      <c r="S459" s="346">
        <f t="shared" si="1124"/>
        <v>4910</v>
      </c>
      <c r="T459" s="582">
        <f t="shared" si="1116"/>
        <v>4890</v>
      </c>
      <c r="U459" s="346">
        <f t="shared" si="1125"/>
        <v>4890</v>
      </c>
      <c r="V459" s="582">
        <f t="shared" si="1126"/>
        <v>4875</v>
      </c>
      <c r="W459" s="346">
        <f t="shared" si="1127"/>
        <v>4875</v>
      </c>
      <c r="X459" s="739"/>
      <c r="Y459" s="740"/>
      <c r="Z459" s="740"/>
      <c r="AA459" s="741"/>
      <c r="AB459" s="208" t="s">
        <v>297</v>
      </c>
    </row>
    <row r="460" spans="1:29" ht="12.6" customHeight="1" x14ac:dyDescent="0.25">
      <c r="A460" s="20"/>
      <c r="B460" s="801" t="s">
        <v>445</v>
      </c>
      <c r="C460" s="963"/>
      <c r="D460" s="963"/>
      <c r="E460" s="963"/>
      <c r="F460" s="345">
        <v>4700</v>
      </c>
      <c r="G460" s="345">
        <f t="shared" ref="G460" si="1129">+F460*$X$1</f>
        <v>4700</v>
      </c>
      <c r="H460" s="383">
        <f t="shared" si="1118"/>
        <v>5100</v>
      </c>
      <c r="I460" s="345">
        <f t="shared" si="1119"/>
        <v>5100</v>
      </c>
      <c r="J460" s="383">
        <f t="shared" si="1120"/>
        <v>5020</v>
      </c>
      <c r="K460" s="345">
        <f t="shared" si="1121"/>
        <v>5020</v>
      </c>
      <c r="L460" s="383">
        <f t="shared" si="1108"/>
        <v>4980</v>
      </c>
      <c r="M460" s="345">
        <f t="shared" si="1109"/>
        <v>4980</v>
      </c>
      <c r="N460" s="383">
        <f t="shared" si="1110"/>
        <v>4950</v>
      </c>
      <c r="O460" s="345">
        <f t="shared" si="1122"/>
        <v>4950</v>
      </c>
      <c r="P460" s="383">
        <f t="shared" si="1112"/>
        <v>4930</v>
      </c>
      <c r="Q460" s="345">
        <f t="shared" si="1123"/>
        <v>4930</v>
      </c>
      <c r="R460" s="383">
        <f t="shared" si="1114"/>
        <v>4910</v>
      </c>
      <c r="S460" s="345">
        <f t="shared" si="1124"/>
        <v>4910</v>
      </c>
      <c r="T460" s="383">
        <f t="shared" si="1116"/>
        <v>4890</v>
      </c>
      <c r="U460" s="345">
        <f t="shared" si="1125"/>
        <v>4890</v>
      </c>
      <c r="V460" s="383">
        <f t="shared" si="1126"/>
        <v>4875</v>
      </c>
      <c r="W460" s="345">
        <f t="shared" si="1127"/>
        <v>4875</v>
      </c>
      <c r="X460" s="816"/>
      <c r="Y460" s="1169"/>
      <c r="Z460" s="1169"/>
      <c r="AA460" s="1169"/>
      <c r="AB460" s="208" t="s">
        <v>298</v>
      </c>
    </row>
    <row r="461" spans="1:29" ht="12.6" customHeight="1" x14ac:dyDescent="0.25">
      <c r="A461" s="20"/>
      <c r="B461" s="916" t="s">
        <v>642</v>
      </c>
      <c r="C461" s="775"/>
      <c r="D461" s="775"/>
      <c r="E461" s="776"/>
      <c r="F461" s="578">
        <v>2925</v>
      </c>
      <c r="G461" s="346">
        <f>+F461*$X$1</f>
        <v>2925</v>
      </c>
      <c r="H461" s="582">
        <f t="shared" si="1118"/>
        <v>3325</v>
      </c>
      <c r="I461" s="346">
        <f t="shared" si="1119"/>
        <v>3325</v>
      </c>
      <c r="J461" s="582">
        <f t="shared" si="1120"/>
        <v>3245</v>
      </c>
      <c r="K461" s="346">
        <f t="shared" si="1121"/>
        <v>3245</v>
      </c>
      <c r="L461" s="582">
        <f t="shared" si="1108"/>
        <v>3205</v>
      </c>
      <c r="M461" s="346">
        <f t="shared" si="1109"/>
        <v>3205</v>
      </c>
      <c r="N461" s="582">
        <f t="shared" si="1110"/>
        <v>3175</v>
      </c>
      <c r="O461" s="346">
        <f t="shared" si="1122"/>
        <v>3175</v>
      </c>
      <c r="P461" s="582">
        <f t="shared" si="1112"/>
        <v>3155</v>
      </c>
      <c r="Q461" s="346">
        <f t="shared" si="1123"/>
        <v>3155</v>
      </c>
      <c r="R461" s="582">
        <f t="shared" si="1114"/>
        <v>3135</v>
      </c>
      <c r="S461" s="346">
        <f t="shared" si="1124"/>
        <v>3135</v>
      </c>
      <c r="T461" s="582">
        <f t="shared" si="1116"/>
        <v>3115</v>
      </c>
      <c r="U461" s="346">
        <f t="shared" si="1125"/>
        <v>3115</v>
      </c>
      <c r="V461" s="582">
        <f t="shared" si="1126"/>
        <v>3100</v>
      </c>
      <c r="W461" s="346">
        <f t="shared" si="1127"/>
        <v>3100</v>
      </c>
      <c r="X461" s="816"/>
      <c r="Y461" s="1169"/>
      <c r="Z461" s="1169"/>
      <c r="AA461" s="1169"/>
      <c r="AB461" s="31"/>
    </row>
    <row r="462" spans="1:29" ht="12.6" customHeight="1" x14ac:dyDescent="0.25">
      <c r="A462" s="20"/>
      <c r="B462" s="719" t="s">
        <v>377</v>
      </c>
      <c r="C462" s="720"/>
      <c r="D462" s="720"/>
      <c r="E462" s="720"/>
      <c r="F462" s="345"/>
      <c r="G462" s="345"/>
      <c r="H462" s="383"/>
      <c r="I462" s="345"/>
      <c r="J462" s="383"/>
      <c r="K462" s="345"/>
      <c r="L462" s="383"/>
      <c r="M462" s="345"/>
      <c r="N462" s="383"/>
      <c r="O462" s="345"/>
      <c r="P462" s="383"/>
      <c r="Q462" s="345"/>
      <c r="R462" s="383"/>
      <c r="S462" s="345"/>
      <c r="T462" s="383"/>
      <c r="U462" s="345"/>
      <c r="V462" s="383"/>
      <c r="W462" s="345"/>
      <c r="X462" s="816"/>
      <c r="Y462" s="1169"/>
      <c r="Z462" s="1169"/>
      <c r="AA462" s="1169"/>
      <c r="AB462" s="208" t="s">
        <v>299</v>
      </c>
    </row>
    <row r="463" spans="1:29" ht="12.6" customHeight="1" x14ac:dyDescent="0.2">
      <c r="A463" s="20"/>
      <c r="B463" s="712" t="s">
        <v>915</v>
      </c>
      <c r="C463" s="1263"/>
      <c r="D463" s="1263"/>
      <c r="E463" s="1263"/>
      <c r="F463" s="346">
        <v>12780</v>
      </c>
      <c r="G463" s="346">
        <f>+F463*$X$1</f>
        <v>12780</v>
      </c>
      <c r="H463" s="582">
        <f t="shared" si="1118"/>
        <v>13180</v>
      </c>
      <c r="I463" s="346">
        <f t="shared" si="1119"/>
        <v>13180</v>
      </c>
      <c r="J463" s="582">
        <f t="shared" si="1120"/>
        <v>13100</v>
      </c>
      <c r="K463" s="346">
        <f t="shared" si="1121"/>
        <v>13100</v>
      </c>
      <c r="L463" s="582">
        <f t="shared" si="1108"/>
        <v>13060</v>
      </c>
      <c r="M463" s="346">
        <f t="shared" si="1109"/>
        <v>13060</v>
      </c>
      <c r="N463" s="582">
        <f t="shared" si="1110"/>
        <v>13030</v>
      </c>
      <c r="O463" s="346">
        <f t="shared" si="1122"/>
        <v>13030</v>
      </c>
      <c r="P463" s="582">
        <f t="shared" si="1112"/>
        <v>13010</v>
      </c>
      <c r="Q463" s="346">
        <f t="shared" si="1123"/>
        <v>13010</v>
      </c>
      <c r="R463" s="582">
        <f t="shared" si="1114"/>
        <v>12990</v>
      </c>
      <c r="S463" s="346">
        <f t="shared" si="1124"/>
        <v>12990</v>
      </c>
      <c r="T463" s="582">
        <f t="shared" si="1116"/>
        <v>12970</v>
      </c>
      <c r="U463" s="346">
        <f t="shared" si="1125"/>
        <v>12970</v>
      </c>
      <c r="V463" s="582">
        <f t="shared" si="1126"/>
        <v>12955</v>
      </c>
      <c r="W463" s="346">
        <f t="shared" si="1127"/>
        <v>12955</v>
      </c>
      <c r="X463" s="160"/>
      <c r="Y463" s="145"/>
      <c r="Z463" s="145"/>
      <c r="AA463" s="148"/>
      <c r="AB463" s="208" t="s">
        <v>300</v>
      </c>
    </row>
    <row r="464" spans="1:29" ht="12.6" customHeight="1" x14ac:dyDescent="0.2">
      <c r="A464" s="20"/>
      <c r="B464" s="719" t="s">
        <v>916</v>
      </c>
      <c r="C464" s="1264"/>
      <c r="D464" s="1264"/>
      <c r="E464" s="1264"/>
      <c r="F464" s="345">
        <v>14300</v>
      </c>
      <c r="G464" s="345">
        <f t="shared" ref="G464" si="1130">+F464*$X$1</f>
        <v>14300</v>
      </c>
      <c r="H464" s="383">
        <f t="shared" si="1118"/>
        <v>14700</v>
      </c>
      <c r="I464" s="345">
        <f t="shared" si="1119"/>
        <v>14700</v>
      </c>
      <c r="J464" s="383">
        <f t="shared" si="1120"/>
        <v>14620</v>
      </c>
      <c r="K464" s="345">
        <f t="shared" si="1121"/>
        <v>14620</v>
      </c>
      <c r="L464" s="383">
        <f t="shared" si="1108"/>
        <v>14580</v>
      </c>
      <c r="M464" s="345">
        <f t="shared" si="1109"/>
        <v>14580</v>
      </c>
      <c r="N464" s="383">
        <f t="shared" si="1110"/>
        <v>14550</v>
      </c>
      <c r="O464" s="345">
        <f t="shared" si="1122"/>
        <v>14550</v>
      </c>
      <c r="P464" s="383">
        <f t="shared" si="1112"/>
        <v>14530</v>
      </c>
      <c r="Q464" s="345">
        <f t="shared" si="1123"/>
        <v>14530</v>
      </c>
      <c r="R464" s="383">
        <f t="shared" si="1114"/>
        <v>14510</v>
      </c>
      <c r="S464" s="345">
        <f t="shared" si="1124"/>
        <v>14510</v>
      </c>
      <c r="T464" s="383">
        <f t="shared" si="1116"/>
        <v>14490</v>
      </c>
      <c r="U464" s="345">
        <f t="shared" si="1125"/>
        <v>14490</v>
      </c>
      <c r="V464" s="383">
        <f t="shared" si="1126"/>
        <v>14475</v>
      </c>
      <c r="W464" s="345">
        <f t="shared" si="1127"/>
        <v>14475</v>
      </c>
      <c r="X464" s="160"/>
      <c r="Y464" s="145"/>
      <c r="Z464" s="145"/>
      <c r="AA464" s="148"/>
      <c r="AB464" s="208" t="s">
        <v>301</v>
      </c>
    </row>
    <row r="465" spans="1:34" ht="12.6" customHeight="1" x14ac:dyDescent="0.2">
      <c r="A465" s="20"/>
      <c r="B465" s="799" t="s">
        <v>424</v>
      </c>
      <c r="C465" s="800"/>
      <c r="D465" s="800"/>
      <c r="E465" s="800"/>
      <c r="F465" s="388"/>
      <c r="G465" s="388"/>
      <c r="H465" s="363"/>
      <c r="I465" s="467"/>
      <c r="J465" s="478"/>
      <c r="K465" s="346"/>
      <c r="L465" s="478"/>
      <c r="M465" s="346"/>
      <c r="N465" s="478"/>
      <c r="O465" s="346"/>
      <c r="P465" s="478"/>
      <c r="Q465" s="346"/>
      <c r="R465" s="478"/>
      <c r="S465" s="346"/>
      <c r="T465" s="478"/>
      <c r="U465" s="346"/>
      <c r="V465" s="107"/>
      <c r="W465" s="388"/>
      <c r="X465" s="160"/>
      <c r="Y465" s="145"/>
      <c r="Z465" s="145"/>
      <c r="AA465" s="148"/>
      <c r="AB465" s="208" t="s">
        <v>302</v>
      </c>
    </row>
    <row r="466" spans="1:34" ht="12.6" customHeight="1" x14ac:dyDescent="0.2">
      <c r="A466" s="20"/>
      <c r="B466" s="719" t="s">
        <v>303</v>
      </c>
      <c r="C466" s="720"/>
      <c r="D466" s="720"/>
      <c r="E466" s="720"/>
      <c r="F466" s="345">
        <v>6940</v>
      </c>
      <c r="G466" s="345">
        <f>+F466*$X$1</f>
        <v>6940</v>
      </c>
      <c r="H466" s="383">
        <f>F466+400</f>
        <v>7340</v>
      </c>
      <c r="I466" s="345">
        <f t="shared" ref="I466:I467" si="1131">+H466*$X$1</f>
        <v>7340</v>
      </c>
      <c r="J466" s="383">
        <f>F466+320</f>
        <v>7260</v>
      </c>
      <c r="K466" s="345">
        <f>+J466*$X$1</f>
        <v>7260</v>
      </c>
      <c r="L466" s="383">
        <f>F466+280</f>
        <v>7220</v>
      </c>
      <c r="M466" s="345">
        <f>+L466*$X$1</f>
        <v>7220</v>
      </c>
      <c r="N466" s="383">
        <f>F466+250</f>
        <v>7190</v>
      </c>
      <c r="O466" s="345">
        <f t="shared" ref="O466:O467" si="1132">+N466*$X$1</f>
        <v>7190</v>
      </c>
      <c r="P466" s="383">
        <f>F466+230</f>
        <v>7170</v>
      </c>
      <c r="Q466" s="345">
        <f t="shared" ref="Q466:Q467" si="1133">+P466*$X$1</f>
        <v>7170</v>
      </c>
      <c r="R466" s="383">
        <f>F466+210</f>
        <v>7150</v>
      </c>
      <c r="S466" s="345">
        <f t="shared" ref="S466:S467" si="1134">+R466*$X$1</f>
        <v>7150</v>
      </c>
      <c r="T466" s="383">
        <f>F466+190</f>
        <v>7130</v>
      </c>
      <c r="U466" s="345">
        <f t="shared" ref="U466:U467" si="1135">+T466*$X$1</f>
        <v>7130</v>
      </c>
      <c r="V466" s="383">
        <f>F466+175</f>
        <v>7115</v>
      </c>
      <c r="W466" s="345">
        <f t="shared" ref="W466:W467" si="1136">+V466*$X$1</f>
        <v>7115</v>
      </c>
      <c r="X466" s="160"/>
      <c r="Y466" s="145"/>
      <c r="Z466" s="145"/>
      <c r="AA466" s="148"/>
      <c r="AB466" s="208" t="s">
        <v>304</v>
      </c>
    </row>
    <row r="467" spans="1:34" ht="12.6" customHeight="1" x14ac:dyDescent="0.2">
      <c r="A467" s="20"/>
      <c r="B467" s="712" t="s">
        <v>305</v>
      </c>
      <c r="C467" s="699"/>
      <c r="D467" s="699"/>
      <c r="E467" s="699"/>
      <c r="F467" s="346">
        <v>7720</v>
      </c>
      <c r="G467" s="346">
        <f>+F467*$X$1</f>
        <v>7720</v>
      </c>
      <c r="H467" s="582">
        <f>F467+400</f>
        <v>8120</v>
      </c>
      <c r="I467" s="346">
        <f t="shared" si="1131"/>
        <v>8120</v>
      </c>
      <c r="J467" s="582">
        <f>F467+320</f>
        <v>8040</v>
      </c>
      <c r="K467" s="346">
        <f>+J467*$X$1</f>
        <v>8040</v>
      </c>
      <c r="L467" s="582">
        <f>F467+280</f>
        <v>8000</v>
      </c>
      <c r="M467" s="346">
        <f>+L467*$X$1</f>
        <v>8000</v>
      </c>
      <c r="N467" s="582">
        <f>F467+250</f>
        <v>7970</v>
      </c>
      <c r="O467" s="346">
        <f t="shared" si="1132"/>
        <v>7970</v>
      </c>
      <c r="P467" s="582">
        <f>F467+230</f>
        <v>7950</v>
      </c>
      <c r="Q467" s="346">
        <f t="shared" si="1133"/>
        <v>7950</v>
      </c>
      <c r="R467" s="582">
        <f>F467+210</f>
        <v>7930</v>
      </c>
      <c r="S467" s="346">
        <f t="shared" si="1134"/>
        <v>7930</v>
      </c>
      <c r="T467" s="582">
        <f>F467+190</f>
        <v>7910</v>
      </c>
      <c r="U467" s="346">
        <f t="shared" si="1135"/>
        <v>7910</v>
      </c>
      <c r="V467" s="582">
        <f>F467+175</f>
        <v>7895</v>
      </c>
      <c r="W467" s="346">
        <f t="shared" si="1136"/>
        <v>7895</v>
      </c>
      <c r="X467" s="160"/>
      <c r="Y467" s="145"/>
      <c r="Z467" s="145"/>
      <c r="AA467" s="148"/>
      <c r="AB467" s="208" t="s">
        <v>306</v>
      </c>
    </row>
    <row r="468" spans="1:34" ht="12.6" customHeight="1" x14ac:dyDescent="0.2">
      <c r="A468" s="20"/>
      <c r="B468" s="719" t="s">
        <v>677</v>
      </c>
      <c r="C468" s="720"/>
      <c r="D468" s="720"/>
      <c r="E468" s="720"/>
      <c r="F468" s="481"/>
      <c r="G468" s="345"/>
      <c r="H468" s="383"/>
      <c r="I468" s="345"/>
      <c r="J468" s="383"/>
      <c r="K468" s="345"/>
      <c r="L468" s="383"/>
      <c r="M468" s="345"/>
      <c r="N468" s="383"/>
      <c r="O468" s="345"/>
      <c r="P468" s="383"/>
      <c r="Q468" s="345"/>
      <c r="R468" s="383"/>
      <c r="S468" s="345"/>
      <c r="T468" s="383"/>
      <c r="U468" s="345"/>
      <c r="V468" s="383"/>
      <c r="W468" s="345"/>
      <c r="X468" s="739"/>
      <c r="Y468" s="740"/>
      <c r="Z468" s="740"/>
      <c r="AA468" s="741"/>
      <c r="AB468" s="208" t="s">
        <v>556</v>
      </c>
    </row>
    <row r="469" spans="1:34" ht="12.6" customHeight="1" x14ac:dyDescent="0.2">
      <c r="A469" s="20"/>
      <c r="B469" s="712" t="s">
        <v>673</v>
      </c>
      <c r="C469" s="699"/>
      <c r="D469" s="699"/>
      <c r="E469" s="699"/>
      <c r="F469" s="482">
        <v>3120</v>
      </c>
      <c r="G469" s="346">
        <f t="shared" ref="G469" si="1137">+F469*$X$1</f>
        <v>3120</v>
      </c>
      <c r="H469" s="595">
        <f>F469+150</f>
        <v>3270</v>
      </c>
      <c r="I469" s="346">
        <f t="shared" ref="I469:I470" si="1138">+H469*$X$1</f>
        <v>3270</v>
      </c>
      <c r="J469" s="595">
        <f>F469+100</f>
        <v>3220</v>
      </c>
      <c r="K469" s="346">
        <f t="shared" ref="K469" si="1139">+J469*$X$1</f>
        <v>3220</v>
      </c>
      <c r="L469" s="595">
        <f>F469+85</f>
        <v>3205</v>
      </c>
      <c r="M469" s="346">
        <f t="shared" ref="M469" si="1140">+L469*$X$1</f>
        <v>3205</v>
      </c>
      <c r="N469" s="595">
        <f>F469+75</f>
        <v>3195</v>
      </c>
      <c r="O469" s="346">
        <f>+N469*$X$1</f>
        <v>3195</v>
      </c>
      <c r="P469" s="595">
        <f>F469+70</f>
        <v>3190</v>
      </c>
      <c r="Q469" s="346">
        <f t="shared" ref="Q469:Q471" si="1141">+P469*$X$1</f>
        <v>3190</v>
      </c>
      <c r="R469" s="595">
        <f>F469+66</f>
        <v>3186</v>
      </c>
      <c r="S469" s="346">
        <f t="shared" ref="S469:S471" si="1142">+R469*$X$1</f>
        <v>3186</v>
      </c>
      <c r="T469" s="595">
        <f>F469+61</f>
        <v>3181</v>
      </c>
      <c r="U469" s="346">
        <f t="shared" ref="U469:U471" si="1143">+T469*$X$1</f>
        <v>3181</v>
      </c>
      <c r="V469" s="595">
        <f>F469+55</f>
        <v>3175</v>
      </c>
      <c r="W469" s="346">
        <f t="shared" ref="W469:W471" si="1144">+V469*$X$1</f>
        <v>3175</v>
      </c>
      <c r="X469" s="739"/>
      <c r="Y469" s="740"/>
      <c r="Z469" s="740"/>
      <c r="AA469" s="741"/>
      <c r="AB469" s="208" t="s">
        <v>307</v>
      </c>
    </row>
    <row r="470" spans="1:34" ht="12.6" customHeight="1" x14ac:dyDescent="0.2">
      <c r="A470" s="20"/>
      <c r="B470" s="719" t="s">
        <v>765</v>
      </c>
      <c r="C470" s="720"/>
      <c r="D470" s="720"/>
      <c r="E470" s="720"/>
      <c r="F470" s="481">
        <v>3120</v>
      </c>
      <c r="G470" s="345">
        <f t="shared" ref="G470" si="1145">+F470*$X$1</f>
        <v>3120</v>
      </c>
      <c r="H470" s="383">
        <f>F470+400</f>
        <v>3520</v>
      </c>
      <c r="I470" s="345">
        <f t="shared" si="1138"/>
        <v>3520</v>
      </c>
      <c r="J470" s="383">
        <f>F470+320</f>
        <v>3440</v>
      </c>
      <c r="K470" s="345">
        <f>+J470*$X$1</f>
        <v>3440</v>
      </c>
      <c r="L470" s="383">
        <f>F470+280</f>
        <v>3400</v>
      </c>
      <c r="M470" s="345">
        <f>+L470*$X$1</f>
        <v>3400</v>
      </c>
      <c r="N470" s="383">
        <f>F470+250</f>
        <v>3370</v>
      </c>
      <c r="O470" s="345">
        <f t="shared" ref="O470" si="1146">+N470*$X$1</f>
        <v>3370</v>
      </c>
      <c r="P470" s="383">
        <f>F470+230</f>
        <v>3350</v>
      </c>
      <c r="Q470" s="345">
        <f t="shared" ref="Q470" si="1147">+P470*$X$1</f>
        <v>3350</v>
      </c>
      <c r="R470" s="383">
        <f>F470+210</f>
        <v>3330</v>
      </c>
      <c r="S470" s="345">
        <f t="shared" ref="S470" si="1148">+R470*$X$1</f>
        <v>3330</v>
      </c>
      <c r="T470" s="383">
        <f>F470+190</f>
        <v>3310</v>
      </c>
      <c r="U470" s="345">
        <f t="shared" ref="U470" si="1149">+T470*$X$1</f>
        <v>3310</v>
      </c>
      <c r="V470" s="383">
        <f>F470+175</f>
        <v>3295</v>
      </c>
      <c r="W470" s="345">
        <f t="shared" ref="W470" si="1150">+V470*$X$1</f>
        <v>3295</v>
      </c>
      <c r="X470" s="739"/>
      <c r="Y470" s="740"/>
      <c r="Z470" s="740"/>
      <c r="AA470" s="741"/>
      <c r="AB470" s="208" t="s">
        <v>766</v>
      </c>
    </row>
    <row r="471" spans="1:34" ht="12.6" customHeight="1" x14ac:dyDescent="0.2">
      <c r="A471" s="20"/>
      <c r="B471" s="712" t="s">
        <v>460</v>
      </c>
      <c r="C471" s="1258"/>
      <c r="D471" s="1258"/>
      <c r="E471" s="1258"/>
      <c r="F471" s="482">
        <f>3.116*X2</f>
        <v>2866.7200000000003</v>
      </c>
      <c r="G471" s="346">
        <f t="shared" ref="G471" si="1151">+F471*$X$1</f>
        <v>2866.7200000000003</v>
      </c>
      <c r="H471" s="595">
        <f>F471+400</f>
        <v>3266.7200000000003</v>
      </c>
      <c r="I471" s="346">
        <f t="shared" ref="I471" si="1152">+H471*$X$1</f>
        <v>3266.7200000000003</v>
      </c>
      <c r="J471" s="595">
        <f>F471+320</f>
        <v>3186.7200000000003</v>
      </c>
      <c r="K471" s="346">
        <f>+J471*$X$1</f>
        <v>3186.7200000000003</v>
      </c>
      <c r="L471" s="595">
        <f>F471+280</f>
        <v>3146.7200000000003</v>
      </c>
      <c r="M471" s="346">
        <f>+L471*$X$1</f>
        <v>3146.7200000000003</v>
      </c>
      <c r="N471" s="595">
        <f>F471+250</f>
        <v>3116.7200000000003</v>
      </c>
      <c r="O471" s="346">
        <f t="shared" ref="O471" si="1153">+N471*$X$1</f>
        <v>3116.7200000000003</v>
      </c>
      <c r="P471" s="595">
        <f>F471+230</f>
        <v>3096.7200000000003</v>
      </c>
      <c r="Q471" s="346">
        <f t="shared" si="1141"/>
        <v>3096.7200000000003</v>
      </c>
      <c r="R471" s="595">
        <f>F471+210</f>
        <v>3076.7200000000003</v>
      </c>
      <c r="S471" s="346">
        <f t="shared" si="1142"/>
        <v>3076.7200000000003</v>
      </c>
      <c r="T471" s="595">
        <f>F471+190</f>
        <v>3056.7200000000003</v>
      </c>
      <c r="U471" s="346">
        <f t="shared" si="1143"/>
        <v>3056.7200000000003</v>
      </c>
      <c r="V471" s="595">
        <f>F471+175</f>
        <v>3041.7200000000003</v>
      </c>
      <c r="W471" s="346">
        <f t="shared" si="1144"/>
        <v>3041.7200000000003</v>
      </c>
      <c r="X471" s="739"/>
      <c r="Y471" s="740"/>
      <c r="Z471" s="740"/>
      <c r="AA471" s="741"/>
      <c r="AB471" s="208" t="s">
        <v>551</v>
      </c>
    </row>
    <row r="472" spans="1:34" ht="12.6" customHeight="1" x14ac:dyDescent="0.2">
      <c r="A472" s="20"/>
      <c r="B472" s="724" t="s">
        <v>830</v>
      </c>
      <c r="C472" s="738"/>
      <c r="D472" s="738"/>
      <c r="E472" s="738"/>
      <c r="F472" s="481">
        <f>7.761*X2</f>
        <v>7140.12</v>
      </c>
      <c r="G472" s="345">
        <f t="shared" ref="G472" si="1154">+F472*$X$1</f>
        <v>7140.12</v>
      </c>
      <c r="H472" s="383">
        <f>F472+400</f>
        <v>7540.12</v>
      </c>
      <c r="I472" s="345">
        <f t="shared" ref="I472" si="1155">+H472*$X$1</f>
        <v>7540.12</v>
      </c>
      <c r="J472" s="383">
        <f>F472+320</f>
        <v>7460.12</v>
      </c>
      <c r="K472" s="345">
        <f>+J472*$X$1</f>
        <v>7460.12</v>
      </c>
      <c r="L472" s="383">
        <f>F472+280</f>
        <v>7420.12</v>
      </c>
      <c r="M472" s="345">
        <f>+L472*$X$1</f>
        <v>7420.12</v>
      </c>
      <c r="N472" s="383">
        <f>F472+250</f>
        <v>7390.12</v>
      </c>
      <c r="O472" s="345">
        <f t="shared" ref="O472" si="1156">+N472*$X$1</f>
        <v>7390.12</v>
      </c>
      <c r="P472" s="383">
        <f>F472+230</f>
        <v>7370.12</v>
      </c>
      <c r="Q472" s="345">
        <f t="shared" ref="Q472" si="1157">+P472*$X$1</f>
        <v>7370.12</v>
      </c>
      <c r="R472" s="383">
        <f>F472+210</f>
        <v>7350.12</v>
      </c>
      <c r="S472" s="345">
        <f t="shared" ref="S472" si="1158">+R472*$X$1</f>
        <v>7350.12</v>
      </c>
      <c r="T472" s="383">
        <f>F472+190</f>
        <v>7330.12</v>
      </c>
      <c r="U472" s="345">
        <f t="shared" ref="U472" si="1159">+T472*$X$1</f>
        <v>7330.12</v>
      </c>
      <c r="V472" s="383">
        <f>F472+175</f>
        <v>7315.12</v>
      </c>
      <c r="W472" s="345">
        <f t="shared" ref="W472" si="1160">+V472*$X$1</f>
        <v>7315.12</v>
      </c>
      <c r="X472" s="739"/>
      <c r="Y472" s="740"/>
      <c r="Z472" s="740"/>
      <c r="AA472" s="741"/>
      <c r="AB472" s="208" t="s">
        <v>831</v>
      </c>
    </row>
    <row r="473" spans="1:34" ht="12.6" customHeight="1" x14ac:dyDescent="0.2">
      <c r="A473" s="111"/>
      <c r="B473" s="248"/>
      <c r="C473" s="66"/>
      <c r="D473" s="66"/>
      <c r="E473" s="66"/>
      <c r="F473" s="139"/>
      <c r="G473" s="127"/>
      <c r="H473" s="127"/>
      <c r="I473" s="127"/>
      <c r="J473" s="127"/>
      <c r="K473" s="127"/>
      <c r="L473" s="127"/>
      <c r="M473" s="127"/>
      <c r="N473" s="127"/>
      <c r="O473" s="127"/>
      <c r="P473" s="127"/>
      <c r="Q473" s="127"/>
      <c r="R473" s="127"/>
      <c r="S473" s="127"/>
      <c r="T473" s="127"/>
      <c r="U473" s="127"/>
      <c r="V473" s="127"/>
      <c r="W473" s="127"/>
      <c r="X473" s="250"/>
      <c r="Y473" s="251"/>
      <c r="Z473" s="251"/>
      <c r="AA473" s="250"/>
      <c r="AB473" s="43"/>
      <c r="AC473" s="69"/>
    </row>
    <row r="474" spans="1:34" ht="12.6" customHeight="1" x14ac:dyDescent="0.2">
      <c r="A474" s="111"/>
      <c r="B474" s="248"/>
      <c r="C474" s="66"/>
      <c r="D474" s="66"/>
      <c r="E474" s="66"/>
      <c r="F474" s="139"/>
      <c r="G474" s="127"/>
      <c r="H474" s="127"/>
      <c r="I474" s="127"/>
      <c r="J474" s="127"/>
      <c r="K474" s="127"/>
      <c r="L474" s="127"/>
      <c r="M474" s="127"/>
      <c r="N474" s="127"/>
      <c r="O474" s="127"/>
      <c r="P474" s="127"/>
      <c r="Q474" s="127"/>
      <c r="R474" s="127"/>
      <c r="S474" s="127"/>
      <c r="T474" s="127"/>
      <c r="U474" s="127"/>
      <c r="V474" s="127"/>
      <c r="W474" s="127"/>
      <c r="X474" s="250"/>
      <c r="Y474" s="251"/>
      <c r="Z474" s="251"/>
      <c r="AA474" s="250"/>
      <c r="AB474" s="43"/>
      <c r="AC474" s="69"/>
    </row>
    <row r="475" spans="1:34" ht="12.6" customHeight="1" x14ac:dyDescent="0.2">
      <c r="A475" s="111"/>
      <c r="B475" s="248"/>
      <c r="C475" s="66"/>
      <c r="D475" s="66"/>
      <c r="E475" s="66"/>
      <c r="F475" s="139"/>
      <c r="G475" s="127"/>
      <c r="H475" s="127"/>
      <c r="I475" s="127"/>
      <c r="J475" s="127"/>
      <c r="K475" s="127"/>
      <c r="L475" s="127"/>
      <c r="M475" s="127"/>
      <c r="N475" s="127"/>
      <c r="O475" s="127"/>
      <c r="P475" s="127"/>
      <c r="Q475" s="127"/>
      <c r="R475" s="127"/>
      <c r="S475" s="127"/>
      <c r="T475" s="127"/>
      <c r="U475" s="127"/>
      <c r="V475" s="127"/>
      <c r="W475" s="127"/>
      <c r="X475" s="250"/>
      <c r="Y475" s="251"/>
      <c r="Z475" s="251"/>
      <c r="AA475" s="250"/>
      <c r="AB475" s="43"/>
      <c r="AC475" s="69"/>
    </row>
    <row r="476" spans="1:34" ht="12.6" customHeight="1" x14ac:dyDescent="0.2">
      <c r="A476" s="111"/>
      <c r="B476" s="248"/>
      <c r="C476" s="66"/>
      <c r="D476" s="66"/>
      <c r="E476" s="66"/>
      <c r="F476" s="139"/>
      <c r="G476" s="127"/>
      <c r="H476" s="127"/>
      <c r="I476" s="127"/>
      <c r="J476" s="127"/>
      <c r="K476" s="127"/>
      <c r="L476" s="127"/>
      <c r="M476" s="127"/>
      <c r="N476" s="127"/>
      <c r="O476" s="127"/>
      <c r="P476" s="127"/>
      <c r="Q476" s="127"/>
      <c r="R476" s="127"/>
      <c r="S476" s="127"/>
      <c r="T476" s="127"/>
      <c r="U476" s="127"/>
      <c r="V476" s="127"/>
      <c r="W476" s="127"/>
      <c r="X476" s="250"/>
      <c r="Y476" s="251"/>
      <c r="Z476" s="251"/>
      <c r="AA476" s="250"/>
      <c r="AB476" s="43"/>
      <c r="AC476" s="69"/>
    </row>
    <row r="477" spans="1:34" ht="12.6" customHeight="1" x14ac:dyDescent="0.2">
      <c r="A477" s="111"/>
      <c r="B477" s="248"/>
      <c r="C477" s="66"/>
      <c r="D477" s="66"/>
      <c r="E477" s="66"/>
      <c r="F477" s="139"/>
      <c r="G477" s="127"/>
      <c r="H477" s="127"/>
      <c r="I477" s="127"/>
      <c r="J477" s="127"/>
      <c r="K477" s="127"/>
      <c r="L477" s="127"/>
      <c r="M477" s="127"/>
      <c r="N477" s="127"/>
      <c r="O477" s="127"/>
      <c r="P477" s="127"/>
      <c r="Q477" s="127"/>
      <c r="R477" s="127"/>
      <c r="S477" s="127"/>
      <c r="T477" s="127"/>
      <c r="U477" s="127"/>
      <c r="V477" s="127"/>
      <c r="W477" s="127"/>
      <c r="X477" s="250"/>
      <c r="Y477" s="251"/>
      <c r="Z477" s="251"/>
      <c r="AA477" s="250"/>
      <c r="AB477" s="43"/>
      <c r="AC477" s="69"/>
    </row>
    <row r="478" spans="1:34" ht="12.6" customHeight="1" thickBot="1" x14ac:dyDescent="0.25">
      <c r="A478" s="111"/>
      <c r="B478" s="248"/>
      <c r="C478" s="66"/>
      <c r="D478" s="66"/>
      <c r="E478" s="66"/>
      <c r="F478" s="139"/>
      <c r="G478" s="127"/>
      <c r="H478" s="127"/>
      <c r="I478" s="127"/>
      <c r="J478" s="127"/>
      <c r="K478" s="127"/>
      <c r="L478" s="127"/>
      <c r="M478" s="127"/>
      <c r="N478" s="127"/>
      <c r="O478" s="127"/>
      <c r="P478" s="127"/>
      <c r="Q478" s="127"/>
      <c r="R478" s="127"/>
      <c r="S478" s="127"/>
      <c r="T478" s="127"/>
      <c r="U478" s="127"/>
      <c r="V478" s="127"/>
      <c r="W478" s="127"/>
      <c r="X478" s="250"/>
      <c r="Y478" s="251"/>
      <c r="Z478" s="251"/>
      <c r="AA478" s="250"/>
      <c r="AB478" s="43"/>
      <c r="AC478" s="69"/>
    </row>
    <row r="479" spans="1:34" ht="14.25" customHeight="1" thickBot="1" x14ac:dyDescent="0.25">
      <c r="B479" s="1238" t="s">
        <v>590</v>
      </c>
      <c r="C479" s="1239"/>
      <c r="D479" s="1239"/>
      <c r="E479" s="1239"/>
      <c r="F479" s="1239"/>
      <c r="G479" s="1239"/>
      <c r="H479" s="1239"/>
      <c r="I479" s="1239"/>
      <c r="J479" s="1239"/>
      <c r="K479" s="1239"/>
      <c r="L479" s="1239"/>
      <c r="M479" s="1239"/>
      <c r="N479" s="1239"/>
      <c r="O479" s="1239"/>
      <c r="P479" s="1239"/>
      <c r="Q479" s="1239"/>
      <c r="R479" s="1239"/>
      <c r="S479" s="1239"/>
      <c r="T479" s="1239"/>
      <c r="U479" s="1239"/>
      <c r="V479" s="1239"/>
      <c r="W479" s="1240"/>
      <c r="AB479" s="4"/>
      <c r="AF479" s="752"/>
      <c r="AG479" s="753"/>
      <c r="AH479" s="753"/>
    </row>
    <row r="480" spans="1:34" ht="13.5" customHeight="1" x14ac:dyDescent="0.2">
      <c r="B480" s="1229" t="s">
        <v>11</v>
      </c>
      <c r="C480" s="964" t="s">
        <v>12</v>
      </c>
      <c r="D480" s="965"/>
      <c r="E480" s="965"/>
      <c r="F480" s="817" t="s">
        <v>308</v>
      </c>
      <c r="G480" s="817" t="s">
        <v>13</v>
      </c>
      <c r="H480" s="1249" t="s">
        <v>507</v>
      </c>
      <c r="I480" s="1249"/>
      <c r="J480" s="1250"/>
      <c r="K480" s="1250"/>
      <c r="L480" s="1250"/>
      <c r="M480" s="1250"/>
      <c r="N480" s="1250"/>
      <c r="O480" s="1250"/>
      <c r="P480" s="1250"/>
      <c r="Q480" s="1250"/>
      <c r="R480" s="1250"/>
      <c r="S480" s="1250"/>
      <c r="T480" s="1250"/>
      <c r="U480" s="1250"/>
      <c r="V480" s="1250"/>
      <c r="W480" s="1251"/>
      <c r="X480" s="756" t="s">
        <v>15</v>
      </c>
      <c r="Y480" s="757"/>
      <c r="Z480" s="757"/>
      <c r="AA480" s="757"/>
      <c r="AB480" s="754" t="s">
        <v>16</v>
      </c>
      <c r="AF480" s="752" t="s">
        <v>3</v>
      </c>
      <c r="AG480" s="753"/>
      <c r="AH480" s="753"/>
    </row>
    <row r="481" spans="1:28" ht="11.25" customHeight="1" thickBot="1" x14ac:dyDescent="0.25">
      <c r="B481" s="1230"/>
      <c r="C481" s="966"/>
      <c r="D481" s="966"/>
      <c r="E481" s="966"/>
      <c r="F481" s="818"/>
      <c r="G481" s="818"/>
      <c r="H481" s="295"/>
      <c r="I481" s="293" t="s">
        <v>668</v>
      </c>
      <c r="J481" s="295"/>
      <c r="K481" s="293" t="s">
        <v>310</v>
      </c>
      <c r="L481" s="295"/>
      <c r="M481" s="293" t="s">
        <v>311</v>
      </c>
      <c r="N481" s="295"/>
      <c r="O481" s="293" t="s">
        <v>670</v>
      </c>
      <c r="P481" s="295"/>
      <c r="Q481" s="293" t="s">
        <v>18</v>
      </c>
      <c r="R481" s="295"/>
      <c r="S481" s="293" t="s">
        <v>19</v>
      </c>
      <c r="T481" s="295"/>
      <c r="U481" s="293" t="s">
        <v>20</v>
      </c>
      <c r="V481" s="295"/>
      <c r="W481" s="293" t="s">
        <v>671</v>
      </c>
      <c r="X481" s="758"/>
      <c r="Y481" s="759"/>
      <c r="Z481" s="759"/>
      <c r="AA481" s="759"/>
      <c r="AB481" s="755"/>
    </row>
    <row r="482" spans="1:28" ht="12" customHeight="1" x14ac:dyDescent="0.2">
      <c r="A482" s="4"/>
      <c r="B482" s="1298" t="s">
        <v>905</v>
      </c>
      <c r="C482" s="1299"/>
      <c r="D482" s="1299"/>
      <c r="E482" s="1299"/>
      <c r="F482" s="486">
        <f>9.55*X2</f>
        <v>8786</v>
      </c>
      <c r="G482" s="388">
        <f t="shared" ref="G482" si="1161">+F482*$X$1</f>
        <v>8786</v>
      </c>
      <c r="H482" s="667">
        <f>F482+3000</f>
        <v>11786</v>
      </c>
      <c r="I482" s="346">
        <f t="shared" ref="I482" si="1162">+H482*$X$1</f>
        <v>11786</v>
      </c>
      <c r="J482" s="667">
        <f>F482+900</f>
        <v>9686</v>
      </c>
      <c r="K482" s="346">
        <f t="shared" ref="K482" si="1163">+J482*$X$1</f>
        <v>9686</v>
      </c>
      <c r="L482" s="667">
        <f>F482+840</f>
        <v>9626</v>
      </c>
      <c r="M482" s="346">
        <f t="shared" ref="M482" si="1164">+L482*$X$1</f>
        <v>9626</v>
      </c>
      <c r="N482" s="667">
        <f>F482+800</f>
        <v>9586</v>
      </c>
      <c r="O482" s="346">
        <f t="shared" ref="O482" si="1165">+N482*$X$1</f>
        <v>9586</v>
      </c>
      <c r="P482" s="667">
        <f>F482+760</f>
        <v>9546</v>
      </c>
      <c r="Q482" s="346">
        <f t="shared" ref="Q482" si="1166">+P482*$X$1</f>
        <v>9546</v>
      </c>
      <c r="R482" s="667">
        <f>F482+730</f>
        <v>9516</v>
      </c>
      <c r="S482" s="346">
        <f t="shared" ref="S482" si="1167">+R482*$X$1</f>
        <v>9516</v>
      </c>
      <c r="T482" s="667">
        <f>F482+690</f>
        <v>9476</v>
      </c>
      <c r="U482" s="346">
        <f t="shared" ref="U482" si="1168">+T482*$X$1</f>
        <v>9476</v>
      </c>
      <c r="V482" s="667">
        <f>F482+650</f>
        <v>9436</v>
      </c>
      <c r="W482" s="346">
        <f t="shared" ref="W482" si="1169">+V482*$X$1</f>
        <v>9436</v>
      </c>
      <c r="X482" s="150"/>
      <c r="Y482" s="145"/>
      <c r="Z482" s="151"/>
      <c r="AA482" s="152"/>
      <c r="AB482" s="534" t="s">
        <v>910</v>
      </c>
    </row>
    <row r="483" spans="1:28" ht="12" customHeight="1" x14ac:dyDescent="0.2">
      <c r="A483" s="4"/>
      <c r="B483" s="700" t="s">
        <v>904</v>
      </c>
      <c r="C483" s="701"/>
      <c r="D483" s="701"/>
      <c r="E483" s="701"/>
      <c r="F483" s="487">
        <f>9.55*X2</f>
        <v>8786</v>
      </c>
      <c r="G483" s="372">
        <f t="shared" ref="G483" si="1170">+F483*$X$1</f>
        <v>8786</v>
      </c>
      <c r="H483" s="108">
        <f>F483+2200</f>
        <v>10986</v>
      </c>
      <c r="I483" s="372">
        <f t="shared" ref="I483" si="1171">+H483*$X$1</f>
        <v>10986</v>
      </c>
      <c r="J483" s="108">
        <f>F483+550</f>
        <v>9336</v>
      </c>
      <c r="K483" s="372">
        <f t="shared" ref="K483" si="1172">+J483*$X$1</f>
        <v>9336</v>
      </c>
      <c r="L483" s="108">
        <f>F483+480</f>
        <v>9266</v>
      </c>
      <c r="M483" s="372">
        <f t="shared" ref="M483" si="1173">+L483*$X$1</f>
        <v>9266</v>
      </c>
      <c r="N483" s="108">
        <f>F483+440</f>
        <v>9226</v>
      </c>
      <c r="O483" s="372">
        <f t="shared" ref="O483" si="1174">+N483*$X$1</f>
        <v>9226</v>
      </c>
      <c r="P483" s="108">
        <f>F483+410</f>
        <v>9196</v>
      </c>
      <c r="Q483" s="372">
        <f t="shared" ref="Q483" si="1175">+P483*$X$1</f>
        <v>9196</v>
      </c>
      <c r="R483" s="108">
        <f>F483+390</f>
        <v>9176</v>
      </c>
      <c r="S483" s="372">
        <f t="shared" ref="S483" si="1176">+R483*$X$1</f>
        <v>9176</v>
      </c>
      <c r="T483" s="108">
        <f>F483+350</f>
        <v>9136</v>
      </c>
      <c r="U483" s="372">
        <f t="shared" ref="U483" si="1177">+T483*$X$1</f>
        <v>9136</v>
      </c>
      <c r="V483" s="108">
        <f>F483+320</f>
        <v>9106</v>
      </c>
      <c r="W483" s="372">
        <f t="shared" ref="W483" si="1178">+V483*$X$1</f>
        <v>9106</v>
      </c>
      <c r="X483" s="150"/>
      <c r="Y483" s="145"/>
      <c r="Z483" s="151"/>
      <c r="AA483" s="152"/>
      <c r="AB483" s="534">
        <v>873</v>
      </c>
    </row>
    <row r="484" spans="1:28" ht="12" customHeight="1" x14ac:dyDescent="0.2">
      <c r="A484" s="4"/>
      <c r="B484" s="700" t="s">
        <v>850</v>
      </c>
      <c r="C484" s="701"/>
      <c r="D484" s="701"/>
      <c r="E484" s="701"/>
      <c r="F484" s="486">
        <f>18.82*X2</f>
        <v>17314.400000000001</v>
      </c>
      <c r="G484" s="388">
        <f t="shared" ref="G484" si="1179">+F484*$X$1</f>
        <v>17314.400000000001</v>
      </c>
      <c r="H484" s="107">
        <f>F484+2200</f>
        <v>19514.400000000001</v>
      </c>
      <c r="I484" s="388">
        <f t="shared" ref="I484" si="1180">+H484*$X$1</f>
        <v>19514.400000000001</v>
      </c>
      <c r="J484" s="107">
        <f>F484+550</f>
        <v>17864.400000000001</v>
      </c>
      <c r="K484" s="388">
        <f t="shared" ref="K484" si="1181">+J484*$X$1</f>
        <v>17864.400000000001</v>
      </c>
      <c r="L484" s="107">
        <f>F484+480</f>
        <v>17794.400000000001</v>
      </c>
      <c r="M484" s="388">
        <f t="shared" ref="M484" si="1182">+L484*$X$1</f>
        <v>17794.400000000001</v>
      </c>
      <c r="N484" s="107">
        <f>F484+440</f>
        <v>17754.400000000001</v>
      </c>
      <c r="O484" s="388">
        <f t="shared" ref="O484" si="1183">+N484*$X$1</f>
        <v>17754.400000000001</v>
      </c>
      <c r="P484" s="107">
        <f>F484+410</f>
        <v>17724.400000000001</v>
      </c>
      <c r="Q484" s="388">
        <f t="shared" ref="Q484" si="1184">+P484*$X$1</f>
        <v>17724.400000000001</v>
      </c>
      <c r="R484" s="107">
        <f>F484+390</f>
        <v>17704.400000000001</v>
      </c>
      <c r="S484" s="388">
        <f t="shared" ref="S484" si="1185">+R484*$X$1</f>
        <v>17704.400000000001</v>
      </c>
      <c r="T484" s="107">
        <f>F484+350</f>
        <v>17664.400000000001</v>
      </c>
      <c r="U484" s="388">
        <f t="shared" ref="U484" si="1186">+T484*$X$1</f>
        <v>17664.400000000001</v>
      </c>
      <c r="V484" s="107">
        <f>F484+320</f>
        <v>17634.400000000001</v>
      </c>
      <c r="W484" s="388">
        <f t="shared" ref="W484" si="1187">+V484*$X$1</f>
        <v>17634.400000000001</v>
      </c>
      <c r="X484" s="150"/>
      <c r="Y484" s="145"/>
      <c r="Z484" s="151"/>
      <c r="AA484" s="152"/>
      <c r="AB484" s="534">
        <v>874</v>
      </c>
    </row>
    <row r="485" spans="1:28" ht="12.6" customHeight="1" x14ac:dyDescent="0.2">
      <c r="A485" s="4"/>
      <c r="B485" s="702" t="s">
        <v>813</v>
      </c>
      <c r="C485" s="703"/>
      <c r="D485" s="703"/>
      <c r="E485" s="703"/>
      <c r="F485" s="487">
        <f>12*X2</f>
        <v>11040</v>
      </c>
      <c r="G485" s="372">
        <f t="shared" ref="G485:G486" si="1188">+F485*$X$1</f>
        <v>11040</v>
      </c>
      <c r="H485" s="383">
        <f>F485+3000</f>
        <v>14040</v>
      </c>
      <c r="I485" s="345">
        <f t="shared" ref="I485" si="1189">+H485*$X$1</f>
        <v>14040</v>
      </c>
      <c r="J485" s="383">
        <f>F485+900</f>
        <v>11940</v>
      </c>
      <c r="K485" s="345">
        <f t="shared" ref="K485" si="1190">+J485*$X$1</f>
        <v>11940</v>
      </c>
      <c r="L485" s="383">
        <f>F485+840</f>
        <v>11880</v>
      </c>
      <c r="M485" s="345">
        <f t="shared" ref="M485" si="1191">+L485*$X$1</f>
        <v>11880</v>
      </c>
      <c r="N485" s="383">
        <f>F485+800</f>
        <v>11840</v>
      </c>
      <c r="O485" s="345">
        <f t="shared" ref="O485" si="1192">+N485*$X$1</f>
        <v>11840</v>
      </c>
      <c r="P485" s="383">
        <f>F485+760</f>
        <v>11800</v>
      </c>
      <c r="Q485" s="345">
        <f t="shared" ref="Q485" si="1193">+P485*$X$1</f>
        <v>11800</v>
      </c>
      <c r="R485" s="383">
        <f>F485+730</f>
        <v>11770</v>
      </c>
      <c r="S485" s="345">
        <f t="shared" ref="S485" si="1194">+R485*$X$1</f>
        <v>11770</v>
      </c>
      <c r="T485" s="383">
        <f>F485+690</f>
        <v>11730</v>
      </c>
      <c r="U485" s="345">
        <f t="shared" ref="U485" si="1195">+T485*$X$1</f>
        <v>11730</v>
      </c>
      <c r="V485" s="383">
        <f>F485+650</f>
        <v>11690</v>
      </c>
      <c r="W485" s="345">
        <f t="shared" ref="W485" si="1196">+V485*$X$1</f>
        <v>11690</v>
      </c>
      <c r="X485" s="150"/>
      <c r="Y485" s="145"/>
      <c r="Z485" s="151"/>
      <c r="AA485" s="152"/>
      <c r="AB485" s="534" t="s">
        <v>823</v>
      </c>
    </row>
    <row r="486" spans="1:28" ht="12" customHeight="1" x14ac:dyDescent="0.2">
      <c r="A486" s="4"/>
      <c r="B486" s="698" t="s">
        <v>814</v>
      </c>
      <c r="C486" s="699"/>
      <c r="D486" s="699"/>
      <c r="E486" s="699"/>
      <c r="F486" s="486">
        <f>12*X2</f>
        <v>11040</v>
      </c>
      <c r="G486" s="388">
        <f t="shared" si="1188"/>
        <v>11040</v>
      </c>
      <c r="H486" s="107">
        <f>F486+2200</f>
        <v>13240</v>
      </c>
      <c r="I486" s="388">
        <f t="shared" ref="I486" si="1197">+H486*$X$1</f>
        <v>13240</v>
      </c>
      <c r="J486" s="107">
        <f>F486+550</f>
        <v>11590</v>
      </c>
      <c r="K486" s="388">
        <f t="shared" ref="K486" si="1198">+J486*$X$1</f>
        <v>11590</v>
      </c>
      <c r="L486" s="107">
        <f>F486+480</f>
        <v>11520</v>
      </c>
      <c r="M486" s="388">
        <f t="shared" ref="M486" si="1199">+L486*$X$1</f>
        <v>11520</v>
      </c>
      <c r="N486" s="107">
        <f>F486+440</f>
        <v>11480</v>
      </c>
      <c r="O486" s="388">
        <f t="shared" ref="O486" si="1200">+N486*$X$1</f>
        <v>11480</v>
      </c>
      <c r="P486" s="107">
        <f>F486+410</f>
        <v>11450</v>
      </c>
      <c r="Q486" s="388">
        <f t="shared" ref="Q486" si="1201">+P486*$X$1</f>
        <v>11450</v>
      </c>
      <c r="R486" s="107">
        <f>F486+390</f>
        <v>11430</v>
      </c>
      <c r="S486" s="388">
        <f t="shared" ref="S486" si="1202">+R486*$X$1</f>
        <v>11430</v>
      </c>
      <c r="T486" s="107">
        <f>F486+350</f>
        <v>11390</v>
      </c>
      <c r="U486" s="388">
        <f t="shared" ref="U486" si="1203">+T486*$X$1</f>
        <v>11390</v>
      </c>
      <c r="V486" s="107">
        <f>F486+320</f>
        <v>11360</v>
      </c>
      <c r="W486" s="388">
        <f t="shared" ref="W486" si="1204">+V486*$X$1</f>
        <v>11360</v>
      </c>
      <c r="X486" s="150"/>
      <c r="Y486" s="145"/>
      <c r="Z486" s="151"/>
      <c r="AA486" s="152"/>
      <c r="AB486" s="534">
        <v>875</v>
      </c>
    </row>
    <row r="487" spans="1:28" ht="12.6" customHeight="1" x14ac:dyDescent="0.2">
      <c r="A487" s="4"/>
      <c r="B487" s="700" t="s">
        <v>906</v>
      </c>
      <c r="C487" s="701"/>
      <c r="D487" s="701"/>
      <c r="E487" s="701"/>
      <c r="F487" s="487">
        <f>17.96*X2</f>
        <v>16523.2</v>
      </c>
      <c r="G487" s="372">
        <f t="shared" ref="G487" si="1205">+F487*$X$1</f>
        <v>16523.2</v>
      </c>
      <c r="H487" s="108">
        <f>F487+2200</f>
        <v>18723.2</v>
      </c>
      <c r="I487" s="372">
        <f t="shared" ref="I487" si="1206">+H487*$X$1</f>
        <v>18723.2</v>
      </c>
      <c r="J487" s="108">
        <f>F487+550</f>
        <v>17073.2</v>
      </c>
      <c r="K487" s="372">
        <f t="shared" ref="K487" si="1207">+J487*$X$1</f>
        <v>17073.2</v>
      </c>
      <c r="L487" s="108">
        <f>F487+480</f>
        <v>17003.2</v>
      </c>
      <c r="M487" s="372">
        <f t="shared" ref="M487" si="1208">+L487*$X$1</f>
        <v>17003.2</v>
      </c>
      <c r="N487" s="108">
        <f>F487+440</f>
        <v>16963.2</v>
      </c>
      <c r="O487" s="372">
        <f t="shared" ref="O487" si="1209">+N487*$X$1</f>
        <v>16963.2</v>
      </c>
      <c r="P487" s="108">
        <f>F487+410</f>
        <v>16933.2</v>
      </c>
      <c r="Q487" s="372">
        <f t="shared" ref="Q487" si="1210">+P487*$X$1</f>
        <v>16933.2</v>
      </c>
      <c r="R487" s="108">
        <f>F487+390</f>
        <v>16913.2</v>
      </c>
      <c r="S487" s="372">
        <f t="shared" ref="S487" si="1211">+R487*$X$1</f>
        <v>16913.2</v>
      </c>
      <c r="T487" s="108">
        <f>F487+350</f>
        <v>16873.2</v>
      </c>
      <c r="U487" s="372">
        <f t="shared" ref="U487" si="1212">+T487*$X$1</f>
        <v>16873.2</v>
      </c>
      <c r="V487" s="108">
        <f>F487+320</f>
        <v>16843.2</v>
      </c>
      <c r="W487" s="372">
        <f t="shared" ref="W487" si="1213">+V487*$X$1</f>
        <v>16843.2</v>
      </c>
      <c r="X487" s="150"/>
      <c r="Y487" s="145"/>
      <c r="Z487" s="151"/>
      <c r="AA487" s="152"/>
      <c r="AB487" s="534">
        <v>876</v>
      </c>
    </row>
    <row r="488" spans="1:28" ht="12.6" customHeight="1" x14ac:dyDescent="0.2">
      <c r="A488" s="4"/>
      <c r="B488" s="700" t="s">
        <v>851</v>
      </c>
      <c r="C488" s="701"/>
      <c r="D488" s="701"/>
      <c r="E488" s="701"/>
      <c r="F488" s="486">
        <f>15.37*X2</f>
        <v>14140.4</v>
      </c>
      <c r="G488" s="388">
        <f t="shared" ref="G488" si="1214">+F488*$X$1</f>
        <v>14140.4</v>
      </c>
      <c r="H488" s="604">
        <f>F488+3000</f>
        <v>17140.400000000001</v>
      </c>
      <c r="I488" s="346">
        <f t="shared" ref="I488:I489" si="1215">+H488*$X$1</f>
        <v>17140.400000000001</v>
      </c>
      <c r="J488" s="604">
        <f>F488+900</f>
        <v>15040.4</v>
      </c>
      <c r="K488" s="346">
        <f t="shared" ref="K488:K489" si="1216">+J488*$X$1</f>
        <v>15040.4</v>
      </c>
      <c r="L488" s="604">
        <f>F488+840</f>
        <v>14980.4</v>
      </c>
      <c r="M488" s="346">
        <f t="shared" ref="M488:M489" si="1217">+L488*$X$1</f>
        <v>14980.4</v>
      </c>
      <c r="N488" s="604">
        <f>F488+800</f>
        <v>14940.4</v>
      </c>
      <c r="O488" s="346">
        <f t="shared" ref="O488:O489" si="1218">+N488*$X$1</f>
        <v>14940.4</v>
      </c>
      <c r="P488" s="604">
        <f>F488+760</f>
        <v>14900.4</v>
      </c>
      <c r="Q488" s="346">
        <f t="shared" ref="Q488:Q489" si="1219">+P488*$X$1</f>
        <v>14900.4</v>
      </c>
      <c r="R488" s="604">
        <f>F488+730</f>
        <v>14870.4</v>
      </c>
      <c r="S488" s="346">
        <f t="shared" ref="S488:S489" si="1220">+R488*$X$1</f>
        <v>14870.4</v>
      </c>
      <c r="T488" s="604">
        <f>F488+690</f>
        <v>14830.4</v>
      </c>
      <c r="U488" s="346">
        <f t="shared" ref="U488:U489" si="1221">+T488*$X$1</f>
        <v>14830.4</v>
      </c>
      <c r="V488" s="604">
        <f>F488+650</f>
        <v>14790.4</v>
      </c>
      <c r="W488" s="346">
        <f t="shared" ref="W488:W489" si="1222">+V488*$X$1</f>
        <v>14790.4</v>
      </c>
      <c r="X488" s="150"/>
      <c r="Y488" s="145"/>
      <c r="Z488" s="151"/>
      <c r="AA488" s="152"/>
      <c r="AB488" s="534" t="s">
        <v>751</v>
      </c>
    </row>
    <row r="489" spans="1:28" ht="12.6" customHeight="1" x14ac:dyDescent="0.2">
      <c r="A489" s="4"/>
      <c r="B489" s="700" t="s">
        <v>852</v>
      </c>
      <c r="C489" s="701"/>
      <c r="D489" s="701"/>
      <c r="E489" s="701"/>
      <c r="F489" s="487">
        <f>15.37*X2</f>
        <v>14140.4</v>
      </c>
      <c r="G489" s="372">
        <f t="shared" ref="G489" si="1223">+F489*$X$1</f>
        <v>14140.4</v>
      </c>
      <c r="H489" s="108">
        <f>F489+2200</f>
        <v>16340.4</v>
      </c>
      <c r="I489" s="372">
        <f t="shared" si="1215"/>
        <v>16340.4</v>
      </c>
      <c r="J489" s="108">
        <f>F489+550</f>
        <v>14690.4</v>
      </c>
      <c r="K489" s="372">
        <f t="shared" si="1216"/>
        <v>14690.4</v>
      </c>
      <c r="L489" s="108">
        <f>F489+480</f>
        <v>14620.4</v>
      </c>
      <c r="M489" s="372">
        <f t="shared" si="1217"/>
        <v>14620.4</v>
      </c>
      <c r="N489" s="108">
        <f>F489+440</f>
        <v>14580.4</v>
      </c>
      <c r="O489" s="372">
        <f t="shared" si="1218"/>
        <v>14580.4</v>
      </c>
      <c r="P489" s="108">
        <f>F489+410</f>
        <v>14550.4</v>
      </c>
      <c r="Q489" s="372">
        <f t="shared" si="1219"/>
        <v>14550.4</v>
      </c>
      <c r="R489" s="108">
        <f>F489+390</f>
        <v>14530.4</v>
      </c>
      <c r="S489" s="372">
        <f t="shared" si="1220"/>
        <v>14530.4</v>
      </c>
      <c r="T489" s="108">
        <f>F489+350</f>
        <v>14490.4</v>
      </c>
      <c r="U489" s="372">
        <f t="shared" si="1221"/>
        <v>14490.4</v>
      </c>
      <c r="V489" s="108">
        <f>F489+320</f>
        <v>14460.4</v>
      </c>
      <c r="W489" s="372">
        <f t="shared" si="1222"/>
        <v>14460.4</v>
      </c>
      <c r="X489" s="150"/>
      <c r="Y489" s="145"/>
      <c r="Z489" s="151"/>
      <c r="AA489" s="152"/>
      <c r="AB489" s="534">
        <v>878</v>
      </c>
    </row>
    <row r="490" spans="1:28" ht="12.6" customHeight="1" x14ac:dyDescent="0.2">
      <c r="A490" s="4"/>
      <c r="B490" s="951" t="s">
        <v>815</v>
      </c>
      <c r="C490" s="952"/>
      <c r="D490" s="952"/>
      <c r="E490" s="952"/>
      <c r="F490" s="596">
        <f>19.3*X2</f>
        <v>17756</v>
      </c>
      <c r="G490" s="411">
        <f t="shared" ref="G490" si="1224">+F490*$X$1</f>
        <v>17756</v>
      </c>
      <c r="H490" s="680">
        <f>F490+3000</f>
        <v>20756</v>
      </c>
      <c r="I490" s="410">
        <f t="shared" ref="I490:I491" si="1225">+H490*$X$1</f>
        <v>20756</v>
      </c>
      <c r="J490" s="680">
        <f>F490+900</f>
        <v>18656</v>
      </c>
      <c r="K490" s="410">
        <f t="shared" ref="K490:K491" si="1226">+J490*$X$1</f>
        <v>18656</v>
      </c>
      <c r="L490" s="680">
        <f>F490+840</f>
        <v>18596</v>
      </c>
      <c r="M490" s="410">
        <f t="shared" ref="M490:M491" si="1227">+L490*$X$1</f>
        <v>18596</v>
      </c>
      <c r="N490" s="680">
        <f>F490+800</f>
        <v>18556</v>
      </c>
      <c r="O490" s="410">
        <f t="shared" ref="O490:O491" si="1228">+N490*$X$1</f>
        <v>18556</v>
      </c>
      <c r="P490" s="680">
        <f>F490+760</f>
        <v>18516</v>
      </c>
      <c r="Q490" s="410">
        <f t="shared" ref="Q490:Q491" si="1229">+P490*$X$1</f>
        <v>18516</v>
      </c>
      <c r="R490" s="680">
        <f>F490+730</f>
        <v>18486</v>
      </c>
      <c r="S490" s="410">
        <f t="shared" ref="S490:S491" si="1230">+R490*$X$1</f>
        <v>18486</v>
      </c>
      <c r="T490" s="680">
        <f>F490+690</f>
        <v>18446</v>
      </c>
      <c r="U490" s="410">
        <f t="shared" ref="U490:U491" si="1231">+T490*$X$1</f>
        <v>18446</v>
      </c>
      <c r="V490" s="680">
        <f>F490+650</f>
        <v>18406</v>
      </c>
      <c r="W490" s="410">
        <f t="shared" ref="W490:W491" si="1232">+V490*$X$1</f>
        <v>18406</v>
      </c>
      <c r="X490" s="150"/>
      <c r="Y490" s="145"/>
      <c r="Z490" s="151"/>
      <c r="AA490" s="152"/>
      <c r="AB490" s="534" t="s">
        <v>706</v>
      </c>
    </row>
    <row r="491" spans="1:28" ht="12.6" customHeight="1" x14ac:dyDescent="0.2">
      <c r="A491" s="4"/>
      <c r="B491" s="909" t="s">
        <v>816</v>
      </c>
      <c r="C491" s="910"/>
      <c r="D491" s="910"/>
      <c r="E491" s="910"/>
      <c r="F491" s="596">
        <f>19.3*X2</f>
        <v>17756</v>
      </c>
      <c r="G491" s="411">
        <f t="shared" ref="G491:G492" si="1233">+F491*$X$1</f>
        <v>17756</v>
      </c>
      <c r="H491" s="122">
        <f>F491+2200</f>
        <v>19956</v>
      </c>
      <c r="I491" s="411">
        <f t="shared" si="1225"/>
        <v>19956</v>
      </c>
      <c r="J491" s="122">
        <f>F491+550</f>
        <v>18306</v>
      </c>
      <c r="K491" s="411">
        <f t="shared" si="1226"/>
        <v>18306</v>
      </c>
      <c r="L491" s="122">
        <f>F491+480</f>
        <v>18236</v>
      </c>
      <c r="M491" s="411">
        <f t="shared" si="1227"/>
        <v>18236</v>
      </c>
      <c r="N491" s="122">
        <f>F491+440</f>
        <v>18196</v>
      </c>
      <c r="O491" s="411">
        <f t="shared" si="1228"/>
        <v>18196</v>
      </c>
      <c r="P491" s="122">
        <f>F491+410</f>
        <v>18166</v>
      </c>
      <c r="Q491" s="411">
        <f t="shared" si="1229"/>
        <v>18166</v>
      </c>
      <c r="R491" s="122">
        <f>F491+390</f>
        <v>18146</v>
      </c>
      <c r="S491" s="411">
        <f t="shared" si="1230"/>
        <v>18146</v>
      </c>
      <c r="T491" s="122">
        <f>F491+350</f>
        <v>18106</v>
      </c>
      <c r="U491" s="411">
        <f t="shared" si="1231"/>
        <v>18106</v>
      </c>
      <c r="V491" s="122">
        <f>F491+320</f>
        <v>18076</v>
      </c>
      <c r="W491" s="411">
        <f t="shared" si="1232"/>
        <v>18076</v>
      </c>
      <c r="X491" s="150"/>
      <c r="Y491" s="145"/>
      <c r="Z491" s="151"/>
      <c r="AA491" s="152"/>
      <c r="AB491" s="534">
        <v>880</v>
      </c>
    </row>
    <row r="492" spans="1:28" ht="12.6" customHeight="1" x14ac:dyDescent="0.2">
      <c r="A492" s="4"/>
      <c r="B492" s="911" t="s">
        <v>817</v>
      </c>
      <c r="C492" s="800"/>
      <c r="D492" s="800"/>
      <c r="E492" s="800"/>
      <c r="F492" s="486">
        <f>31.4*X2</f>
        <v>28888</v>
      </c>
      <c r="G492" s="388">
        <f t="shared" si="1233"/>
        <v>28888</v>
      </c>
      <c r="H492" s="604">
        <f>F492+3000</f>
        <v>31888</v>
      </c>
      <c r="I492" s="346">
        <f t="shared" ref="I492:I493" si="1234">+H492*$X$1</f>
        <v>31888</v>
      </c>
      <c r="J492" s="604">
        <f>F492+900</f>
        <v>29788</v>
      </c>
      <c r="K492" s="346">
        <f t="shared" ref="K492:K493" si="1235">+J492*$X$1</f>
        <v>29788</v>
      </c>
      <c r="L492" s="604">
        <f>F492+840</f>
        <v>29728</v>
      </c>
      <c r="M492" s="346">
        <f t="shared" ref="M492:M493" si="1236">+L492*$X$1</f>
        <v>29728</v>
      </c>
      <c r="N492" s="604">
        <f>F492+800</f>
        <v>29688</v>
      </c>
      <c r="O492" s="346">
        <f t="shared" ref="O492:O493" si="1237">+N492*$X$1</f>
        <v>29688</v>
      </c>
      <c r="P492" s="604">
        <f>F492+760</f>
        <v>29648</v>
      </c>
      <c r="Q492" s="346">
        <f t="shared" ref="Q492:Q493" si="1238">+P492*$X$1</f>
        <v>29648</v>
      </c>
      <c r="R492" s="604">
        <f>F492+730</f>
        <v>29618</v>
      </c>
      <c r="S492" s="346">
        <f t="shared" ref="S492:S493" si="1239">+R492*$X$1</f>
        <v>29618</v>
      </c>
      <c r="T492" s="604">
        <f>F492+690</f>
        <v>29578</v>
      </c>
      <c r="U492" s="346">
        <f t="shared" ref="U492:U493" si="1240">+T492*$X$1</f>
        <v>29578</v>
      </c>
      <c r="V492" s="604">
        <f>F492+650</f>
        <v>29538</v>
      </c>
      <c r="W492" s="346">
        <f t="shared" ref="W492:W493" si="1241">+V492*$X$1</f>
        <v>29538</v>
      </c>
      <c r="X492" s="150"/>
      <c r="Y492" s="145"/>
      <c r="Z492" s="151"/>
      <c r="AA492" s="152"/>
      <c r="AB492" s="534" t="s">
        <v>707</v>
      </c>
    </row>
    <row r="493" spans="1:28" ht="12.6" customHeight="1" x14ac:dyDescent="0.2">
      <c r="A493" s="4"/>
      <c r="B493" s="748" t="s">
        <v>818</v>
      </c>
      <c r="C493" s="720"/>
      <c r="D493" s="720"/>
      <c r="E493" s="720"/>
      <c r="F493" s="487">
        <f>31.4*X2</f>
        <v>28888</v>
      </c>
      <c r="G493" s="372">
        <f t="shared" ref="G493:G494" si="1242">+F493*$X$1</f>
        <v>28888</v>
      </c>
      <c r="H493" s="108">
        <f>F493+2200</f>
        <v>31088</v>
      </c>
      <c r="I493" s="372">
        <f t="shared" si="1234"/>
        <v>31088</v>
      </c>
      <c r="J493" s="108">
        <f>F493+550</f>
        <v>29438</v>
      </c>
      <c r="K493" s="372">
        <f t="shared" si="1235"/>
        <v>29438</v>
      </c>
      <c r="L493" s="108">
        <f>F493+480</f>
        <v>29368</v>
      </c>
      <c r="M493" s="372">
        <f t="shared" si="1236"/>
        <v>29368</v>
      </c>
      <c r="N493" s="108">
        <f>F493+440</f>
        <v>29328</v>
      </c>
      <c r="O493" s="372">
        <f t="shared" si="1237"/>
        <v>29328</v>
      </c>
      <c r="P493" s="108">
        <f>F493+410</f>
        <v>29298</v>
      </c>
      <c r="Q493" s="372">
        <f t="shared" si="1238"/>
        <v>29298</v>
      </c>
      <c r="R493" s="108">
        <f>F493+390</f>
        <v>29278</v>
      </c>
      <c r="S493" s="372">
        <f t="shared" si="1239"/>
        <v>29278</v>
      </c>
      <c r="T493" s="108">
        <f>F493+350</f>
        <v>29238</v>
      </c>
      <c r="U493" s="372">
        <f t="shared" si="1240"/>
        <v>29238</v>
      </c>
      <c r="V493" s="108">
        <f>F493+320</f>
        <v>29208</v>
      </c>
      <c r="W493" s="372">
        <f t="shared" si="1241"/>
        <v>29208</v>
      </c>
      <c r="X493" s="150"/>
      <c r="Y493" s="145"/>
      <c r="Z493" s="151"/>
      <c r="AA493" s="152"/>
      <c r="AB493" s="534">
        <v>881</v>
      </c>
    </row>
    <row r="494" spans="1:28" ht="12.6" customHeight="1" x14ac:dyDescent="0.2">
      <c r="A494" s="4"/>
      <c r="B494" s="911" t="s">
        <v>819</v>
      </c>
      <c r="C494" s="800"/>
      <c r="D494" s="800"/>
      <c r="E494" s="800"/>
      <c r="F494" s="486">
        <f>20.241*X2</f>
        <v>18621.72</v>
      </c>
      <c r="G494" s="388">
        <f t="shared" si="1242"/>
        <v>18621.72</v>
      </c>
      <c r="H494" s="107">
        <f>F494+2000</f>
        <v>20621.72</v>
      </c>
      <c r="I494" s="388">
        <f t="shared" ref="I494:I496" si="1243">+H494*$X$1</f>
        <v>20621.72</v>
      </c>
      <c r="J494" s="107">
        <f>F494+500</f>
        <v>19121.72</v>
      </c>
      <c r="K494" s="388">
        <f t="shared" ref="K494:K496" si="1244">+J494*$X$1</f>
        <v>19121.72</v>
      </c>
      <c r="L494" s="107">
        <f>F494+460</f>
        <v>19081.72</v>
      </c>
      <c r="M494" s="388">
        <f t="shared" ref="M494:M496" si="1245">+L494*$X$1</f>
        <v>19081.72</v>
      </c>
      <c r="N494" s="107">
        <f>F494+430</f>
        <v>19051.72</v>
      </c>
      <c r="O494" s="388">
        <f t="shared" ref="O494:O496" si="1246">+N494*$X$1</f>
        <v>19051.72</v>
      </c>
      <c r="P494" s="107">
        <f>F494+400</f>
        <v>19021.72</v>
      </c>
      <c r="Q494" s="388">
        <f t="shared" ref="Q494:Q496" si="1247">+P494*$X$1</f>
        <v>19021.72</v>
      </c>
      <c r="R494" s="107">
        <f>F494+380</f>
        <v>19001.72</v>
      </c>
      <c r="S494" s="388">
        <f t="shared" ref="S494:S496" si="1248">+R494*$X$1</f>
        <v>19001.72</v>
      </c>
      <c r="T494" s="107">
        <f>F494+350</f>
        <v>18971.72</v>
      </c>
      <c r="U494" s="388">
        <f t="shared" ref="U494:U496" si="1249">+T494*$X$1</f>
        <v>18971.72</v>
      </c>
      <c r="V494" s="107">
        <f>F494+320</f>
        <v>18941.72</v>
      </c>
      <c r="W494" s="388">
        <f t="shared" ref="W494:W496" si="1250">+V494*$X$1</f>
        <v>18941.72</v>
      </c>
      <c r="X494" s="150"/>
      <c r="Y494" s="145"/>
      <c r="Z494" s="151"/>
      <c r="AA494" s="152"/>
      <c r="AB494" s="534">
        <v>882</v>
      </c>
    </row>
    <row r="495" spans="1:28" ht="12.6" customHeight="1" x14ac:dyDescent="0.2">
      <c r="A495" s="4"/>
      <c r="B495" s="702" t="s">
        <v>550</v>
      </c>
      <c r="C495" s="703"/>
      <c r="D495" s="703"/>
      <c r="E495" s="703"/>
      <c r="F495" s="487">
        <f>24*X2</f>
        <v>22080</v>
      </c>
      <c r="G495" s="372">
        <f t="shared" ref="G495:G497" si="1251">+F495*$X$1</f>
        <v>22080</v>
      </c>
      <c r="H495" s="108">
        <f>F495+2200</f>
        <v>24280</v>
      </c>
      <c r="I495" s="372">
        <f t="shared" si="1243"/>
        <v>24280</v>
      </c>
      <c r="J495" s="108">
        <f>F495+550</f>
        <v>22630</v>
      </c>
      <c r="K495" s="372">
        <f t="shared" si="1244"/>
        <v>22630</v>
      </c>
      <c r="L495" s="108">
        <f>F495+480</f>
        <v>22560</v>
      </c>
      <c r="M495" s="372">
        <f t="shared" si="1245"/>
        <v>22560</v>
      </c>
      <c r="N495" s="108">
        <f>F495+440</f>
        <v>22520</v>
      </c>
      <c r="O495" s="372">
        <f t="shared" si="1246"/>
        <v>22520</v>
      </c>
      <c r="P495" s="108">
        <f>F495+410</f>
        <v>22490</v>
      </c>
      <c r="Q495" s="372">
        <f t="shared" si="1247"/>
        <v>22490</v>
      </c>
      <c r="R495" s="108">
        <f>F495+390</f>
        <v>22470</v>
      </c>
      <c r="S495" s="372">
        <f t="shared" si="1248"/>
        <v>22470</v>
      </c>
      <c r="T495" s="108">
        <f>F495+350</f>
        <v>22430</v>
      </c>
      <c r="U495" s="372">
        <f t="shared" si="1249"/>
        <v>22430</v>
      </c>
      <c r="V495" s="108">
        <f>F495+320</f>
        <v>22400</v>
      </c>
      <c r="W495" s="372">
        <f t="shared" si="1250"/>
        <v>22400</v>
      </c>
      <c r="X495" s="150"/>
      <c r="Y495" s="145"/>
      <c r="Z495" s="151"/>
      <c r="AA495" s="152"/>
      <c r="AB495" s="534">
        <v>883</v>
      </c>
    </row>
    <row r="496" spans="1:28" ht="12.6" customHeight="1" x14ac:dyDescent="0.2">
      <c r="A496" s="4"/>
      <c r="B496" s="742" t="s">
        <v>920</v>
      </c>
      <c r="C496" s="775"/>
      <c r="D496" s="775"/>
      <c r="E496" s="776"/>
      <c r="F496" s="486">
        <f>16.1*X2</f>
        <v>14812.000000000002</v>
      </c>
      <c r="G496" s="388">
        <f t="shared" si="1251"/>
        <v>14812.000000000002</v>
      </c>
      <c r="H496" s="691">
        <f>F496+3000</f>
        <v>17812</v>
      </c>
      <c r="I496" s="346">
        <f t="shared" si="1243"/>
        <v>17812</v>
      </c>
      <c r="J496" s="691">
        <f>F496+900</f>
        <v>15712.000000000002</v>
      </c>
      <c r="K496" s="346">
        <f t="shared" si="1244"/>
        <v>15712.000000000002</v>
      </c>
      <c r="L496" s="691">
        <f>F496+840</f>
        <v>15652.000000000002</v>
      </c>
      <c r="M496" s="346">
        <f t="shared" si="1245"/>
        <v>15652.000000000002</v>
      </c>
      <c r="N496" s="691">
        <f>F496+800</f>
        <v>15612.000000000002</v>
      </c>
      <c r="O496" s="346">
        <f t="shared" si="1246"/>
        <v>15612.000000000002</v>
      </c>
      <c r="P496" s="691">
        <f>F496+760</f>
        <v>15572.000000000002</v>
      </c>
      <c r="Q496" s="346">
        <f t="shared" si="1247"/>
        <v>15572.000000000002</v>
      </c>
      <c r="R496" s="691">
        <f>F496+730</f>
        <v>15542.000000000002</v>
      </c>
      <c r="S496" s="346">
        <f t="shared" si="1248"/>
        <v>15542.000000000002</v>
      </c>
      <c r="T496" s="691">
        <f>F496+690</f>
        <v>15502.000000000002</v>
      </c>
      <c r="U496" s="346">
        <f t="shared" si="1249"/>
        <v>15502.000000000002</v>
      </c>
      <c r="V496" s="691">
        <f>F496+650</f>
        <v>15462.000000000002</v>
      </c>
      <c r="W496" s="346">
        <f t="shared" si="1250"/>
        <v>15462.000000000002</v>
      </c>
      <c r="X496" s="150"/>
      <c r="Y496" s="145"/>
      <c r="Z496" s="151"/>
      <c r="AA496" s="152"/>
      <c r="AB496" s="534" t="s">
        <v>919</v>
      </c>
    </row>
    <row r="497" spans="1:28" ht="12.6" customHeight="1" x14ac:dyDescent="0.2">
      <c r="A497" s="4"/>
      <c r="B497" s="1056" t="s">
        <v>921</v>
      </c>
      <c r="C497" s="1057"/>
      <c r="D497" s="1057"/>
      <c r="E497" s="1058"/>
      <c r="F497" s="487">
        <f>16.1*X2</f>
        <v>14812.000000000002</v>
      </c>
      <c r="G497" s="372">
        <f t="shared" si="1251"/>
        <v>14812.000000000002</v>
      </c>
      <c r="H497" s="108">
        <f>F497+2000</f>
        <v>16812</v>
      </c>
      <c r="I497" s="372">
        <f t="shared" ref="I497" si="1252">+H497*$X$1</f>
        <v>16812</v>
      </c>
      <c r="J497" s="108">
        <f>F497+500</f>
        <v>15312.000000000002</v>
      </c>
      <c r="K497" s="372">
        <f t="shared" ref="K497" si="1253">+J497*$X$1</f>
        <v>15312.000000000002</v>
      </c>
      <c r="L497" s="108">
        <f>F497+460</f>
        <v>15272.000000000002</v>
      </c>
      <c r="M497" s="372">
        <f t="shared" ref="M497" si="1254">+L497*$X$1</f>
        <v>15272.000000000002</v>
      </c>
      <c r="N497" s="108">
        <f>F497+430</f>
        <v>15242.000000000002</v>
      </c>
      <c r="O497" s="372">
        <f t="shared" ref="O497" si="1255">+N497*$X$1</f>
        <v>15242.000000000002</v>
      </c>
      <c r="P497" s="108">
        <f>F497+400</f>
        <v>15212.000000000002</v>
      </c>
      <c r="Q497" s="372">
        <f t="shared" ref="Q497" si="1256">+P497*$X$1</f>
        <v>15212.000000000002</v>
      </c>
      <c r="R497" s="108">
        <f>F497+380</f>
        <v>15192.000000000002</v>
      </c>
      <c r="S497" s="372">
        <f t="shared" ref="S497" si="1257">+R497*$X$1</f>
        <v>15192.000000000002</v>
      </c>
      <c r="T497" s="108">
        <f>F497+350</f>
        <v>15162.000000000002</v>
      </c>
      <c r="U497" s="372">
        <f t="shared" ref="U497" si="1258">+T497*$X$1</f>
        <v>15162.000000000002</v>
      </c>
      <c r="V497" s="108">
        <f>F497+320</f>
        <v>15132.000000000002</v>
      </c>
      <c r="W497" s="372">
        <f t="shared" ref="W497" si="1259">+V497*$X$1</f>
        <v>15132.000000000002</v>
      </c>
      <c r="X497" s="150"/>
      <c r="Y497" s="145"/>
      <c r="Z497" s="151"/>
      <c r="AA497" s="152"/>
      <c r="AB497" s="534">
        <v>886</v>
      </c>
    </row>
    <row r="498" spans="1:28" ht="12.6" customHeight="1" x14ac:dyDescent="0.2">
      <c r="A498" s="4"/>
      <c r="B498" s="911" t="s">
        <v>854</v>
      </c>
      <c r="C498" s="800"/>
      <c r="D498" s="800"/>
      <c r="E498" s="800"/>
      <c r="F498" s="482">
        <f>23.5*X2</f>
        <v>21620</v>
      </c>
      <c r="G498" s="346">
        <f t="shared" ref="G498" si="1260">+F498*$X$1</f>
        <v>21620</v>
      </c>
      <c r="H498" s="604">
        <f>F498+3000</f>
        <v>24620</v>
      </c>
      <c r="I498" s="346">
        <f t="shared" ref="I498:I501" si="1261">+H498*$X$1</f>
        <v>24620</v>
      </c>
      <c r="J498" s="604">
        <f>F498+900</f>
        <v>22520</v>
      </c>
      <c r="K498" s="346">
        <f t="shared" ref="K498:K503" si="1262">+J498*$X$1</f>
        <v>22520</v>
      </c>
      <c r="L498" s="604">
        <f>F498+840</f>
        <v>22460</v>
      </c>
      <c r="M498" s="346">
        <f t="shared" ref="M498:M503" si="1263">+L498*$X$1</f>
        <v>22460</v>
      </c>
      <c r="N498" s="604">
        <f>F498+800</f>
        <v>22420</v>
      </c>
      <c r="O498" s="346">
        <f t="shared" ref="O498:O503" si="1264">+N498*$X$1</f>
        <v>22420</v>
      </c>
      <c r="P498" s="604">
        <f>F498+760</f>
        <v>22380</v>
      </c>
      <c r="Q498" s="346">
        <f t="shared" ref="Q498:Q503" si="1265">+P498*$X$1</f>
        <v>22380</v>
      </c>
      <c r="R498" s="604">
        <f>F498+730</f>
        <v>22350</v>
      </c>
      <c r="S498" s="346">
        <f t="shared" ref="S498:S503" si="1266">+R498*$X$1</f>
        <v>22350</v>
      </c>
      <c r="T498" s="604">
        <f>F498+690</f>
        <v>22310</v>
      </c>
      <c r="U498" s="346">
        <f t="shared" ref="U498:U503" si="1267">+T498*$X$1</f>
        <v>22310</v>
      </c>
      <c r="V498" s="604">
        <f>F498+650</f>
        <v>22270</v>
      </c>
      <c r="W498" s="346">
        <f t="shared" ref="W498:W503" si="1268">+V498*$X$1</f>
        <v>22270</v>
      </c>
      <c r="X498" s="150"/>
      <c r="Y498" s="145"/>
      <c r="Z498" s="151"/>
      <c r="AA498" s="152"/>
      <c r="AB498" s="534" t="s">
        <v>834</v>
      </c>
    </row>
    <row r="499" spans="1:28" ht="12.6" customHeight="1" x14ac:dyDescent="0.2">
      <c r="A499" s="4"/>
      <c r="B499" s="702" t="s">
        <v>853</v>
      </c>
      <c r="C499" s="703"/>
      <c r="D499" s="703"/>
      <c r="E499" s="703"/>
      <c r="F499" s="481">
        <f>23.45*X2</f>
        <v>21574</v>
      </c>
      <c r="G499" s="345">
        <f t="shared" ref="G499" si="1269">+F499*$X$1</f>
        <v>21574</v>
      </c>
      <c r="H499" s="108">
        <f>F499+2200</f>
        <v>23774</v>
      </c>
      <c r="I499" s="372">
        <f t="shared" si="1261"/>
        <v>23774</v>
      </c>
      <c r="J499" s="108">
        <f>F499+550</f>
        <v>22124</v>
      </c>
      <c r="K499" s="372">
        <f t="shared" si="1262"/>
        <v>22124</v>
      </c>
      <c r="L499" s="108">
        <f>F499+480</f>
        <v>22054</v>
      </c>
      <c r="M499" s="372">
        <f t="shared" si="1263"/>
        <v>22054</v>
      </c>
      <c r="N499" s="108">
        <f>F499+440</f>
        <v>22014</v>
      </c>
      <c r="O499" s="372">
        <f t="shared" si="1264"/>
        <v>22014</v>
      </c>
      <c r="P499" s="108">
        <f>F499+410</f>
        <v>21984</v>
      </c>
      <c r="Q499" s="372">
        <f t="shared" si="1265"/>
        <v>21984</v>
      </c>
      <c r="R499" s="108">
        <f>F499+390</f>
        <v>21964</v>
      </c>
      <c r="S499" s="372">
        <f t="shared" si="1266"/>
        <v>21964</v>
      </c>
      <c r="T499" s="108">
        <f>F499+350</f>
        <v>21924</v>
      </c>
      <c r="U499" s="372">
        <f t="shared" si="1267"/>
        <v>21924</v>
      </c>
      <c r="V499" s="108">
        <f>F499+320</f>
        <v>21894</v>
      </c>
      <c r="W499" s="372">
        <f t="shared" si="1268"/>
        <v>21894</v>
      </c>
      <c r="X499" s="150"/>
      <c r="Y499" s="145"/>
      <c r="Z499" s="151"/>
      <c r="AA499" s="152"/>
      <c r="AB499" s="534">
        <v>887</v>
      </c>
    </row>
    <row r="500" spans="1:28" ht="12.6" customHeight="1" x14ac:dyDescent="0.2">
      <c r="A500" s="4"/>
      <c r="B500" s="698" t="s">
        <v>750</v>
      </c>
      <c r="C500" s="699"/>
      <c r="D500" s="699"/>
      <c r="E500" s="699"/>
      <c r="F500" s="482">
        <f>14.7*X2</f>
        <v>13524</v>
      </c>
      <c r="G500" s="346">
        <f t="shared" ref="G500" si="1270">+F500*$X$1</f>
        <v>13524</v>
      </c>
      <c r="H500" s="107">
        <f>F500+2200</f>
        <v>15724</v>
      </c>
      <c r="I500" s="388">
        <f t="shared" si="1261"/>
        <v>15724</v>
      </c>
      <c r="J500" s="107">
        <f>F500+550</f>
        <v>14074</v>
      </c>
      <c r="K500" s="388">
        <f t="shared" si="1262"/>
        <v>14074</v>
      </c>
      <c r="L500" s="107">
        <f>F500+480</f>
        <v>14004</v>
      </c>
      <c r="M500" s="388">
        <f t="shared" si="1263"/>
        <v>14004</v>
      </c>
      <c r="N500" s="107">
        <f>F500+440</f>
        <v>13964</v>
      </c>
      <c r="O500" s="388">
        <f t="shared" si="1264"/>
        <v>13964</v>
      </c>
      <c r="P500" s="107">
        <f>F500+410</f>
        <v>13934</v>
      </c>
      <c r="Q500" s="388">
        <f t="shared" si="1265"/>
        <v>13934</v>
      </c>
      <c r="R500" s="107">
        <f>F500+390</f>
        <v>13914</v>
      </c>
      <c r="S500" s="388">
        <f t="shared" si="1266"/>
        <v>13914</v>
      </c>
      <c r="T500" s="107">
        <f>F500+350</f>
        <v>13874</v>
      </c>
      <c r="U500" s="388">
        <f t="shared" si="1267"/>
        <v>13874</v>
      </c>
      <c r="V500" s="107">
        <f>F500+320</f>
        <v>13844</v>
      </c>
      <c r="W500" s="388">
        <f t="shared" si="1268"/>
        <v>13844</v>
      </c>
      <c r="X500" s="150"/>
      <c r="Y500" s="145"/>
      <c r="Z500" s="151"/>
      <c r="AA500" s="152"/>
      <c r="AB500" s="534">
        <v>888</v>
      </c>
    </row>
    <row r="501" spans="1:28" ht="12.6" customHeight="1" x14ac:dyDescent="0.2">
      <c r="A501" s="4"/>
      <c r="B501" s="748" t="s">
        <v>506</v>
      </c>
      <c r="C501" s="762"/>
      <c r="D501" s="762"/>
      <c r="E501" s="762"/>
      <c r="F501" s="481">
        <f>16.8*X2</f>
        <v>15456</v>
      </c>
      <c r="G501" s="345">
        <f t="shared" ref="G501" si="1271">+F501*$X$1</f>
        <v>15456</v>
      </c>
      <c r="H501" s="108">
        <f>F501+2200</f>
        <v>17656</v>
      </c>
      <c r="I501" s="372">
        <f t="shared" si="1261"/>
        <v>17656</v>
      </c>
      <c r="J501" s="108">
        <f>F501+550</f>
        <v>16006</v>
      </c>
      <c r="K501" s="372">
        <f t="shared" si="1262"/>
        <v>16006</v>
      </c>
      <c r="L501" s="108">
        <f>F501+480</f>
        <v>15936</v>
      </c>
      <c r="M501" s="372">
        <f t="shared" si="1263"/>
        <v>15936</v>
      </c>
      <c r="N501" s="108">
        <f>F501+440</f>
        <v>15896</v>
      </c>
      <c r="O501" s="372">
        <f t="shared" si="1264"/>
        <v>15896</v>
      </c>
      <c r="P501" s="108">
        <f>F501+410</f>
        <v>15866</v>
      </c>
      <c r="Q501" s="372">
        <f t="shared" si="1265"/>
        <v>15866</v>
      </c>
      <c r="R501" s="108">
        <f>F501+390</f>
        <v>15846</v>
      </c>
      <c r="S501" s="372">
        <f t="shared" si="1266"/>
        <v>15846</v>
      </c>
      <c r="T501" s="108">
        <f>F501+350</f>
        <v>15806</v>
      </c>
      <c r="U501" s="372">
        <f t="shared" si="1267"/>
        <v>15806</v>
      </c>
      <c r="V501" s="108">
        <f>F501+320</f>
        <v>15776</v>
      </c>
      <c r="W501" s="372">
        <f t="shared" si="1268"/>
        <v>15776</v>
      </c>
      <c r="X501" s="150"/>
      <c r="Y501" s="145"/>
      <c r="Z501" s="151"/>
      <c r="AA501" s="152"/>
      <c r="AB501" s="534">
        <v>894</v>
      </c>
    </row>
    <row r="502" spans="1:28" ht="12.6" customHeight="1" x14ac:dyDescent="0.2">
      <c r="A502" s="4"/>
      <c r="B502" s="698" t="s">
        <v>809</v>
      </c>
      <c r="C502" s="699"/>
      <c r="D502" s="699"/>
      <c r="E502" s="699"/>
      <c r="F502" s="482">
        <f>16*X2</f>
        <v>14720</v>
      </c>
      <c r="G502" s="346">
        <f t="shared" ref="G502:G505" si="1272">+F502*$X$1</f>
        <v>14720</v>
      </c>
      <c r="H502" s="679">
        <f>F502+3000</f>
        <v>17720</v>
      </c>
      <c r="I502" s="346">
        <f t="shared" ref="I502:I503" si="1273">+H502*$X$1</f>
        <v>17720</v>
      </c>
      <c r="J502" s="679">
        <f>F502+900</f>
        <v>15620</v>
      </c>
      <c r="K502" s="346">
        <f t="shared" si="1262"/>
        <v>15620</v>
      </c>
      <c r="L502" s="679">
        <f>F502+840</f>
        <v>15560</v>
      </c>
      <c r="M502" s="346">
        <f t="shared" si="1263"/>
        <v>15560</v>
      </c>
      <c r="N502" s="679">
        <f>F502+800</f>
        <v>15520</v>
      </c>
      <c r="O502" s="346">
        <f t="shared" si="1264"/>
        <v>15520</v>
      </c>
      <c r="P502" s="679">
        <f>F502+760</f>
        <v>15480</v>
      </c>
      <c r="Q502" s="346">
        <f t="shared" si="1265"/>
        <v>15480</v>
      </c>
      <c r="R502" s="679">
        <f>F502+730</f>
        <v>15450</v>
      </c>
      <c r="S502" s="346">
        <f t="shared" si="1266"/>
        <v>15450</v>
      </c>
      <c r="T502" s="679">
        <f>F502+690</f>
        <v>15410</v>
      </c>
      <c r="U502" s="346">
        <f t="shared" si="1267"/>
        <v>15410</v>
      </c>
      <c r="V502" s="679">
        <f>F502+650</f>
        <v>15370</v>
      </c>
      <c r="W502" s="346">
        <f t="shared" si="1268"/>
        <v>15370</v>
      </c>
      <c r="X502" s="150"/>
      <c r="Y502" s="145"/>
      <c r="Z502" s="151"/>
      <c r="AA502" s="152"/>
      <c r="AB502" s="534">
        <v>896</v>
      </c>
    </row>
    <row r="503" spans="1:28" ht="12.6" customHeight="1" x14ac:dyDescent="0.2">
      <c r="A503" s="4"/>
      <c r="B503" s="748" t="s">
        <v>749</v>
      </c>
      <c r="C503" s="720"/>
      <c r="D503" s="720"/>
      <c r="E503" s="720"/>
      <c r="F503" s="481">
        <f>16*X2</f>
        <v>14720</v>
      </c>
      <c r="G503" s="345">
        <f t="shared" si="1272"/>
        <v>14720</v>
      </c>
      <c r="H503" s="108">
        <f>F503+2200</f>
        <v>16920</v>
      </c>
      <c r="I503" s="372">
        <f t="shared" si="1273"/>
        <v>16920</v>
      </c>
      <c r="J503" s="108">
        <f>F503+550</f>
        <v>15270</v>
      </c>
      <c r="K503" s="372">
        <f t="shared" si="1262"/>
        <v>15270</v>
      </c>
      <c r="L503" s="108">
        <f>F503+480</f>
        <v>15200</v>
      </c>
      <c r="M503" s="372">
        <f t="shared" si="1263"/>
        <v>15200</v>
      </c>
      <c r="N503" s="108">
        <f>F503+440</f>
        <v>15160</v>
      </c>
      <c r="O503" s="372">
        <f t="shared" si="1264"/>
        <v>15160</v>
      </c>
      <c r="P503" s="108">
        <f>F503+410</f>
        <v>15130</v>
      </c>
      <c r="Q503" s="372">
        <f t="shared" si="1265"/>
        <v>15130</v>
      </c>
      <c r="R503" s="108">
        <f>F503+390</f>
        <v>15110</v>
      </c>
      <c r="S503" s="372">
        <f t="shared" si="1266"/>
        <v>15110</v>
      </c>
      <c r="T503" s="108">
        <f>F503+350</f>
        <v>15070</v>
      </c>
      <c r="U503" s="372">
        <f t="shared" si="1267"/>
        <v>15070</v>
      </c>
      <c r="V503" s="108">
        <f>F503+320</f>
        <v>15040</v>
      </c>
      <c r="W503" s="372">
        <f t="shared" si="1268"/>
        <v>15040</v>
      </c>
      <c r="X503" s="150"/>
      <c r="Y503" s="145"/>
      <c r="Z503" s="151"/>
      <c r="AA503" s="152"/>
      <c r="AB503" s="534">
        <v>896</v>
      </c>
    </row>
    <row r="504" spans="1:28" ht="12.6" customHeight="1" x14ac:dyDescent="0.2">
      <c r="A504" s="4"/>
      <c r="B504" s="698" t="s">
        <v>752</v>
      </c>
      <c r="C504" s="1258"/>
      <c r="D504" s="1258"/>
      <c r="E504" s="1258"/>
      <c r="F504" s="482">
        <f>21*X2</f>
        <v>19320</v>
      </c>
      <c r="G504" s="346">
        <f t="shared" si="1272"/>
        <v>19320</v>
      </c>
      <c r="H504" s="679">
        <f>F504+3000</f>
        <v>22320</v>
      </c>
      <c r="I504" s="346">
        <f t="shared" ref="I504:I508" si="1274">+H504*$X$1</f>
        <v>22320</v>
      </c>
      <c r="J504" s="679">
        <f>F504+900</f>
        <v>20220</v>
      </c>
      <c r="K504" s="346">
        <f t="shared" ref="K504:K505" si="1275">+J504*$X$1</f>
        <v>20220</v>
      </c>
      <c r="L504" s="679">
        <f>F504+840</f>
        <v>20160</v>
      </c>
      <c r="M504" s="346">
        <f t="shared" ref="M504:M505" si="1276">+L504*$X$1</f>
        <v>20160</v>
      </c>
      <c r="N504" s="679">
        <f>F504+800</f>
        <v>20120</v>
      </c>
      <c r="O504" s="346">
        <f t="shared" ref="O504:O505" si="1277">+N504*$X$1</f>
        <v>20120</v>
      </c>
      <c r="P504" s="679">
        <f>F504+760</f>
        <v>20080</v>
      </c>
      <c r="Q504" s="346">
        <f t="shared" ref="Q504:Q505" si="1278">+P504*$X$1</f>
        <v>20080</v>
      </c>
      <c r="R504" s="679">
        <f>F504+730</f>
        <v>20050</v>
      </c>
      <c r="S504" s="346">
        <f t="shared" ref="S504:S505" si="1279">+R504*$X$1</f>
        <v>20050</v>
      </c>
      <c r="T504" s="679">
        <f>F504+690</f>
        <v>20010</v>
      </c>
      <c r="U504" s="346">
        <f t="shared" ref="U504:U505" si="1280">+T504*$X$1</f>
        <v>20010</v>
      </c>
      <c r="V504" s="679">
        <f>F504+650</f>
        <v>19970</v>
      </c>
      <c r="W504" s="346">
        <f t="shared" ref="W504:W505" si="1281">+V504*$X$1</f>
        <v>19970</v>
      </c>
      <c r="X504" s="150"/>
      <c r="Y504" s="145"/>
      <c r="Z504" s="151"/>
      <c r="AA504" s="152"/>
      <c r="AB504" s="534">
        <v>899</v>
      </c>
    </row>
    <row r="505" spans="1:28" ht="12.6" customHeight="1" x14ac:dyDescent="0.2">
      <c r="A505" s="4"/>
      <c r="B505" s="748" t="s">
        <v>761</v>
      </c>
      <c r="C505" s="900"/>
      <c r="D505" s="900"/>
      <c r="E505" s="900"/>
      <c r="F505" s="481">
        <f>20.9*X2</f>
        <v>19228</v>
      </c>
      <c r="G505" s="345">
        <f t="shared" si="1272"/>
        <v>19228</v>
      </c>
      <c r="H505" s="108">
        <f>F505+2200</f>
        <v>21428</v>
      </c>
      <c r="I505" s="372">
        <f t="shared" si="1274"/>
        <v>21428</v>
      </c>
      <c r="J505" s="108">
        <f>F505+550</f>
        <v>19778</v>
      </c>
      <c r="K505" s="372">
        <f t="shared" si="1275"/>
        <v>19778</v>
      </c>
      <c r="L505" s="108">
        <f>F505+480</f>
        <v>19708</v>
      </c>
      <c r="M505" s="372">
        <f t="shared" si="1276"/>
        <v>19708</v>
      </c>
      <c r="N505" s="108">
        <f>F505+440</f>
        <v>19668</v>
      </c>
      <c r="O505" s="372">
        <f t="shared" si="1277"/>
        <v>19668</v>
      </c>
      <c r="P505" s="108">
        <f>F505+410</f>
        <v>19638</v>
      </c>
      <c r="Q505" s="372">
        <f t="shared" si="1278"/>
        <v>19638</v>
      </c>
      <c r="R505" s="108">
        <f>F505+390</f>
        <v>19618</v>
      </c>
      <c r="S505" s="372">
        <f t="shared" si="1279"/>
        <v>19618</v>
      </c>
      <c r="T505" s="108">
        <f>F505+350</f>
        <v>19578</v>
      </c>
      <c r="U505" s="372">
        <f t="shared" si="1280"/>
        <v>19578</v>
      </c>
      <c r="V505" s="108">
        <f>F505+320</f>
        <v>19548</v>
      </c>
      <c r="W505" s="372">
        <f t="shared" si="1281"/>
        <v>19548</v>
      </c>
      <c r="X505" s="150"/>
      <c r="Y505" s="145"/>
      <c r="Z505" s="151"/>
      <c r="AA505" s="152"/>
      <c r="AB505" s="534" t="s">
        <v>762</v>
      </c>
    </row>
    <row r="506" spans="1:28" ht="12.6" customHeight="1" x14ac:dyDescent="0.2">
      <c r="A506" s="4"/>
      <c r="B506" s="698" t="s">
        <v>589</v>
      </c>
      <c r="C506" s="713"/>
      <c r="D506" s="713"/>
      <c r="E506" s="713"/>
      <c r="F506" s="482">
        <f>22.9*X2</f>
        <v>21068</v>
      </c>
      <c r="G506" s="346">
        <f t="shared" ref="G506" si="1282">+F506*$X$1</f>
        <v>21068</v>
      </c>
      <c r="H506" s="679">
        <f>F506+3000</f>
        <v>24068</v>
      </c>
      <c r="I506" s="346">
        <f t="shared" si="1274"/>
        <v>24068</v>
      </c>
      <c r="J506" s="679">
        <f>F506+900</f>
        <v>21968</v>
      </c>
      <c r="K506" s="346">
        <f t="shared" ref="K506:K510" si="1283">+J506*$X$1</f>
        <v>21968</v>
      </c>
      <c r="L506" s="679">
        <f>F506+840</f>
        <v>21908</v>
      </c>
      <c r="M506" s="346">
        <f t="shared" ref="M506:M510" si="1284">+L506*$X$1</f>
        <v>21908</v>
      </c>
      <c r="N506" s="679">
        <f>F506+800</f>
        <v>21868</v>
      </c>
      <c r="O506" s="346">
        <f t="shared" ref="O506:O510" si="1285">+N506*$X$1</f>
        <v>21868</v>
      </c>
      <c r="P506" s="679">
        <f>F506+760</f>
        <v>21828</v>
      </c>
      <c r="Q506" s="346">
        <f t="shared" ref="Q506:Q510" si="1286">+P506*$X$1</f>
        <v>21828</v>
      </c>
      <c r="R506" s="679">
        <f>F506+730</f>
        <v>21798</v>
      </c>
      <c r="S506" s="346">
        <f t="shared" ref="S506:S510" si="1287">+R506*$X$1</f>
        <v>21798</v>
      </c>
      <c r="T506" s="679">
        <f>F506+690</f>
        <v>21758</v>
      </c>
      <c r="U506" s="346">
        <f t="shared" ref="U506:U510" si="1288">+T506*$X$1</f>
        <v>21758</v>
      </c>
      <c r="V506" s="679">
        <f>F506+650</f>
        <v>21718</v>
      </c>
      <c r="W506" s="346">
        <f t="shared" ref="W506:W510" si="1289">+V506*$X$1</f>
        <v>21718</v>
      </c>
      <c r="X506" s="150"/>
      <c r="Y506" s="145"/>
      <c r="Z506" s="151"/>
      <c r="AA506" s="152"/>
      <c r="AB506" s="534">
        <v>900</v>
      </c>
    </row>
    <row r="507" spans="1:28" ht="12.6" customHeight="1" x14ac:dyDescent="0.2">
      <c r="A507" s="4"/>
      <c r="B507" s="922" t="s">
        <v>505</v>
      </c>
      <c r="C507" s="760"/>
      <c r="D507" s="760"/>
      <c r="E507" s="761"/>
      <c r="F507" s="678">
        <v>17700</v>
      </c>
      <c r="G507" s="345">
        <f>+F507*$X$1</f>
        <v>17700</v>
      </c>
      <c r="H507" s="383">
        <f>F507+3000</f>
        <v>20700</v>
      </c>
      <c r="I507" s="345">
        <f t="shared" si="1274"/>
        <v>20700</v>
      </c>
      <c r="J507" s="383">
        <f>F507+900</f>
        <v>18600</v>
      </c>
      <c r="K507" s="345">
        <f t="shared" si="1283"/>
        <v>18600</v>
      </c>
      <c r="L507" s="383">
        <f>F507+840</f>
        <v>18540</v>
      </c>
      <c r="M507" s="345">
        <f t="shared" si="1284"/>
        <v>18540</v>
      </c>
      <c r="N507" s="383">
        <f>F507+800</f>
        <v>18500</v>
      </c>
      <c r="O507" s="345">
        <f t="shared" si="1285"/>
        <v>18500</v>
      </c>
      <c r="P507" s="383">
        <f>F507+760</f>
        <v>18460</v>
      </c>
      <c r="Q507" s="345">
        <f t="shared" si="1286"/>
        <v>18460</v>
      </c>
      <c r="R507" s="383">
        <f>F507+730</f>
        <v>18430</v>
      </c>
      <c r="S507" s="345">
        <f t="shared" si="1287"/>
        <v>18430</v>
      </c>
      <c r="T507" s="383">
        <f>F507+690</f>
        <v>18390</v>
      </c>
      <c r="U507" s="345">
        <f t="shared" si="1288"/>
        <v>18390</v>
      </c>
      <c r="V507" s="383"/>
      <c r="W507" s="345"/>
      <c r="X507" s="150"/>
      <c r="Y507" s="145"/>
      <c r="Z507" s="151"/>
      <c r="AA507" s="152"/>
      <c r="AB507" s="534">
        <v>902</v>
      </c>
    </row>
    <row r="508" spans="1:28" ht="12.6" customHeight="1" x14ac:dyDescent="0.2">
      <c r="A508" s="4"/>
      <c r="B508" s="698" t="s">
        <v>504</v>
      </c>
      <c r="C508" s="713"/>
      <c r="D508" s="713"/>
      <c r="E508" s="713"/>
      <c r="F508" s="400">
        <v>27650</v>
      </c>
      <c r="G508" s="346">
        <f>+F508*$X$1</f>
        <v>27650</v>
      </c>
      <c r="H508" s="107">
        <f>F508+2200</f>
        <v>29850</v>
      </c>
      <c r="I508" s="388">
        <f t="shared" si="1274"/>
        <v>29850</v>
      </c>
      <c r="J508" s="107">
        <f>F508+550</f>
        <v>28200</v>
      </c>
      <c r="K508" s="388">
        <f t="shared" si="1283"/>
        <v>28200</v>
      </c>
      <c r="L508" s="107">
        <f>F508+480</f>
        <v>28130</v>
      </c>
      <c r="M508" s="388">
        <f t="shared" si="1284"/>
        <v>28130</v>
      </c>
      <c r="N508" s="107">
        <f>F508+440</f>
        <v>28090</v>
      </c>
      <c r="O508" s="388">
        <f t="shared" si="1285"/>
        <v>28090</v>
      </c>
      <c r="P508" s="107">
        <f>F508+410</f>
        <v>28060</v>
      </c>
      <c r="Q508" s="388">
        <f t="shared" si="1286"/>
        <v>28060</v>
      </c>
      <c r="R508" s="107">
        <f>F508+390</f>
        <v>28040</v>
      </c>
      <c r="S508" s="388">
        <f t="shared" si="1287"/>
        <v>28040</v>
      </c>
      <c r="T508" s="107">
        <f>F508+350</f>
        <v>28000</v>
      </c>
      <c r="U508" s="388">
        <f t="shared" si="1288"/>
        <v>28000</v>
      </c>
      <c r="V508" s="107">
        <f>F508+320</f>
        <v>27970</v>
      </c>
      <c r="W508" s="388">
        <f t="shared" si="1289"/>
        <v>27970</v>
      </c>
      <c r="X508" s="150"/>
      <c r="Y508" s="145"/>
      <c r="Z508" s="151"/>
      <c r="AA508" s="152"/>
      <c r="AB508" s="534">
        <v>905</v>
      </c>
    </row>
    <row r="509" spans="1:28" ht="12.6" customHeight="1" x14ac:dyDescent="0.2">
      <c r="A509" s="4"/>
      <c r="B509" s="748" t="s">
        <v>821</v>
      </c>
      <c r="C509" s="762"/>
      <c r="D509" s="762"/>
      <c r="E509" s="762"/>
      <c r="F509" s="481">
        <f>21.3*X2</f>
        <v>19596</v>
      </c>
      <c r="G509" s="345">
        <f>+F509*$X$1</f>
        <v>19596</v>
      </c>
      <c r="H509" s="383">
        <f>F509+3000</f>
        <v>22596</v>
      </c>
      <c r="I509" s="345">
        <f t="shared" ref="I509:I512" si="1290">+H509*$X$1</f>
        <v>22596</v>
      </c>
      <c r="J509" s="383">
        <f>F509+900</f>
        <v>20496</v>
      </c>
      <c r="K509" s="345">
        <f t="shared" si="1283"/>
        <v>20496</v>
      </c>
      <c r="L509" s="383">
        <f>F509+840</f>
        <v>20436</v>
      </c>
      <c r="M509" s="345">
        <f t="shared" si="1284"/>
        <v>20436</v>
      </c>
      <c r="N509" s="383">
        <f>F509+800</f>
        <v>20396</v>
      </c>
      <c r="O509" s="345">
        <f t="shared" si="1285"/>
        <v>20396</v>
      </c>
      <c r="P509" s="383">
        <f>F509+760</f>
        <v>20356</v>
      </c>
      <c r="Q509" s="345">
        <f t="shared" si="1286"/>
        <v>20356</v>
      </c>
      <c r="R509" s="383">
        <f>F509+730</f>
        <v>20326</v>
      </c>
      <c r="S509" s="345">
        <f t="shared" si="1287"/>
        <v>20326</v>
      </c>
      <c r="T509" s="383">
        <f>F509+690</f>
        <v>20286</v>
      </c>
      <c r="U509" s="345">
        <f t="shared" si="1288"/>
        <v>20286</v>
      </c>
      <c r="V509" s="383">
        <f>F509+650</f>
        <v>20246</v>
      </c>
      <c r="W509" s="345">
        <f t="shared" si="1289"/>
        <v>20246</v>
      </c>
      <c r="X509" s="150"/>
      <c r="Y509" s="145"/>
      <c r="Z509" s="151"/>
      <c r="AA509" s="152"/>
      <c r="AB509" s="534">
        <v>906</v>
      </c>
    </row>
    <row r="510" spans="1:28" ht="12.6" customHeight="1" x14ac:dyDescent="0.2">
      <c r="A510" s="4"/>
      <c r="B510" s="698" t="s">
        <v>822</v>
      </c>
      <c r="C510" s="713"/>
      <c r="D510" s="713"/>
      <c r="E510" s="713"/>
      <c r="F510" s="482">
        <f>21.3*X2</f>
        <v>19596</v>
      </c>
      <c r="G510" s="346">
        <f>+F510*$X$1</f>
        <v>19596</v>
      </c>
      <c r="H510" s="107">
        <f>F510+2200</f>
        <v>21796</v>
      </c>
      <c r="I510" s="388">
        <f t="shared" si="1290"/>
        <v>21796</v>
      </c>
      <c r="J510" s="107">
        <f>F510+550</f>
        <v>20146</v>
      </c>
      <c r="K510" s="388">
        <f t="shared" si="1283"/>
        <v>20146</v>
      </c>
      <c r="L510" s="107">
        <f>F510+480</f>
        <v>20076</v>
      </c>
      <c r="M510" s="388">
        <f t="shared" si="1284"/>
        <v>20076</v>
      </c>
      <c r="N510" s="107">
        <f>F510+440</f>
        <v>20036</v>
      </c>
      <c r="O510" s="388">
        <f t="shared" si="1285"/>
        <v>20036</v>
      </c>
      <c r="P510" s="107">
        <f>F510+410</f>
        <v>20006</v>
      </c>
      <c r="Q510" s="388">
        <f t="shared" si="1286"/>
        <v>20006</v>
      </c>
      <c r="R510" s="107">
        <f>F510+390</f>
        <v>19986</v>
      </c>
      <c r="S510" s="388">
        <f t="shared" si="1287"/>
        <v>19986</v>
      </c>
      <c r="T510" s="107">
        <f>F510+350</f>
        <v>19946</v>
      </c>
      <c r="U510" s="388">
        <f t="shared" si="1288"/>
        <v>19946</v>
      </c>
      <c r="V510" s="107">
        <f>F510+320</f>
        <v>19916</v>
      </c>
      <c r="W510" s="388">
        <f t="shared" si="1289"/>
        <v>19916</v>
      </c>
      <c r="X510" s="150"/>
      <c r="Y510" s="145"/>
      <c r="Z510" s="151"/>
      <c r="AA510" s="152"/>
      <c r="AB510" s="534">
        <v>906</v>
      </c>
    </row>
    <row r="511" spans="1:28" ht="12.6" customHeight="1" x14ac:dyDescent="0.2">
      <c r="A511" s="4"/>
      <c r="B511" s="748" t="s">
        <v>748</v>
      </c>
      <c r="C511" s="720"/>
      <c r="D511" s="720"/>
      <c r="E511" s="720"/>
      <c r="F511" s="484">
        <f>21.6*X2</f>
        <v>19872</v>
      </c>
      <c r="G511" s="345">
        <f t="shared" ref="G511" si="1291">+F511*$X$1</f>
        <v>19872</v>
      </c>
      <c r="H511" s="383">
        <f>F511+3000</f>
        <v>22872</v>
      </c>
      <c r="I511" s="345">
        <f t="shared" si="1290"/>
        <v>22872</v>
      </c>
      <c r="J511" s="383">
        <f>F511+900</f>
        <v>20772</v>
      </c>
      <c r="K511" s="345">
        <f t="shared" ref="K511:K512" si="1292">+J511*$X$1</f>
        <v>20772</v>
      </c>
      <c r="L511" s="383">
        <f>F511+840</f>
        <v>20712</v>
      </c>
      <c r="M511" s="345">
        <f t="shared" ref="M511:M512" si="1293">+L511*$X$1</f>
        <v>20712</v>
      </c>
      <c r="N511" s="383">
        <f>F511+800</f>
        <v>20672</v>
      </c>
      <c r="O511" s="345">
        <f t="shared" ref="O511:O512" si="1294">+N511*$X$1</f>
        <v>20672</v>
      </c>
      <c r="P511" s="383">
        <f>F511+760</f>
        <v>20632</v>
      </c>
      <c r="Q511" s="345">
        <f t="shared" ref="Q511" si="1295">+P511*$X$1</f>
        <v>20632</v>
      </c>
      <c r="R511" s="383">
        <f>F511+730</f>
        <v>20602</v>
      </c>
      <c r="S511" s="345">
        <f t="shared" ref="S511" si="1296">+R511*$X$1</f>
        <v>20602</v>
      </c>
      <c r="T511" s="383">
        <f>F511+690</f>
        <v>20562</v>
      </c>
      <c r="U511" s="345">
        <f t="shared" ref="U511" si="1297">+T511*$X$1</f>
        <v>20562</v>
      </c>
      <c r="V511" s="383">
        <f>F511+650</f>
        <v>20522</v>
      </c>
      <c r="W511" s="345">
        <f t="shared" ref="W511" si="1298">+V511*$X$1</f>
        <v>20522</v>
      </c>
      <c r="X511" s="150"/>
      <c r="Y511" s="145"/>
      <c r="Z511" s="151"/>
      <c r="AA511" s="152"/>
      <c r="AB511" s="534" t="s">
        <v>763</v>
      </c>
    </row>
    <row r="512" spans="1:28" ht="12.6" customHeight="1" x14ac:dyDescent="0.2">
      <c r="A512" s="4"/>
      <c r="B512" s="698" t="s">
        <v>820</v>
      </c>
      <c r="C512" s="699"/>
      <c r="D512" s="699"/>
      <c r="E512" s="699"/>
      <c r="F512" s="483">
        <f>21.6*X2</f>
        <v>19872</v>
      </c>
      <c r="G512" s="346">
        <f t="shared" ref="G512" si="1299">+F512*$X$1</f>
        <v>19872</v>
      </c>
      <c r="H512" s="107">
        <f>F512+2200</f>
        <v>22072</v>
      </c>
      <c r="I512" s="388">
        <f t="shared" si="1290"/>
        <v>22072</v>
      </c>
      <c r="J512" s="107">
        <f>F512+550</f>
        <v>20422</v>
      </c>
      <c r="K512" s="388">
        <f t="shared" si="1292"/>
        <v>20422</v>
      </c>
      <c r="L512" s="107">
        <f>F512+480</f>
        <v>20352</v>
      </c>
      <c r="M512" s="388">
        <f t="shared" si="1293"/>
        <v>20352</v>
      </c>
      <c r="N512" s="107">
        <f>F512+440</f>
        <v>20312</v>
      </c>
      <c r="O512" s="388">
        <f t="shared" si="1294"/>
        <v>20312</v>
      </c>
      <c r="P512" s="107"/>
      <c r="Q512" s="388"/>
      <c r="R512" s="107"/>
      <c r="S512" s="388"/>
      <c r="T512" s="107"/>
      <c r="U512" s="388"/>
      <c r="V512" s="107"/>
      <c r="W512" s="388"/>
      <c r="X512" s="150"/>
      <c r="Y512" s="145"/>
      <c r="Z512" s="151"/>
      <c r="AA512" s="152"/>
      <c r="AB512" s="534">
        <v>907</v>
      </c>
    </row>
    <row r="513" spans="1:34" ht="12.6" customHeight="1" x14ac:dyDescent="0.2">
      <c r="A513" s="4"/>
      <c r="B513" s="1247" t="s">
        <v>713</v>
      </c>
      <c r="C513" s="1248"/>
      <c r="D513" s="1248"/>
      <c r="E513" s="1248"/>
      <c r="F513" s="345"/>
      <c r="G513" s="345"/>
      <c r="H513" s="383">
        <v>1900</v>
      </c>
      <c r="I513" s="345">
        <f t="shared" ref="I513" si="1300">+H513*$X$1</f>
        <v>1900</v>
      </c>
      <c r="J513" s="383">
        <v>770</v>
      </c>
      <c r="K513" s="345">
        <f t="shared" ref="K513" si="1301">+J513*$X$1</f>
        <v>770</v>
      </c>
      <c r="L513" s="383">
        <v>660</v>
      </c>
      <c r="M513" s="345">
        <f t="shared" ref="M513" si="1302">+L513*$X$1</f>
        <v>660</v>
      </c>
      <c r="N513" s="383">
        <v>600</v>
      </c>
      <c r="O513" s="345">
        <f t="shared" ref="O513" si="1303">+N513*$X$1</f>
        <v>600</v>
      </c>
      <c r="P513" s="383">
        <v>550</v>
      </c>
      <c r="Q513" s="345">
        <f t="shared" ref="Q513" si="1304">+P513*$X$1</f>
        <v>550</v>
      </c>
      <c r="R513" s="383">
        <v>510</v>
      </c>
      <c r="S513" s="345">
        <f t="shared" ref="S513" si="1305">+R513*$X$1</f>
        <v>510</v>
      </c>
      <c r="T513" s="383">
        <v>470</v>
      </c>
      <c r="U513" s="345">
        <f t="shared" ref="U513" si="1306">+T513*$X$1</f>
        <v>470</v>
      </c>
      <c r="V513" s="383">
        <v>420</v>
      </c>
      <c r="W513" s="345">
        <f t="shared" ref="W513" si="1307">+V513*$X$1</f>
        <v>420</v>
      </c>
      <c r="X513" s="150"/>
      <c r="Y513" s="145"/>
      <c r="Z513" s="151"/>
      <c r="AA513" s="152"/>
      <c r="AB513" s="34"/>
    </row>
    <row r="514" spans="1:34" ht="12.6" customHeight="1" x14ac:dyDescent="0.2">
      <c r="A514" s="4"/>
      <c r="B514" s="1243" t="s">
        <v>714</v>
      </c>
      <c r="C514" s="1244"/>
      <c r="D514" s="1244"/>
      <c r="E514" s="1244"/>
      <c r="F514" s="346"/>
      <c r="G514" s="346"/>
      <c r="H514" s="679">
        <v>900</v>
      </c>
      <c r="I514" s="346">
        <f t="shared" ref="I514" si="1308">+H514*$X$1</f>
        <v>900</v>
      </c>
      <c r="J514" s="679">
        <v>350</v>
      </c>
      <c r="K514" s="346">
        <f t="shared" ref="K514" si="1309">+J514*$X$1</f>
        <v>350</v>
      </c>
      <c r="L514" s="679">
        <v>310</v>
      </c>
      <c r="M514" s="346">
        <f t="shared" ref="M514" si="1310">+L514*$X$1</f>
        <v>310</v>
      </c>
      <c r="N514" s="679">
        <v>280</v>
      </c>
      <c r="O514" s="346">
        <f t="shared" ref="O514" si="1311">+N514*$X$1</f>
        <v>280</v>
      </c>
      <c r="P514" s="679">
        <v>250</v>
      </c>
      <c r="Q514" s="346">
        <f t="shared" ref="Q514" si="1312">+P514*$X$1</f>
        <v>250</v>
      </c>
      <c r="R514" s="679">
        <v>230</v>
      </c>
      <c r="S514" s="346">
        <f t="shared" ref="S514" si="1313">+R514*$X$1</f>
        <v>230</v>
      </c>
      <c r="T514" s="679">
        <v>220</v>
      </c>
      <c r="U514" s="346">
        <f t="shared" ref="U514" si="1314">+T514*$X$1</f>
        <v>220</v>
      </c>
      <c r="V514" s="679">
        <v>210</v>
      </c>
      <c r="W514" s="346">
        <f t="shared" ref="W514" si="1315">+V514*$X$1</f>
        <v>210</v>
      </c>
      <c r="X514" s="150"/>
      <c r="Y514" s="145"/>
      <c r="Z514" s="151"/>
      <c r="AA514" s="152"/>
      <c r="AB514" s="34"/>
    </row>
    <row r="515" spans="1:34" ht="9.75" customHeight="1" thickBot="1" x14ac:dyDescent="0.25">
      <c r="A515" s="101"/>
      <c r="B515" s="81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3"/>
      <c r="W515" s="84"/>
      <c r="AB515" s="85"/>
    </row>
    <row r="516" spans="1:34" ht="14.25" customHeight="1" thickBot="1" x14ac:dyDescent="0.25">
      <c r="B516" s="1238" t="s">
        <v>685</v>
      </c>
      <c r="C516" s="1239"/>
      <c r="D516" s="1239"/>
      <c r="E516" s="1239"/>
      <c r="F516" s="1239"/>
      <c r="G516" s="1239"/>
      <c r="H516" s="1239"/>
      <c r="I516" s="1239"/>
      <c r="J516" s="1239"/>
      <c r="K516" s="1239"/>
      <c r="L516" s="1239"/>
      <c r="M516" s="1239"/>
      <c r="N516" s="1239"/>
      <c r="O516" s="1239"/>
      <c r="P516" s="1239"/>
      <c r="Q516" s="1239"/>
      <c r="R516" s="1239"/>
      <c r="S516" s="1239"/>
      <c r="T516" s="1239"/>
      <c r="U516" s="1239"/>
      <c r="V516" s="1239"/>
      <c r="W516" s="1240"/>
      <c r="AB516" s="4"/>
      <c r="AF516" s="752"/>
      <c r="AG516" s="753"/>
      <c r="AH516" s="753"/>
    </row>
    <row r="517" spans="1:34" ht="14.25" customHeight="1" x14ac:dyDescent="0.2">
      <c r="B517" s="1241" t="s">
        <v>11</v>
      </c>
      <c r="C517" s="1223" t="s">
        <v>12</v>
      </c>
      <c r="D517" s="1224"/>
      <c r="E517" s="1224"/>
      <c r="F517" s="817" t="s">
        <v>308</v>
      </c>
      <c r="G517" s="817" t="s">
        <v>13</v>
      </c>
      <c r="H517" s="1249" t="s">
        <v>507</v>
      </c>
      <c r="I517" s="1249"/>
      <c r="J517" s="1250"/>
      <c r="K517" s="1250"/>
      <c r="L517" s="1250"/>
      <c r="M517" s="1250"/>
      <c r="N517" s="1250"/>
      <c r="O517" s="1250"/>
      <c r="P517" s="1250"/>
      <c r="Q517" s="1250"/>
      <c r="R517" s="1250"/>
      <c r="S517" s="1250"/>
      <c r="T517" s="1250"/>
      <c r="U517" s="1250"/>
      <c r="V517" s="1250"/>
      <c r="W517" s="1251"/>
      <c r="X517" s="756" t="s">
        <v>15</v>
      </c>
      <c r="Y517" s="757"/>
      <c r="Z517" s="757"/>
      <c r="AA517" s="757"/>
      <c r="AB517" s="754" t="s">
        <v>16</v>
      </c>
      <c r="AF517" s="752" t="s">
        <v>3</v>
      </c>
      <c r="AG517" s="753"/>
      <c r="AH517" s="753"/>
    </row>
    <row r="518" spans="1:34" ht="12" customHeight="1" thickBot="1" x14ac:dyDescent="0.25">
      <c r="B518" s="1242"/>
      <c r="C518" s="1225"/>
      <c r="D518" s="1225"/>
      <c r="E518" s="1225"/>
      <c r="F518" s="818"/>
      <c r="G518" s="818"/>
      <c r="H518" s="295"/>
      <c r="I518" s="293" t="s">
        <v>668</v>
      </c>
      <c r="J518" s="295"/>
      <c r="K518" s="293" t="s">
        <v>310</v>
      </c>
      <c r="L518" s="295"/>
      <c r="M518" s="293" t="s">
        <v>311</v>
      </c>
      <c r="N518" s="295"/>
      <c r="O518" s="293" t="s">
        <v>670</v>
      </c>
      <c r="P518" s="295"/>
      <c r="Q518" s="293" t="s">
        <v>18</v>
      </c>
      <c r="R518" s="295"/>
      <c r="S518" s="293" t="s">
        <v>19</v>
      </c>
      <c r="T518" s="295"/>
      <c r="U518" s="293" t="s">
        <v>20</v>
      </c>
      <c r="V518" s="295"/>
      <c r="W518" s="294" t="s">
        <v>671</v>
      </c>
      <c r="X518" s="758"/>
      <c r="Y518" s="759"/>
      <c r="Z518" s="759"/>
      <c r="AA518" s="759"/>
      <c r="AB518" s="755"/>
    </row>
    <row r="519" spans="1:34" ht="12.6" customHeight="1" x14ac:dyDescent="0.2">
      <c r="A519" s="4"/>
      <c r="B519" s="799" t="s">
        <v>901</v>
      </c>
      <c r="C519" s="936"/>
      <c r="D519" s="936"/>
      <c r="E519" s="936"/>
      <c r="F519" s="486">
        <f>31.2*X2</f>
        <v>28704</v>
      </c>
      <c r="G519" s="388">
        <f t="shared" ref="G519:K534" si="1316">+F519*$X$1</f>
        <v>28704</v>
      </c>
      <c r="H519" s="107">
        <f>F519+2200</f>
        <v>30904</v>
      </c>
      <c r="I519" s="388">
        <f t="shared" si="1316"/>
        <v>30904</v>
      </c>
      <c r="J519" s="107">
        <f>F519+500</f>
        <v>29204</v>
      </c>
      <c r="K519" s="388">
        <f t="shared" si="1316"/>
        <v>29204</v>
      </c>
      <c r="L519" s="107">
        <f>F519+410</f>
        <v>29114</v>
      </c>
      <c r="M519" s="388">
        <f t="shared" ref="M519" si="1317">+L519*$X$1</f>
        <v>29114</v>
      </c>
      <c r="N519" s="107">
        <f>F519+370</f>
        <v>29074</v>
      </c>
      <c r="O519" s="388">
        <f t="shared" ref="O519" si="1318">+N519*$X$1</f>
        <v>29074</v>
      </c>
      <c r="P519" s="107">
        <f>F519+360</f>
        <v>29064</v>
      </c>
      <c r="Q519" s="388">
        <f t="shared" ref="Q519" si="1319">+P519*$X$1</f>
        <v>29064</v>
      </c>
      <c r="R519" s="107">
        <f>F519+330</f>
        <v>29034</v>
      </c>
      <c r="S519" s="388">
        <f t="shared" ref="S519" si="1320">+R519*$X$1</f>
        <v>29034</v>
      </c>
      <c r="T519" s="107">
        <f>F519+290</f>
        <v>28994</v>
      </c>
      <c r="U519" s="388">
        <f t="shared" ref="U519" si="1321">+T519*$X$1</f>
        <v>28994</v>
      </c>
      <c r="V519" s="107">
        <f>F519+240</f>
        <v>28944</v>
      </c>
      <c r="W519" s="388">
        <f t="shared" ref="W519" si="1322">+V519*$X$1</f>
        <v>28944</v>
      </c>
      <c r="X519" s="150"/>
      <c r="Y519" s="145"/>
      <c r="Z519" s="151"/>
      <c r="AA519" s="152"/>
      <c r="AB519" s="534">
        <v>570</v>
      </c>
    </row>
    <row r="520" spans="1:34" ht="12.6" customHeight="1" x14ac:dyDescent="0.2">
      <c r="A520" s="4"/>
      <c r="B520" s="692" t="s">
        <v>912</v>
      </c>
      <c r="C520" s="693"/>
      <c r="D520" s="693"/>
      <c r="E520" s="693"/>
      <c r="F520" s="487">
        <f>5.1*X2</f>
        <v>4692</v>
      </c>
      <c r="G520" s="372">
        <f t="shared" ref="G520" si="1323">+F520*$X$1</f>
        <v>4692</v>
      </c>
      <c r="H520" s="108"/>
      <c r="I520" s="372"/>
      <c r="J520" s="108"/>
      <c r="K520" s="372"/>
      <c r="L520" s="108">
        <f>F520+410</f>
        <v>5102</v>
      </c>
      <c r="M520" s="372">
        <f t="shared" ref="M520" si="1324">+L520*$X$1</f>
        <v>5102</v>
      </c>
      <c r="N520" s="108">
        <f>F520+370</f>
        <v>5062</v>
      </c>
      <c r="O520" s="372">
        <f t="shared" ref="O520" si="1325">+N520*$X$1</f>
        <v>5062</v>
      </c>
      <c r="P520" s="108">
        <f>F520+360</f>
        <v>5052</v>
      </c>
      <c r="Q520" s="372">
        <f t="shared" ref="Q520" si="1326">+P520*$X$1</f>
        <v>5052</v>
      </c>
      <c r="R520" s="108">
        <f>F520+330</f>
        <v>5022</v>
      </c>
      <c r="S520" s="372">
        <f t="shared" ref="S520" si="1327">+R520*$X$1</f>
        <v>5022</v>
      </c>
      <c r="T520" s="108">
        <f>F520+290</f>
        <v>4982</v>
      </c>
      <c r="U520" s="372">
        <f t="shared" ref="U520" si="1328">+T520*$X$1</f>
        <v>4982</v>
      </c>
      <c r="V520" s="108">
        <f>F520+240</f>
        <v>4932</v>
      </c>
      <c r="W520" s="372">
        <f t="shared" ref="W520" si="1329">+V520*$X$1</f>
        <v>4932</v>
      </c>
      <c r="X520" s="150"/>
      <c r="Y520" s="145"/>
      <c r="Z520" s="151"/>
      <c r="AA520" s="152"/>
      <c r="AB520" s="534">
        <v>570</v>
      </c>
    </row>
    <row r="521" spans="1:34" ht="12.6" customHeight="1" x14ac:dyDescent="0.2">
      <c r="A521" s="4"/>
      <c r="B521" s="799" t="s">
        <v>890</v>
      </c>
      <c r="C521" s="936"/>
      <c r="D521" s="936"/>
      <c r="E521" s="936"/>
      <c r="F521" s="506">
        <v>31510</v>
      </c>
      <c r="G521" s="388">
        <f t="shared" ref="G521" si="1330">+F521*$X$1</f>
        <v>31510</v>
      </c>
      <c r="H521" s="107">
        <f t="shared" ref="H521:H533" si="1331">F521+2200</f>
        <v>33710</v>
      </c>
      <c r="I521" s="388">
        <f t="shared" ref="I521:I533" si="1332">+H521*$X$1</f>
        <v>33710</v>
      </c>
      <c r="J521" s="107">
        <f t="shared" ref="J521:J533" si="1333">F521+500</f>
        <v>32010</v>
      </c>
      <c r="K521" s="388">
        <f t="shared" ref="K521:K533" si="1334">+J521*$X$1</f>
        <v>32010</v>
      </c>
      <c r="L521" s="107">
        <f t="shared" ref="L521:L533" si="1335">F521+410</f>
        <v>31920</v>
      </c>
      <c r="M521" s="388">
        <f t="shared" ref="M521:M533" si="1336">+L521*$X$1</f>
        <v>31920</v>
      </c>
      <c r="N521" s="107">
        <f t="shared" ref="N521:N533" si="1337">F521+370</f>
        <v>31880</v>
      </c>
      <c r="O521" s="388">
        <f t="shared" ref="O521:O533" si="1338">+N521*$X$1</f>
        <v>31880</v>
      </c>
      <c r="P521" s="107">
        <f t="shared" ref="P521:P533" si="1339">F521+360</f>
        <v>31870</v>
      </c>
      <c r="Q521" s="388">
        <f t="shared" ref="Q521:Q533" si="1340">+P521*$X$1</f>
        <v>31870</v>
      </c>
      <c r="R521" s="107">
        <f t="shared" ref="R521:R533" si="1341">F521+330</f>
        <v>31840</v>
      </c>
      <c r="S521" s="388">
        <f t="shared" ref="S521:S533" si="1342">+R521*$X$1</f>
        <v>31840</v>
      </c>
      <c r="T521" s="107">
        <f t="shared" ref="T521:T533" si="1343">F521+290</f>
        <v>31800</v>
      </c>
      <c r="U521" s="388">
        <f t="shared" ref="U521:U533" si="1344">+T521*$X$1</f>
        <v>31800</v>
      </c>
      <c r="V521" s="107">
        <f t="shared" ref="V521:V533" si="1345">F521+240</f>
        <v>31750</v>
      </c>
      <c r="W521" s="388">
        <f t="shared" ref="W521:W533" si="1346">+V521*$X$1</f>
        <v>31750</v>
      </c>
      <c r="X521" s="150"/>
      <c r="Y521" s="145"/>
      <c r="Z521" s="151"/>
      <c r="AA521" s="152"/>
      <c r="AB521" s="534">
        <v>577</v>
      </c>
    </row>
    <row r="522" spans="1:34" ht="12.6" customHeight="1" x14ac:dyDescent="0.2">
      <c r="A522" s="4"/>
      <c r="B522" s="719" t="s">
        <v>889</v>
      </c>
      <c r="C522" s="762"/>
      <c r="D522" s="762"/>
      <c r="E522" s="762"/>
      <c r="F522" s="487">
        <f>29.9*X2</f>
        <v>27508</v>
      </c>
      <c r="G522" s="372">
        <f t="shared" si="1316"/>
        <v>27508</v>
      </c>
      <c r="H522" s="108">
        <f t="shared" si="1331"/>
        <v>29708</v>
      </c>
      <c r="I522" s="372">
        <f t="shared" si="1332"/>
        <v>29708</v>
      </c>
      <c r="J522" s="108">
        <f t="shared" si="1333"/>
        <v>28008</v>
      </c>
      <c r="K522" s="372">
        <f t="shared" si="1334"/>
        <v>28008</v>
      </c>
      <c r="L522" s="108">
        <f t="shared" si="1335"/>
        <v>27918</v>
      </c>
      <c r="M522" s="372">
        <f t="shared" si="1336"/>
        <v>27918</v>
      </c>
      <c r="N522" s="108">
        <f t="shared" si="1337"/>
        <v>27878</v>
      </c>
      <c r="O522" s="372">
        <f t="shared" si="1338"/>
        <v>27878</v>
      </c>
      <c r="P522" s="108">
        <f t="shared" si="1339"/>
        <v>27868</v>
      </c>
      <c r="Q522" s="372">
        <f t="shared" si="1340"/>
        <v>27868</v>
      </c>
      <c r="R522" s="108">
        <f t="shared" si="1341"/>
        <v>27838</v>
      </c>
      <c r="S522" s="372">
        <f t="shared" si="1342"/>
        <v>27838</v>
      </c>
      <c r="T522" s="108">
        <f t="shared" si="1343"/>
        <v>27798</v>
      </c>
      <c r="U522" s="372">
        <f t="shared" si="1344"/>
        <v>27798</v>
      </c>
      <c r="V522" s="108">
        <f t="shared" si="1345"/>
        <v>27748</v>
      </c>
      <c r="W522" s="372">
        <f t="shared" si="1346"/>
        <v>27748</v>
      </c>
      <c r="X522" s="150"/>
      <c r="Y522" s="145"/>
      <c r="Z522" s="151"/>
      <c r="AA522" s="152"/>
      <c r="AB522" s="534">
        <v>580</v>
      </c>
    </row>
    <row r="523" spans="1:34" ht="12.6" customHeight="1" x14ac:dyDescent="0.2">
      <c r="A523" s="4"/>
      <c r="B523" s="712" t="s">
        <v>888</v>
      </c>
      <c r="C523" s="713"/>
      <c r="D523" s="713"/>
      <c r="E523" s="713"/>
      <c r="F523" s="483">
        <f>31.2*X2</f>
        <v>28704</v>
      </c>
      <c r="G523" s="346">
        <f t="shared" si="1316"/>
        <v>28704</v>
      </c>
      <c r="H523" s="107">
        <f t="shared" si="1331"/>
        <v>30904</v>
      </c>
      <c r="I523" s="388">
        <f t="shared" si="1332"/>
        <v>30904</v>
      </c>
      <c r="J523" s="107">
        <f t="shared" si="1333"/>
        <v>29204</v>
      </c>
      <c r="K523" s="388">
        <f t="shared" si="1334"/>
        <v>29204</v>
      </c>
      <c r="L523" s="107">
        <f t="shared" si="1335"/>
        <v>29114</v>
      </c>
      <c r="M523" s="388">
        <f t="shared" si="1336"/>
        <v>29114</v>
      </c>
      <c r="N523" s="107">
        <f t="shared" si="1337"/>
        <v>29074</v>
      </c>
      <c r="O523" s="388">
        <f t="shared" si="1338"/>
        <v>29074</v>
      </c>
      <c r="P523" s="107">
        <f t="shared" si="1339"/>
        <v>29064</v>
      </c>
      <c r="Q523" s="388">
        <f t="shared" si="1340"/>
        <v>29064</v>
      </c>
      <c r="R523" s="107">
        <f t="shared" si="1341"/>
        <v>29034</v>
      </c>
      <c r="S523" s="388">
        <f t="shared" si="1342"/>
        <v>29034</v>
      </c>
      <c r="T523" s="107">
        <f t="shared" si="1343"/>
        <v>28994</v>
      </c>
      <c r="U523" s="388">
        <f t="shared" si="1344"/>
        <v>28994</v>
      </c>
      <c r="V523" s="107">
        <f t="shared" si="1345"/>
        <v>28944</v>
      </c>
      <c r="W523" s="388">
        <f t="shared" si="1346"/>
        <v>28944</v>
      </c>
      <c r="X523" s="150"/>
      <c r="Y523" s="145"/>
      <c r="Z523" s="151"/>
      <c r="AA523" s="152"/>
      <c r="AB523" s="534">
        <v>582</v>
      </c>
    </row>
    <row r="524" spans="1:34" ht="12.6" customHeight="1" x14ac:dyDescent="0.2">
      <c r="A524" s="4"/>
      <c r="B524" s="719" t="s">
        <v>887</v>
      </c>
      <c r="C524" s="762"/>
      <c r="D524" s="762"/>
      <c r="E524" s="762"/>
      <c r="F524" s="530">
        <v>53750</v>
      </c>
      <c r="G524" s="372">
        <f t="shared" si="1316"/>
        <v>53750</v>
      </c>
      <c r="H524" s="108">
        <f t="shared" si="1331"/>
        <v>55950</v>
      </c>
      <c r="I524" s="372">
        <f t="shared" si="1332"/>
        <v>55950</v>
      </c>
      <c r="J524" s="108">
        <f t="shared" si="1333"/>
        <v>54250</v>
      </c>
      <c r="K524" s="372">
        <f t="shared" si="1334"/>
        <v>54250</v>
      </c>
      <c r="L524" s="108">
        <f t="shared" si="1335"/>
        <v>54160</v>
      </c>
      <c r="M524" s="372">
        <f t="shared" si="1336"/>
        <v>54160</v>
      </c>
      <c r="N524" s="108">
        <f t="shared" si="1337"/>
        <v>54120</v>
      </c>
      <c r="O524" s="372">
        <f t="shared" si="1338"/>
        <v>54120</v>
      </c>
      <c r="P524" s="108">
        <f t="shared" si="1339"/>
        <v>54110</v>
      </c>
      <c r="Q524" s="372">
        <f t="shared" si="1340"/>
        <v>54110</v>
      </c>
      <c r="R524" s="108">
        <f t="shared" si="1341"/>
        <v>54080</v>
      </c>
      <c r="S524" s="372">
        <f t="shared" si="1342"/>
        <v>54080</v>
      </c>
      <c r="T524" s="108">
        <f t="shared" si="1343"/>
        <v>54040</v>
      </c>
      <c r="U524" s="372">
        <f t="shared" si="1344"/>
        <v>54040</v>
      </c>
      <c r="V524" s="108">
        <f t="shared" si="1345"/>
        <v>53990</v>
      </c>
      <c r="W524" s="372">
        <f t="shared" si="1346"/>
        <v>53990</v>
      </c>
      <c r="X524" s="150"/>
      <c r="Y524" s="145"/>
      <c r="Z524" s="151"/>
      <c r="AA524" s="152"/>
      <c r="AB524" s="534">
        <v>584</v>
      </c>
    </row>
    <row r="525" spans="1:34" ht="12.6" customHeight="1" x14ac:dyDescent="0.2">
      <c r="A525" s="4"/>
      <c r="B525" s="742" t="s">
        <v>900</v>
      </c>
      <c r="C525" s="743"/>
      <c r="D525" s="743"/>
      <c r="E525" s="744"/>
      <c r="F525" s="529">
        <v>44750</v>
      </c>
      <c r="G525" s="346">
        <f t="shared" si="1316"/>
        <v>44750</v>
      </c>
      <c r="H525" s="107">
        <f t="shared" si="1331"/>
        <v>46950</v>
      </c>
      <c r="I525" s="388">
        <f t="shared" si="1332"/>
        <v>46950</v>
      </c>
      <c r="J525" s="107">
        <f t="shared" si="1333"/>
        <v>45250</v>
      </c>
      <c r="K525" s="388">
        <f t="shared" si="1334"/>
        <v>45250</v>
      </c>
      <c r="L525" s="107">
        <f t="shared" si="1335"/>
        <v>45160</v>
      </c>
      <c r="M525" s="388">
        <f t="shared" si="1336"/>
        <v>45160</v>
      </c>
      <c r="N525" s="107">
        <f t="shared" si="1337"/>
        <v>45120</v>
      </c>
      <c r="O525" s="388">
        <f t="shared" si="1338"/>
        <v>45120</v>
      </c>
      <c r="P525" s="107">
        <f t="shared" si="1339"/>
        <v>45110</v>
      </c>
      <c r="Q525" s="388">
        <f t="shared" si="1340"/>
        <v>45110</v>
      </c>
      <c r="R525" s="107">
        <f t="shared" si="1341"/>
        <v>45080</v>
      </c>
      <c r="S525" s="388">
        <f t="shared" si="1342"/>
        <v>45080</v>
      </c>
      <c r="T525" s="107">
        <f t="shared" si="1343"/>
        <v>45040</v>
      </c>
      <c r="U525" s="388">
        <f t="shared" si="1344"/>
        <v>45040</v>
      </c>
      <c r="V525" s="107">
        <f t="shared" si="1345"/>
        <v>44990</v>
      </c>
      <c r="W525" s="388">
        <f t="shared" si="1346"/>
        <v>44990</v>
      </c>
      <c r="X525" s="150"/>
      <c r="Y525" s="145"/>
      <c r="Z525" s="151"/>
      <c r="AA525" s="152"/>
      <c r="AB525" s="534">
        <v>599</v>
      </c>
    </row>
    <row r="526" spans="1:34" ht="12.6" customHeight="1" x14ac:dyDescent="0.2">
      <c r="A526" s="4"/>
      <c r="B526" s="694" t="s">
        <v>886</v>
      </c>
      <c r="C526" s="695"/>
      <c r="D526" s="695"/>
      <c r="E526" s="696"/>
      <c r="F526" s="481">
        <f>24.6*X2</f>
        <v>22632</v>
      </c>
      <c r="G526" s="345">
        <f t="shared" si="1316"/>
        <v>22632</v>
      </c>
      <c r="H526" s="108">
        <f t="shared" si="1331"/>
        <v>24832</v>
      </c>
      <c r="I526" s="372">
        <f t="shared" si="1332"/>
        <v>24832</v>
      </c>
      <c r="J526" s="108">
        <f t="shared" si="1333"/>
        <v>23132</v>
      </c>
      <c r="K526" s="372">
        <f t="shared" si="1334"/>
        <v>23132</v>
      </c>
      <c r="L526" s="108">
        <f t="shared" si="1335"/>
        <v>23042</v>
      </c>
      <c r="M526" s="372">
        <f t="shared" si="1336"/>
        <v>23042</v>
      </c>
      <c r="N526" s="108">
        <f t="shared" si="1337"/>
        <v>23002</v>
      </c>
      <c r="O526" s="372">
        <f t="shared" si="1338"/>
        <v>23002</v>
      </c>
      <c r="P526" s="108">
        <f t="shared" si="1339"/>
        <v>22992</v>
      </c>
      <c r="Q526" s="372">
        <f t="shared" si="1340"/>
        <v>22992</v>
      </c>
      <c r="R526" s="108">
        <f t="shared" si="1341"/>
        <v>22962</v>
      </c>
      <c r="S526" s="372">
        <f t="shared" si="1342"/>
        <v>22962</v>
      </c>
      <c r="T526" s="108">
        <f t="shared" si="1343"/>
        <v>22922</v>
      </c>
      <c r="U526" s="372">
        <f t="shared" si="1344"/>
        <v>22922</v>
      </c>
      <c r="V526" s="108">
        <f t="shared" si="1345"/>
        <v>22872</v>
      </c>
      <c r="W526" s="372">
        <f t="shared" si="1346"/>
        <v>22872</v>
      </c>
      <c r="X526" s="150"/>
      <c r="Y526" s="145"/>
      <c r="Z526" s="151"/>
      <c r="AA526" s="152"/>
      <c r="AB526" s="534">
        <v>600</v>
      </c>
    </row>
    <row r="527" spans="1:34" ht="12.6" customHeight="1" x14ac:dyDescent="0.2">
      <c r="A527" s="4"/>
      <c r="B527" s="742" t="s">
        <v>891</v>
      </c>
      <c r="C527" s="743"/>
      <c r="D527" s="743"/>
      <c r="E527" s="744"/>
      <c r="F527" s="483">
        <f>74.5*X2</f>
        <v>68540</v>
      </c>
      <c r="G527" s="346">
        <f t="shared" ref="G527:G528" si="1347">+F527*$X$1</f>
        <v>68540</v>
      </c>
      <c r="H527" s="107">
        <f t="shared" si="1331"/>
        <v>70740</v>
      </c>
      <c r="I527" s="388">
        <f t="shared" si="1332"/>
        <v>70740</v>
      </c>
      <c r="J527" s="107">
        <f t="shared" si="1333"/>
        <v>69040</v>
      </c>
      <c r="K527" s="388">
        <f t="shared" si="1334"/>
        <v>69040</v>
      </c>
      <c r="L527" s="107">
        <f t="shared" si="1335"/>
        <v>68950</v>
      </c>
      <c r="M527" s="388">
        <f t="shared" si="1336"/>
        <v>68950</v>
      </c>
      <c r="N527" s="107">
        <f t="shared" si="1337"/>
        <v>68910</v>
      </c>
      <c r="O527" s="388">
        <f t="shared" si="1338"/>
        <v>68910</v>
      </c>
      <c r="P527" s="107">
        <f t="shared" si="1339"/>
        <v>68900</v>
      </c>
      <c r="Q527" s="388">
        <f t="shared" si="1340"/>
        <v>68900</v>
      </c>
      <c r="R527" s="107">
        <f t="shared" si="1341"/>
        <v>68870</v>
      </c>
      <c r="S527" s="388">
        <f t="shared" si="1342"/>
        <v>68870</v>
      </c>
      <c r="T527" s="107">
        <f t="shared" si="1343"/>
        <v>68830</v>
      </c>
      <c r="U527" s="388">
        <f t="shared" si="1344"/>
        <v>68830</v>
      </c>
      <c r="V527" s="107">
        <f t="shared" si="1345"/>
        <v>68780</v>
      </c>
      <c r="W527" s="388">
        <f t="shared" si="1346"/>
        <v>68780</v>
      </c>
      <c r="X527" s="150"/>
      <c r="Y527" s="145"/>
      <c r="Z527" s="151"/>
      <c r="AA527" s="152"/>
      <c r="AB527" s="534">
        <v>605</v>
      </c>
    </row>
    <row r="528" spans="1:34" ht="12.6" customHeight="1" x14ac:dyDescent="0.2">
      <c r="A528" s="4"/>
      <c r="B528" s="922" t="s">
        <v>911</v>
      </c>
      <c r="C528" s="961"/>
      <c r="D528" s="961"/>
      <c r="E528" s="962"/>
      <c r="F528" s="484">
        <f>53.4*X2</f>
        <v>49128</v>
      </c>
      <c r="G528" s="345">
        <f t="shared" si="1347"/>
        <v>49128</v>
      </c>
      <c r="H528" s="108">
        <f t="shared" ref="H528" si="1348">F528+2200</f>
        <v>51328</v>
      </c>
      <c r="I528" s="372">
        <f t="shared" ref="I528" si="1349">+H528*$X$1</f>
        <v>51328</v>
      </c>
      <c r="J528" s="108">
        <f t="shared" ref="J528" si="1350">F528+500</f>
        <v>49628</v>
      </c>
      <c r="K528" s="372">
        <f t="shared" ref="K528" si="1351">+J528*$X$1</f>
        <v>49628</v>
      </c>
      <c r="L528" s="108">
        <f t="shared" ref="L528" si="1352">F528+410</f>
        <v>49538</v>
      </c>
      <c r="M528" s="372">
        <f t="shared" ref="M528" si="1353">+L528*$X$1</f>
        <v>49538</v>
      </c>
      <c r="N528" s="108">
        <f t="shared" ref="N528" si="1354">F528+370</f>
        <v>49498</v>
      </c>
      <c r="O528" s="372">
        <f t="shared" ref="O528" si="1355">+N528*$X$1</f>
        <v>49498</v>
      </c>
      <c r="P528" s="108">
        <f t="shared" ref="P528" si="1356">F528+360</f>
        <v>49488</v>
      </c>
      <c r="Q528" s="372">
        <f t="shared" ref="Q528" si="1357">+P528*$X$1</f>
        <v>49488</v>
      </c>
      <c r="R528" s="108">
        <f t="shared" ref="R528" si="1358">F528+330</f>
        <v>49458</v>
      </c>
      <c r="S528" s="372">
        <f t="shared" ref="S528" si="1359">+R528*$X$1</f>
        <v>49458</v>
      </c>
      <c r="T528" s="108">
        <f t="shared" ref="T528" si="1360">F528+290</f>
        <v>49418</v>
      </c>
      <c r="U528" s="372">
        <f t="shared" ref="U528" si="1361">+T528*$X$1</f>
        <v>49418</v>
      </c>
      <c r="V528" s="108">
        <f t="shared" ref="V528" si="1362">F528+240</f>
        <v>49368</v>
      </c>
      <c r="W528" s="372">
        <f t="shared" ref="W528" si="1363">+V528*$X$1</f>
        <v>49368</v>
      </c>
      <c r="X528" s="150"/>
      <c r="Y528" s="145"/>
      <c r="Z528" s="151"/>
      <c r="AA528" s="152"/>
      <c r="AB528" s="534">
        <v>608</v>
      </c>
    </row>
    <row r="529" spans="1:28" ht="12.6" customHeight="1" x14ac:dyDescent="0.2">
      <c r="A529" s="4"/>
      <c r="B529" s="742" t="s">
        <v>892</v>
      </c>
      <c r="C529" s="743"/>
      <c r="D529" s="743"/>
      <c r="E529" s="744"/>
      <c r="F529" s="483">
        <f>47.5*X2</f>
        <v>43700</v>
      </c>
      <c r="G529" s="346">
        <f t="shared" ref="G529:G530" si="1364">+F529*$X$1</f>
        <v>43700</v>
      </c>
      <c r="H529" s="107">
        <f t="shared" si="1331"/>
        <v>45900</v>
      </c>
      <c r="I529" s="388">
        <f t="shared" si="1332"/>
        <v>45900</v>
      </c>
      <c r="J529" s="107">
        <f t="shared" si="1333"/>
        <v>44200</v>
      </c>
      <c r="K529" s="388">
        <f t="shared" si="1334"/>
        <v>44200</v>
      </c>
      <c r="L529" s="107">
        <f t="shared" si="1335"/>
        <v>44110</v>
      </c>
      <c r="M529" s="388">
        <f t="shared" si="1336"/>
        <v>44110</v>
      </c>
      <c r="N529" s="107">
        <f t="shared" si="1337"/>
        <v>44070</v>
      </c>
      <c r="O529" s="388">
        <f t="shared" si="1338"/>
        <v>44070</v>
      </c>
      <c r="P529" s="107">
        <f t="shared" si="1339"/>
        <v>44060</v>
      </c>
      <c r="Q529" s="388">
        <f t="shared" si="1340"/>
        <v>44060</v>
      </c>
      <c r="R529" s="107">
        <f t="shared" si="1341"/>
        <v>44030</v>
      </c>
      <c r="S529" s="388">
        <f t="shared" si="1342"/>
        <v>44030</v>
      </c>
      <c r="T529" s="107">
        <f t="shared" si="1343"/>
        <v>43990</v>
      </c>
      <c r="U529" s="388">
        <f t="shared" si="1344"/>
        <v>43990</v>
      </c>
      <c r="V529" s="107">
        <f t="shared" si="1345"/>
        <v>43940</v>
      </c>
      <c r="W529" s="388">
        <f t="shared" si="1346"/>
        <v>43940</v>
      </c>
      <c r="X529" s="150"/>
      <c r="Y529" s="145"/>
      <c r="Z529" s="151"/>
      <c r="AA529" s="152"/>
      <c r="AB529" s="534">
        <v>609</v>
      </c>
    </row>
    <row r="530" spans="1:28" ht="12.6" customHeight="1" x14ac:dyDescent="0.2">
      <c r="A530" s="4"/>
      <c r="B530" s="922" t="s">
        <v>893</v>
      </c>
      <c r="C530" s="961"/>
      <c r="D530" s="961"/>
      <c r="E530" s="962"/>
      <c r="F530" s="484">
        <f>55*X2</f>
        <v>50600</v>
      </c>
      <c r="G530" s="345">
        <f t="shared" si="1364"/>
        <v>50600</v>
      </c>
      <c r="H530" s="108">
        <f t="shared" si="1331"/>
        <v>52800</v>
      </c>
      <c r="I530" s="372">
        <f t="shared" si="1332"/>
        <v>52800</v>
      </c>
      <c r="J530" s="108">
        <f t="shared" si="1333"/>
        <v>51100</v>
      </c>
      <c r="K530" s="372">
        <f t="shared" si="1334"/>
        <v>51100</v>
      </c>
      <c r="L530" s="108">
        <f t="shared" si="1335"/>
        <v>51010</v>
      </c>
      <c r="M530" s="372">
        <f t="shared" si="1336"/>
        <v>51010</v>
      </c>
      <c r="N530" s="108">
        <f t="shared" si="1337"/>
        <v>50970</v>
      </c>
      <c r="O530" s="372">
        <f t="shared" si="1338"/>
        <v>50970</v>
      </c>
      <c r="P530" s="108">
        <f t="shared" si="1339"/>
        <v>50960</v>
      </c>
      <c r="Q530" s="372">
        <f t="shared" si="1340"/>
        <v>50960</v>
      </c>
      <c r="R530" s="108">
        <f t="shared" si="1341"/>
        <v>50930</v>
      </c>
      <c r="S530" s="372">
        <f t="shared" si="1342"/>
        <v>50930</v>
      </c>
      <c r="T530" s="108">
        <f t="shared" si="1343"/>
        <v>50890</v>
      </c>
      <c r="U530" s="372">
        <f t="shared" si="1344"/>
        <v>50890</v>
      </c>
      <c r="V530" s="108">
        <f t="shared" si="1345"/>
        <v>50840</v>
      </c>
      <c r="W530" s="372">
        <f t="shared" si="1346"/>
        <v>50840</v>
      </c>
      <c r="X530" s="150"/>
      <c r="Y530" s="145"/>
      <c r="Z530" s="151"/>
      <c r="AA530" s="152"/>
      <c r="AB530" s="534">
        <v>611</v>
      </c>
    </row>
    <row r="531" spans="1:28" ht="12.6" customHeight="1" x14ac:dyDescent="0.2">
      <c r="A531" s="4"/>
      <c r="B531" s="742" t="s">
        <v>741</v>
      </c>
      <c r="C531" s="743"/>
      <c r="D531" s="743"/>
      <c r="E531" s="744"/>
      <c r="F531" s="400">
        <v>6070</v>
      </c>
      <c r="G531" s="346">
        <f>+F531*$X$1</f>
        <v>6070</v>
      </c>
      <c r="H531" s="107"/>
      <c r="I531" s="388"/>
      <c r="J531" s="107"/>
      <c r="K531" s="388"/>
      <c r="L531" s="107">
        <f t="shared" si="1335"/>
        <v>6480</v>
      </c>
      <c r="M531" s="388">
        <f t="shared" si="1336"/>
        <v>6480</v>
      </c>
      <c r="N531" s="107">
        <f t="shared" si="1337"/>
        <v>6440</v>
      </c>
      <c r="O531" s="388">
        <f t="shared" si="1338"/>
        <v>6440</v>
      </c>
      <c r="P531" s="107">
        <f t="shared" si="1339"/>
        <v>6430</v>
      </c>
      <c r="Q531" s="388">
        <f t="shared" si="1340"/>
        <v>6430</v>
      </c>
      <c r="R531" s="107">
        <f t="shared" si="1341"/>
        <v>6400</v>
      </c>
      <c r="S531" s="388">
        <f t="shared" si="1342"/>
        <v>6400</v>
      </c>
      <c r="T531" s="107">
        <f t="shared" si="1343"/>
        <v>6360</v>
      </c>
      <c r="U531" s="388">
        <f t="shared" si="1344"/>
        <v>6360</v>
      </c>
      <c r="V531" s="107">
        <f t="shared" si="1345"/>
        <v>6310</v>
      </c>
      <c r="W531" s="388">
        <f t="shared" si="1346"/>
        <v>6310</v>
      </c>
      <c r="X531" s="150"/>
      <c r="Y531" s="145"/>
      <c r="Z531" s="151"/>
      <c r="AA531" s="152"/>
      <c r="AB531" s="208">
        <v>641</v>
      </c>
    </row>
    <row r="532" spans="1:28" ht="12.6" customHeight="1" x14ac:dyDescent="0.2">
      <c r="A532" s="4"/>
      <c r="B532" s="922" t="s">
        <v>742</v>
      </c>
      <c r="C532" s="961"/>
      <c r="D532" s="961"/>
      <c r="E532" s="962"/>
      <c r="F532" s="484">
        <f>6*X2</f>
        <v>5520</v>
      </c>
      <c r="G532" s="345">
        <f t="shared" ref="G532" si="1365">+F532*$X$1</f>
        <v>5520</v>
      </c>
      <c r="H532" s="108">
        <f t="shared" si="1331"/>
        <v>7720</v>
      </c>
      <c r="I532" s="372">
        <f t="shared" si="1332"/>
        <v>7720</v>
      </c>
      <c r="J532" s="108">
        <f t="shared" si="1333"/>
        <v>6020</v>
      </c>
      <c r="K532" s="372">
        <f t="shared" si="1334"/>
        <v>6020</v>
      </c>
      <c r="L532" s="108">
        <f t="shared" si="1335"/>
        <v>5930</v>
      </c>
      <c r="M532" s="372">
        <f t="shared" si="1336"/>
        <v>5930</v>
      </c>
      <c r="N532" s="108">
        <f t="shared" si="1337"/>
        <v>5890</v>
      </c>
      <c r="O532" s="372">
        <f t="shared" si="1338"/>
        <v>5890</v>
      </c>
      <c r="P532" s="108">
        <f t="shared" si="1339"/>
        <v>5880</v>
      </c>
      <c r="Q532" s="372">
        <f t="shared" si="1340"/>
        <v>5880</v>
      </c>
      <c r="R532" s="108">
        <f t="shared" si="1341"/>
        <v>5850</v>
      </c>
      <c r="S532" s="372">
        <f t="shared" si="1342"/>
        <v>5850</v>
      </c>
      <c r="T532" s="108">
        <f t="shared" si="1343"/>
        <v>5810</v>
      </c>
      <c r="U532" s="372">
        <f t="shared" si="1344"/>
        <v>5810</v>
      </c>
      <c r="V532" s="108">
        <f t="shared" si="1345"/>
        <v>5760</v>
      </c>
      <c r="W532" s="372">
        <f t="shared" si="1346"/>
        <v>5760</v>
      </c>
      <c r="X532" s="150"/>
      <c r="Y532" s="145"/>
      <c r="Z532" s="151"/>
      <c r="AA532" s="152"/>
      <c r="AB532" s="208">
        <v>642</v>
      </c>
    </row>
    <row r="533" spans="1:28" ht="12.6" customHeight="1" x14ac:dyDescent="0.2">
      <c r="A533" s="4"/>
      <c r="B533" s="742" t="s">
        <v>743</v>
      </c>
      <c r="C533" s="743"/>
      <c r="D533" s="743"/>
      <c r="E533" s="744"/>
      <c r="F533" s="483">
        <f>26.55*X2</f>
        <v>24426</v>
      </c>
      <c r="G533" s="346">
        <f t="shared" ref="G533" si="1366">+F533*$X$1</f>
        <v>24426</v>
      </c>
      <c r="H533" s="107">
        <f t="shared" si="1331"/>
        <v>26626</v>
      </c>
      <c r="I533" s="388">
        <f t="shared" si="1332"/>
        <v>26626</v>
      </c>
      <c r="J533" s="107">
        <f t="shared" si="1333"/>
        <v>24926</v>
      </c>
      <c r="K533" s="388">
        <f t="shared" si="1334"/>
        <v>24926</v>
      </c>
      <c r="L533" s="107">
        <f t="shared" si="1335"/>
        <v>24836</v>
      </c>
      <c r="M533" s="388">
        <f t="shared" si="1336"/>
        <v>24836</v>
      </c>
      <c r="N533" s="107">
        <f t="shared" si="1337"/>
        <v>24796</v>
      </c>
      <c r="O533" s="388">
        <f t="shared" si="1338"/>
        <v>24796</v>
      </c>
      <c r="P533" s="107">
        <f t="shared" si="1339"/>
        <v>24786</v>
      </c>
      <c r="Q533" s="388">
        <f t="shared" si="1340"/>
        <v>24786</v>
      </c>
      <c r="R533" s="107">
        <f t="shared" si="1341"/>
        <v>24756</v>
      </c>
      <c r="S533" s="388">
        <f t="shared" si="1342"/>
        <v>24756</v>
      </c>
      <c r="T533" s="107">
        <f t="shared" si="1343"/>
        <v>24716</v>
      </c>
      <c r="U533" s="388">
        <f t="shared" si="1344"/>
        <v>24716</v>
      </c>
      <c r="V533" s="107">
        <f t="shared" si="1345"/>
        <v>24666</v>
      </c>
      <c r="W533" s="388">
        <f t="shared" si="1346"/>
        <v>24666</v>
      </c>
      <c r="X533" s="150"/>
      <c r="Y533" s="145"/>
      <c r="Z533" s="151"/>
      <c r="AA533" s="152"/>
      <c r="AB533" s="208">
        <v>643</v>
      </c>
    </row>
    <row r="534" spans="1:28" ht="12.6" customHeight="1" x14ac:dyDescent="0.2">
      <c r="A534" s="4"/>
      <c r="B534" s="922" t="s">
        <v>894</v>
      </c>
      <c r="C534" s="961"/>
      <c r="D534" s="961"/>
      <c r="E534" s="962"/>
      <c r="F534" s="481">
        <f>42.332*X2</f>
        <v>38945.440000000002</v>
      </c>
      <c r="G534" s="345">
        <f t="shared" si="1316"/>
        <v>38945.440000000002</v>
      </c>
      <c r="H534" s="108">
        <f t="shared" ref="H534" si="1367">F534+2200</f>
        <v>41145.440000000002</v>
      </c>
      <c r="I534" s="372">
        <f t="shared" ref="I534" si="1368">+H534*$X$1</f>
        <v>41145.440000000002</v>
      </c>
      <c r="J534" s="108">
        <f t="shared" ref="J534" si="1369">F534+500</f>
        <v>39445.440000000002</v>
      </c>
      <c r="K534" s="372">
        <f t="shared" ref="K534" si="1370">+J534*$X$1</f>
        <v>39445.440000000002</v>
      </c>
      <c r="L534" s="108">
        <f t="shared" ref="L534" si="1371">F534+410</f>
        <v>39355.440000000002</v>
      </c>
      <c r="M534" s="372">
        <f t="shared" ref="M534" si="1372">+L534*$X$1</f>
        <v>39355.440000000002</v>
      </c>
      <c r="N534" s="108">
        <f t="shared" ref="N534" si="1373">F534+370</f>
        <v>39315.440000000002</v>
      </c>
      <c r="O534" s="372">
        <f t="shared" ref="O534" si="1374">+N534*$X$1</f>
        <v>39315.440000000002</v>
      </c>
      <c r="P534" s="108">
        <f t="shared" ref="P534" si="1375">F534+360</f>
        <v>39305.440000000002</v>
      </c>
      <c r="Q534" s="372">
        <f t="shared" ref="Q534" si="1376">+P534*$X$1</f>
        <v>39305.440000000002</v>
      </c>
      <c r="R534" s="108">
        <f t="shared" ref="R534" si="1377">F534+330</f>
        <v>39275.440000000002</v>
      </c>
      <c r="S534" s="372">
        <f t="shared" ref="S534" si="1378">+R534*$X$1</f>
        <v>39275.440000000002</v>
      </c>
      <c r="T534" s="108">
        <f t="shared" ref="T534" si="1379">F534+290</f>
        <v>39235.440000000002</v>
      </c>
      <c r="U534" s="372">
        <f t="shared" ref="U534" si="1380">+T534*$X$1</f>
        <v>39235.440000000002</v>
      </c>
      <c r="V534" s="108">
        <f t="shared" ref="V534" si="1381">F534+240</f>
        <v>39185.440000000002</v>
      </c>
      <c r="W534" s="372">
        <f t="shared" ref="W534" si="1382">+V534*$X$1</f>
        <v>39185.440000000002</v>
      </c>
      <c r="X534" s="150"/>
      <c r="Y534" s="145"/>
      <c r="Z534" s="151"/>
      <c r="AA534" s="152"/>
      <c r="AB534" s="534">
        <v>657</v>
      </c>
    </row>
    <row r="535" spans="1:28" ht="12.6" customHeight="1" x14ac:dyDescent="0.2">
      <c r="A535" s="4"/>
      <c r="B535" s="742" t="s">
        <v>895</v>
      </c>
      <c r="C535" s="743"/>
      <c r="D535" s="743"/>
      <c r="E535" s="744"/>
      <c r="F535" s="482">
        <f>36.045*X2</f>
        <v>33161.4</v>
      </c>
      <c r="G535" s="346">
        <f t="shared" ref="G535:G537" si="1383">+F535*$X$1</f>
        <v>33161.4</v>
      </c>
      <c r="H535" s="107">
        <f t="shared" ref="H535:H551" si="1384">F535+2200</f>
        <v>35361.4</v>
      </c>
      <c r="I535" s="388">
        <f t="shared" ref="I535:I551" si="1385">+H535*$X$1</f>
        <v>35361.4</v>
      </c>
      <c r="J535" s="107">
        <f t="shared" ref="J535:J551" si="1386">F535+500</f>
        <v>33661.4</v>
      </c>
      <c r="K535" s="388">
        <f t="shared" ref="K535:K551" si="1387">+J535*$X$1</f>
        <v>33661.4</v>
      </c>
      <c r="L535" s="107">
        <f t="shared" ref="L535:L551" si="1388">F535+410</f>
        <v>33571.4</v>
      </c>
      <c r="M535" s="388">
        <f t="shared" ref="M535:M551" si="1389">+L535*$X$1</f>
        <v>33571.4</v>
      </c>
      <c r="N535" s="107">
        <f t="shared" ref="N535:N551" si="1390">F535+370</f>
        <v>33531.4</v>
      </c>
      <c r="O535" s="388">
        <f t="shared" ref="O535:O551" si="1391">+N535*$X$1</f>
        <v>33531.4</v>
      </c>
      <c r="P535" s="107">
        <f t="shared" ref="P535:P551" si="1392">F535+360</f>
        <v>33521.4</v>
      </c>
      <c r="Q535" s="388">
        <f t="shared" ref="Q535:Q551" si="1393">+P535*$X$1</f>
        <v>33521.4</v>
      </c>
      <c r="R535" s="107">
        <f t="shared" ref="R535:R551" si="1394">F535+330</f>
        <v>33491.4</v>
      </c>
      <c r="S535" s="388">
        <f t="shared" ref="S535:S551" si="1395">+R535*$X$1</f>
        <v>33491.4</v>
      </c>
      <c r="T535" s="107">
        <f t="shared" ref="T535:T551" si="1396">F535+290</f>
        <v>33451.4</v>
      </c>
      <c r="U535" s="388">
        <f t="shared" ref="U535:U551" si="1397">+T535*$X$1</f>
        <v>33451.4</v>
      </c>
      <c r="V535" s="107">
        <f t="shared" ref="V535:V551" si="1398">F535+240</f>
        <v>33401.4</v>
      </c>
      <c r="W535" s="388">
        <f t="shared" ref="W535:W551" si="1399">+V535*$X$1</f>
        <v>33401.4</v>
      </c>
      <c r="X535" s="150"/>
      <c r="Y535" s="145"/>
      <c r="Z535" s="151"/>
      <c r="AA535" s="152"/>
      <c r="AB535" s="534">
        <v>658</v>
      </c>
    </row>
    <row r="536" spans="1:28" ht="12.6" customHeight="1" x14ac:dyDescent="0.2">
      <c r="A536" s="4"/>
      <c r="B536" s="922" t="s">
        <v>896</v>
      </c>
      <c r="C536" s="961"/>
      <c r="D536" s="961"/>
      <c r="E536" s="962"/>
      <c r="F536" s="481">
        <f>28.5*X2</f>
        <v>26220</v>
      </c>
      <c r="G536" s="345">
        <f t="shared" si="1383"/>
        <v>26220</v>
      </c>
      <c r="H536" s="108">
        <f t="shared" si="1384"/>
        <v>28420</v>
      </c>
      <c r="I536" s="372">
        <f t="shared" si="1385"/>
        <v>28420</v>
      </c>
      <c r="J536" s="108">
        <f t="shared" si="1386"/>
        <v>26720</v>
      </c>
      <c r="K536" s="372">
        <f t="shared" si="1387"/>
        <v>26720</v>
      </c>
      <c r="L536" s="108">
        <f t="shared" si="1388"/>
        <v>26630</v>
      </c>
      <c r="M536" s="372">
        <f t="shared" si="1389"/>
        <v>26630</v>
      </c>
      <c r="N536" s="108">
        <f t="shared" si="1390"/>
        <v>26590</v>
      </c>
      <c r="O536" s="372">
        <f t="shared" si="1391"/>
        <v>26590</v>
      </c>
      <c r="P536" s="108">
        <f t="shared" si="1392"/>
        <v>26580</v>
      </c>
      <c r="Q536" s="372">
        <f t="shared" si="1393"/>
        <v>26580</v>
      </c>
      <c r="R536" s="108">
        <f t="shared" si="1394"/>
        <v>26550</v>
      </c>
      <c r="S536" s="372">
        <f t="shared" si="1395"/>
        <v>26550</v>
      </c>
      <c r="T536" s="108">
        <f t="shared" si="1396"/>
        <v>26510</v>
      </c>
      <c r="U536" s="372">
        <f t="shared" si="1397"/>
        <v>26510</v>
      </c>
      <c r="V536" s="108">
        <f t="shared" si="1398"/>
        <v>26460</v>
      </c>
      <c r="W536" s="372">
        <f t="shared" si="1399"/>
        <v>26460</v>
      </c>
      <c r="X536" s="150"/>
      <c r="Y536" s="145"/>
      <c r="Z536" s="151"/>
      <c r="AA536" s="152"/>
      <c r="AB536" s="534">
        <v>659</v>
      </c>
    </row>
    <row r="537" spans="1:28" ht="12.6" customHeight="1" x14ac:dyDescent="0.2">
      <c r="A537" s="4"/>
      <c r="B537" s="742" t="s">
        <v>897</v>
      </c>
      <c r="C537" s="743"/>
      <c r="D537" s="743"/>
      <c r="E537" s="744"/>
      <c r="F537" s="482">
        <f>13.1*X2</f>
        <v>12052</v>
      </c>
      <c r="G537" s="346">
        <f t="shared" si="1383"/>
        <v>12052</v>
      </c>
      <c r="H537" s="107">
        <f t="shared" si="1384"/>
        <v>14252</v>
      </c>
      <c r="I537" s="388">
        <f t="shared" si="1385"/>
        <v>14252</v>
      </c>
      <c r="J537" s="107">
        <f t="shared" si="1386"/>
        <v>12552</v>
      </c>
      <c r="K537" s="388">
        <f t="shared" si="1387"/>
        <v>12552</v>
      </c>
      <c r="L537" s="107">
        <f t="shared" si="1388"/>
        <v>12462</v>
      </c>
      <c r="M537" s="388">
        <f t="shared" si="1389"/>
        <v>12462</v>
      </c>
      <c r="N537" s="107">
        <f t="shared" si="1390"/>
        <v>12422</v>
      </c>
      <c r="O537" s="388">
        <f t="shared" si="1391"/>
        <v>12422</v>
      </c>
      <c r="P537" s="107">
        <f t="shared" si="1392"/>
        <v>12412</v>
      </c>
      <c r="Q537" s="388">
        <f t="shared" si="1393"/>
        <v>12412</v>
      </c>
      <c r="R537" s="107">
        <f t="shared" si="1394"/>
        <v>12382</v>
      </c>
      <c r="S537" s="388">
        <f t="shared" si="1395"/>
        <v>12382</v>
      </c>
      <c r="T537" s="107">
        <f t="shared" si="1396"/>
        <v>12342</v>
      </c>
      <c r="U537" s="388">
        <f t="shared" si="1397"/>
        <v>12342</v>
      </c>
      <c r="V537" s="107">
        <f t="shared" si="1398"/>
        <v>12292</v>
      </c>
      <c r="W537" s="388">
        <f t="shared" si="1399"/>
        <v>12292</v>
      </c>
      <c r="X537" s="150"/>
      <c r="Y537" s="145"/>
      <c r="Z537" s="151"/>
      <c r="AA537" s="152"/>
      <c r="AB537" s="534">
        <v>660</v>
      </c>
    </row>
    <row r="538" spans="1:28" ht="12.6" customHeight="1" x14ac:dyDescent="0.2">
      <c r="A538" s="4"/>
      <c r="B538" s="922" t="s">
        <v>717</v>
      </c>
      <c r="C538" s="961"/>
      <c r="D538" s="961"/>
      <c r="E538" s="962"/>
      <c r="F538" s="401">
        <v>9480</v>
      </c>
      <c r="G538" s="345">
        <f t="shared" ref="G538:G543" si="1400">+F538*$X$1</f>
        <v>9480</v>
      </c>
      <c r="H538" s="108"/>
      <c r="I538" s="372"/>
      <c r="J538" s="108">
        <f t="shared" si="1386"/>
        <v>9980</v>
      </c>
      <c r="K538" s="372">
        <f t="shared" si="1387"/>
        <v>9980</v>
      </c>
      <c r="L538" s="108">
        <f t="shared" si="1388"/>
        <v>9890</v>
      </c>
      <c r="M538" s="372">
        <f t="shared" si="1389"/>
        <v>9890</v>
      </c>
      <c r="N538" s="108">
        <f t="shared" si="1390"/>
        <v>9850</v>
      </c>
      <c r="O538" s="372">
        <f t="shared" si="1391"/>
        <v>9850</v>
      </c>
      <c r="P538" s="108">
        <f t="shared" si="1392"/>
        <v>9840</v>
      </c>
      <c r="Q538" s="372">
        <f t="shared" si="1393"/>
        <v>9840</v>
      </c>
      <c r="R538" s="108">
        <f t="shared" si="1394"/>
        <v>9810</v>
      </c>
      <c r="S538" s="372">
        <f t="shared" si="1395"/>
        <v>9810</v>
      </c>
      <c r="T538" s="108">
        <f t="shared" si="1396"/>
        <v>9770</v>
      </c>
      <c r="U538" s="372">
        <f t="shared" si="1397"/>
        <v>9770</v>
      </c>
      <c r="V538" s="108">
        <f t="shared" si="1398"/>
        <v>9720</v>
      </c>
      <c r="W538" s="372">
        <f t="shared" si="1399"/>
        <v>9720</v>
      </c>
      <c r="X538" s="150"/>
      <c r="Y538" s="145"/>
      <c r="Z538" s="151"/>
      <c r="AA538" s="152"/>
      <c r="AB538" s="534">
        <v>661</v>
      </c>
    </row>
    <row r="539" spans="1:28" ht="12.6" customHeight="1" x14ac:dyDescent="0.2">
      <c r="A539" s="4"/>
      <c r="B539" s="742" t="s">
        <v>718</v>
      </c>
      <c r="C539" s="743"/>
      <c r="D539" s="743"/>
      <c r="E539" s="744"/>
      <c r="F539" s="400">
        <v>37260</v>
      </c>
      <c r="G539" s="346">
        <f t="shared" si="1400"/>
        <v>37260</v>
      </c>
      <c r="H539" s="107"/>
      <c r="I539" s="388"/>
      <c r="J539" s="107">
        <f t="shared" si="1386"/>
        <v>37760</v>
      </c>
      <c r="K539" s="388">
        <f t="shared" si="1387"/>
        <v>37760</v>
      </c>
      <c r="L539" s="107">
        <f t="shared" si="1388"/>
        <v>37670</v>
      </c>
      <c r="M539" s="388">
        <f t="shared" si="1389"/>
        <v>37670</v>
      </c>
      <c r="N539" s="107">
        <f t="shared" si="1390"/>
        <v>37630</v>
      </c>
      <c r="O539" s="388">
        <f t="shared" si="1391"/>
        <v>37630</v>
      </c>
      <c r="P539" s="107">
        <f t="shared" si="1392"/>
        <v>37620</v>
      </c>
      <c r="Q539" s="388">
        <f t="shared" si="1393"/>
        <v>37620</v>
      </c>
      <c r="R539" s="107">
        <f t="shared" si="1394"/>
        <v>37590</v>
      </c>
      <c r="S539" s="388">
        <f t="shared" si="1395"/>
        <v>37590</v>
      </c>
      <c r="T539" s="107">
        <f t="shared" si="1396"/>
        <v>37550</v>
      </c>
      <c r="U539" s="388">
        <f t="shared" si="1397"/>
        <v>37550</v>
      </c>
      <c r="V539" s="107">
        <f t="shared" si="1398"/>
        <v>37500</v>
      </c>
      <c r="W539" s="388">
        <f t="shared" si="1399"/>
        <v>37500</v>
      </c>
      <c r="X539" s="150"/>
      <c r="Y539" s="145"/>
      <c r="Z539" s="151"/>
      <c r="AA539" s="152"/>
      <c r="AB539" s="534">
        <v>664</v>
      </c>
    </row>
    <row r="540" spans="1:28" ht="12.6" customHeight="1" x14ac:dyDescent="0.2">
      <c r="A540" s="4"/>
      <c r="B540" s="694" t="s">
        <v>807</v>
      </c>
      <c r="C540" s="695"/>
      <c r="D540" s="695"/>
      <c r="E540" s="696"/>
      <c r="F540" s="481">
        <f>18.36*X2</f>
        <v>16891.2</v>
      </c>
      <c r="G540" s="345">
        <f t="shared" si="1400"/>
        <v>16891.2</v>
      </c>
      <c r="H540" s="108">
        <f t="shared" si="1384"/>
        <v>19091.2</v>
      </c>
      <c r="I540" s="372">
        <f t="shared" si="1385"/>
        <v>19091.2</v>
      </c>
      <c r="J540" s="108">
        <f t="shared" si="1386"/>
        <v>17391.2</v>
      </c>
      <c r="K540" s="372">
        <f t="shared" si="1387"/>
        <v>17391.2</v>
      </c>
      <c r="L540" s="108">
        <f t="shared" si="1388"/>
        <v>17301.2</v>
      </c>
      <c r="M540" s="372">
        <f t="shared" si="1389"/>
        <v>17301.2</v>
      </c>
      <c r="N540" s="108">
        <f t="shared" si="1390"/>
        <v>17261.2</v>
      </c>
      <c r="O540" s="372">
        <f t="shared" si="1391"/>
        <v>17261.2</v>
      </c>
      <c r="P540" s="108">
        <f t="shared" si="1392"/>
        <v>17251.2</v>
      </c>
      <c r="Q540" s="372">
        <f t="shared" si="1393"/>
        <v>17251.2</v>
      </c>
      <c r="R540" s="108">
        <f t="shared" si="1394"/>
        <v>17221.2</v>
      </c>
      <c r="S540" s="372">
        <f t="shared" si="1395"/>
        <v>17221.2</v>
      </c>
      <c r="T540" s="108">
        <f t="shared" si="1396"/>
        <v>17181.2</v>
      </c>
      <c r="U540" s="372">
        <f t="shared" si="1397"/>
        <v>17181.2</v>
      </c>
      <c r="V540" s="108">
        <f t="shared" si="1398"/>
        <v>17131.2</v>
      </c>
      <c r="W540" s="372">
        <f t="shared" si="1399"/>
        <v>17131.2</v>
      </c>
      <c r="X540" s="150"/>
      <c r="Y540" s="145"/>
      <c r="Z540" s="151"/>
      <c r="AA540" s="152"/>
      <c r="AB540" s="534">
        <v>667</v>
      </c>
    </row>
    <row r="541" spans="1:28" ht="12.6" customHeight="1" x14ac:dyDescent="0.2">
      <c r="A541" s="4"/>
      <c r="B541" s="742" t="s">
        <v>624</v>
      </c>
      <c r="C541" s="743"/>
      <c r="D541" s="743"/>
      <c r="E541" s="744"/>
      <c r="F541" s="482">
        <f>17.5*X2</f>
        <v>16100</v>
      </c>
      <c r="G541" s="346">
        <f t="shared" si="1400"/>
        <v>16100</v>
      </c>
      <c r="H541" s="107">
        <f t="shared" si="1384"/>
        <v>18300</v>
      </c>
      <c r="I541" s="388">
        <f t="shared" si="1385"/>
        <v>18300</v>
      </c>
      <c r="J541" s="107">
        <f t="shared" si="1386"/>
        <v>16600</v>
      </c>
      <c r="K541" s="388">
        <f t="shared" si="1387"/>
        <v>16600</v>
      </c>
      <c r="L541" s="107">
        <f t="shared" si="1388"/>
        <v>16510</v>
      </c>
      <c r="M541" s="388">
        <f t="shared" si="1389"/>
        <v>16510</v>
      </c>
      <c r="N541" s="107">
        <f t="shared" si="1390"/>
        <v>16470</v>
      </c>
      <c r="O541" s="388">
        <f t="shared" si="1391"/>
        <v>16470</v>
      </c>
      <c r="P541" s="107">
        <f t="shared" si="1392"/>
        <v>16460</v>
      </c>
      <c r="Q541" s="388">
        <f t="shared" si="1393"/>
        <v>16460</v>
      </c>
      <c r="R541" s="107">
        <f t="shared" si="1394"/>
        <v>16430</v>
      </c>
      <c r="S541" s="388">
        <f t="shared" si="1395"/>
        <v>16430</v>
      </c>
      <c r="T541" s="107">
        <f t="shared" si="1396"/>
        <v>16390</v>
      </c>
      <c r="U541" s="388">
        <f t="shared" si="1397"/>
        <v>16390</v>
      </c>
      <c r="V541" s="107">
        <f t="shared" si="1398"/>
        <v>16340</v>
      </c>
      <c r="W541" s="388">
        <f t="shared" si="1399"/>
        <v>16340</v>
      </c>
      <c r="X541" s="150"/>
      <c r="Y541" s="145"/>
      <c r="Z541" s="151"/>
      <c r="AA541" s="152"/>
      <c r="AB541" s="208">
        <v>686</v>
      </c>
    </row>
    <row r="542" spans="1:28" ht="12.6" customHeight="1" x14ac:dyDescent="0.2">
      <c r="A542" s="4"/>
      <c r="B542" s="922" t="s">
        <v>669</v>
      </c>
      <c r="C542" s="961"/>
      <c r="D542" s="961"/>
      <c r="E542" s="962"/>
      <c r="F542" s="484">
        <f>33.5*X2</f>
        <v>30820</v>
      </c>
      <c r="G542" s="345">
        <f t="shared" si="1400"/>
        <v>30820</v>
      </c>
      <c r="H542" s="108">
        <f t="shared" si="1384"/>
        <v>33020</v>
      </c>
      <c r="I542" s="372">
        <f t="shared" si="1385"/>
        <v>33020</v>
      </c>
      <c r="J542" s="108">
        <f t="shared" si="1386"/>
        <v>31320</v>
      </c>
      <c r="K542" s="372">
        <f t="shared" si="1387"/>
        <v>31320</v>
      </c>
      <c r="L542" s="108">
        <f t="shared" si="1388"/>
        <v>31230</v>
      </c>
      <c r="M542" s="372">
        <f t="shared" si="1389"/>
        <v>31230</v>
      </c>
      <c r="N542" s="108">
        <f t="shared" si="1390"/>
        <v>31190</v>
      </c>
      <c r="O542" s="372">
        <f t="shared" si="1391"/>
        <v>31190</v>
      </c>
      <c r="P542" s="108">
        <f t="shared" si="1392"/>
        <v>31180</v>
      </c>
      <c r="Q542" s="372">
        <f t="shared" si="1393"/>
        <v>31180</v>
      </c>
      <c r="R542" s="108">
        <f t="shared" si="1394"/>
        <v>31150</v>
      </c>
      <c r="S542" s="372">
        <f t="shared" si="1395"/>
        <v>31150</v>
      </c>
      <c r="T542" s="108">
        <f t="shared" si="1396"/>
        <v>31110</v>
      </c>
      <c r="U542" s="372">
        <f t="shared" si="1397"/>
        <v>31110</v>
      </c>
      <c r="V542" s="108">
        <f t="shared" si="1398"/>
        <v>31060</v>
      </c>
      <c r="W542" s="372">
        <f t="shared" si="1399"/>
        <v>31060</v>
      </c>
      <c r="X542" s="150"/>
      <c r="Y542" s="145"/>
      <c r="Z542" s="151"/>
      <c r="AA542" s="152"/>
      <c r="AB542" s="534">
        <v>687</v>
      </c>
    </row>
    <row r="543" spans="1:28" ht="12.6" customHeight="1" x14ac:dyDescent="0.2">
      <c r="A543" s="4"/>
      <c r="B543" s="742" t="s">
        <v>898</v>
      </c>
      <c r="C543" s="743"/>
      <c r="D543" s="743"/>
      <c r="E543" s="744"/>
      <c r="F543" s="483">
        <f>18*X2</f>
        <v>16560</v>
      </c>
      <c r="G543" s="346">
        <f t="shared" si="1400"/>
        <v>16560</v>
      </c>
      <c r="H543" s="107">
        <f t="shared" si="1384"/>
        <v>18760</v>
      </c>
      <c r="I543" s="388">
        <f t="shared" si="1385"/>
        <v>18760</v>
      </c>
      <c r="J543" s="107">
        <f t="shared" si="1386"/>
        <v>17060</v>
      </c>
      <c r="K543" s="388">
        <f t="shared" si="1387"/>
        <v>17060</v>
      </c>
      <c r="L543" s="107">
        <f t="shared" si="1388"/>
        <v>16970</v>
      </c>
      <c r="M543" s="388">
        <f t="shared" si="1389"/>
        <v>16970</v>
      </c>
      <c r="N543" s="107">
        <f t="shared" si="1390"/>
        <v>16930</v>
      </c>
      <c r="O543" s="388">
        <f t="shared" si="1391"/>
        <v>16930</v>
      </c>
      <c r="P543" s="107">
        <f t="shared" si="1392"/>
        <v>16920</v>
      </c>
      <c r="Q543" s="388">
        <f t="shared" si="1393"/>
        <v>16920</v>
      </c>
      <c r="R543" s="107">
        <f t="shared" si="1394"/>
        <v>16890</v>
      </c>
      <c r="S543" s="388">
        <f t="shared" si="1395"/>
        <v>16890</v>
      </c>
      <c r="T543" s="107">
        <f t="shared" si="1396"/>
        <v>16850</v>
      </c>
      <c r="U543" s="388">
        <f t="shared" si="1397"/>
        <v>16850</v>
      </c>
      <c r="V543" s="107">
        <f t="shared" si="1398"/>
        <v>16800</v>
      </c>
      <c r="W543" s="388">
        <f t="shared" si="1399"/>
        <v>16800</v>
      </c>
      <c r="X543" s="150"/>
      <c r="Y543" s="145"/>
      <c r="Z543" s="151"/>
      <c r="AA543" s="152"/>
      <c r="AB543" s="534">
        <v>694</v>
      </c>
    </row>
    <row r="544" spans="1:28" ht="12.6" customHeight="1" x14ac:dyDescent="0.2">
      <c r="A544" s="4"/>
      <c r="B544" s="922" t="s">
        <v>899</v>
      </c>
      <c r="C544" s="961"/>
      <c r="D544" s="961"/>
      <c r="E544" s="962"/>
      <c r="F544" s="481">
        <f>39.2*X2</f>
        <v>36064</v>
      </c>
      <c r="G544" s="345">
        <f t="shared" ref="G544" si="1401">+F544*$X$1</f>
        <v>36064</v>
      </c>
      <c r="H544" s="108">
        <f t="shared" si="1384"/>
        <v>38264</v>
      </c>
      <c r="I544" s="372">
        <f t="shared" si="1385"/>
        <v>38264</v>
      </c>
      <c r="J544" s="108">
        <f t="shared" si="1386"/>
        <v>36564</v>
      </c>
      <c r="K544" s="372">
        <f t="shared" si="1387"/>
        <v>36564</v>
      </c>
      <c r="L544" s="108">
        <f t="shared" si="1388"/>
        <v>36474</v>
      </c>
      <c r="M544" s="372">
        <f t="shared" si="1389"/>
        <v>36474</v>
      </c>
      <c r="N544" s="108">
        <f t="shared" si="1390"/>
        <v>36434</v>
      </c>
      <c r="O544" s="372">
        <f t="shared" si="1391"/>
        <v>36434</v>
      </c>
      <c r="P544" s="108">
        <f t="shared" si="1392"/>
        <v>36424</v>
      </c>
      <c r="Q544" s="372">
        <f t="shared" si="1393"/>
        <v>36424</v>
      </c>
      <c r="R544" s="108">
        <f t="shared" si="1394"/>
        <v>36394</v>
      </c>
      <c r="S544" s="372">
        <f t="shared" si="1395"/>
        <v>36394</v>
      </c>
      <c r="T544" s="108">
        <f t="shared" si="1396"/>
        <v>36354</v>
      </c>
      <c r="U544" s="372">
        <f t="shared" si="1397"/>
        <v>36354</v>
      </c>
      <c r="V544" s="108">
        <f t="shared" si="1398"/>
        <v>36304</v>
      </c>
      <c r="W544" s="372">
        <f t="shared" si="1399"/>
        <v>36304</v>
      </c>
      <c r="X544" s="150"/>
      <c r="Y544" s="145"/>
      <c r="Z544" s="151"/>
      <c r="AA544" s="152"/>
      <c r="AB544" s="534">
        <v>698</v>
      </c>
    </row>
    <row r="545" spans="1:34" ht="12.6" customHeight="1" x14ac:dyDescent="0.2">
      <c r="A545" s="4"/>
      <c r="B545" s="742" t="s">
        <v>709</v>
      </c>
      <c r="C545" s="743"/>
      <c r="D545" s="743"/>
      <c r="E545" s="744"/>
      <c r="F545" s="482">
        <f>56.84*X2</f>
        <v>52292.800000000003</v>
      </c>
      <c r="G545" s="346">
        <f>+F545*$X$1</f>
        <v>52292.800000000003</v>
      </c>
      <c r="H545" s="107">
        <f t="shared" si="1384"/>
        <v>54492.800000000003</v>
      </c>
      <c r="I545" s="388">
        <f t="shared" si="1385"/>
        <v>54492.800000000003</v>
      </c>
      <c r="J545" s="107">
        <f t="shared" si="1386"/>
        <v>52792.800000000003</v>
      </c>
      <c r="K545" s="388">
        <f t="shared" si="1387"/>
        <v>52792.800000000003</v>
      </c>
      <c r="L545" s="107">
        <f t="shared" si="1388"/>
        <v>52702.8</v>
      </c>
      <c r="M545" s="388">
        <f t="shared" si="1389"/>
        <v>52702.8</v>
      </c>
      <c r="N545" s="107">
        <f t="shared" si="1390"/>
        <v>52662.8</v>
      </c>
      <c r="O545" s="388">
        <f t="shared" si="1391"/>
        <v>52662.8</v>
      </c>
      <c r="P545" s="107">
        <f t="shared" si="1392"/>
        <v>52652.800000000003</v>
      </c>
      <c r="Q545" s="388">
        <f t="shared" si="1393"/>
        <v>52652.800000000003</v>
      </c>
      <c r="R545" s="107">
        <f t="shared" si="1394"/>
        <v>52622.8</v>
      </c>
      <c r="S545" s="388">
        <f t="shared" si="1395"/>
        <v>52622.8</v>
      </c>
      <c r="T545" s="107">
        <f t="shared" si="1396"/>
        <v>52582.8</v>
      </c>
      <c r="U545" s="388">
        <f t="shared" si="1397"/>
        <v>52582.8</v>
      </c>
      <c r="V545" s="107">
        <f t="shared" si="1398"/>
        <v>52532.800000000003</v>
      </c>
      <c r="W545" s="388">
        <f t="shared" si="1399"/>
        <v>52532.800000000003</v>
      </c>
      <c r="X545" s="150"/>
      <c r="Y545" s="145"/>
      <c r="Z545" s="151"/>
      <c r="AA545" s="152"/>
      <c r="AB545" s="534">
        <v>710</v>
      </c>
    </row>
    <row r="546" spans="1:34" ht="12.6" customHeight="1" x14ac:dyDescent="0.2">
      <c r="A546" s="4"/>
      <c r="B546" s="922" t="s">
        <v>678</v>
      </c>
      <c r="C546" s="961"/>
      <c r="D546" s="961"/>
      <c r="E546" s="962"/>
      <c r="F546" s="481">
        <f>65.703*X2</f>
        <v>60446.76</v>
      </c>
      <c r="G546" s="345">
        <f t="shared" ref="G546" si="1402">+F546*$X$1</f>
        <v>60446.76</v>
      </c>
      <c r="H546" s="108">
        <f t="shared" si="1384"/>
        <v>62646.76</v>
      </c>
      <c r="I546" s="372">
        <f t="shared" si="1385"/>
        <v>62646.76</v>
      </c>
      <c r="J546" s="108">
        <f t="shared" si="1386"/>
        <v>60946.76</v>
      </c>
      <c r="K546" s="372">
        <f t="shared" si="1387"/>
        <v>60946.76</v>
      </c>
      <c r="L546" s="108">
        <f t="shared" si="1388"/>
        <v>60856.76</v>
      </c>
      <c r="M546" s="372">
        <f t="shared" si="1389"/>
        <v>60856.76</v>
      </c>
      <c r="N546" s="108">
        <f t="shared" si="1390"/>
        <v>60816.76</v>
      </c>
      <c r="O546" s="372">
        <f t="shared" si="1391"/>
        <v>60816.76</v>
      </c>
      <c r="P546" s="108">
        <f t="shared" si="1392"/>
        <v>60806.76</v>
      </c>
      <c r="Q546" s="372">
        <f t="shared" si="1393"/>
        <v>60806.76</v>
      </c>
      <c r="R546" s="108">
        <f t="shared" si="1394"/>
        <v>60776.76</v>
      </c>
      <c r="S546" s="372">
        <f t="shared" si="1395"/>
        <v>60776.76</v>
      </c>
      <c r="T546" s="108">
        <f t="shared" si="1396"/>
        <v>60736.76</v>
      </c>
      <c r="U546" s="372">
        <f t="shared" si="1397"/>
        <v>60736.76</v>
      </c>
      <c r="V546" s="108">
        <f t="shared" si="1398"/>
        <v>60686.76</v>
      </c>
      <c r="W546" s="372">
        <f t="shared" si="1399"/>
        <v>60686.76</v>
      </c>
      <c r="X546" s="150"/>
      <c r="Y546" s="145"/>
      <c r="Z546" s="151"/>
      <c r="AA546" s="152"/>
      <c r="AB546" s="534">
        <v>711</v>
      </c>
    </row>
    <row r="547" spans="1:34" ht="12.6" customHeight="1" x14ac:dyDescent="0.2">
      <c r="A547" s="4"/>
      <c r="B547" s="742" t="s">
        <v>712</v>
      </c>
      <c r="C547" s="743"/>
      <c r="D547" s="743"/>
      <c r="E547" s="744"/>
      <c r="F547" s="482">
        <f>62.17*X2</f>
        <v>57196.4</v>
      </c>
      <c r="G547" s="346">
        <f t="shared" ref="G547:G555" si="1403">+F547*$X$1</f>
        <v>57196.4</v>
      </c>
      <c r="H547" s="107">
        <f t="shared" si="1384"/>
        <v>59396.4</v>
      </c>
      <c r="I547" s="388">
        <f t="shared" si="1385"/>
        <v>59396.4</v>
      </c>
      <c r="J547" s="107">
        <f t="shared" si="1386"/>
        <v>57696.4</v>
      </c>
      <c r="K547" s="388">
        <f t="shared" si="1387"/>
        <v>57696.4</v>
      </c>
      <c r="L547" s="107">
        <f t="shared" si="1388"/>
        <v>57606.400000000001</v>
      </c>
      <c r="M547" s="388">
        <f t="shared" si="1389"/>
        <v>57606.400000000001</v>
      </c>
      <c r="N547" s="107">
        <f t="shared" si="1390"/>
        <v>57566.400000000001</v>
      </c>
      <c r="O547" s="388">
        <f t="shared" si="1391"/>
        <v>57566.400000000001</v>
      </c>
      <c r="P547" s="107">
        <f t="shared" si="1392"/>
        <v>57556.4</v>
      </c>
      <c r="Q547" s="388">
        <f t="shared" si="1393"/>
        <v>57556.4</v>
      </c>
      <c r="R547" s="107">
        <f t="shared" si="1394"/>
        <v>57526.400000000001</v>
      </c>
      <c r="S547" s="388">
        <f t="shared" si="1395"/>
        <v>57526.400000000001</v>
      </c>
      <c r="T547" s="107">
        <f t="shared" si="1396"/>
        <v>57486.400000000001</v>
      </c>
      <c r="U547" s="388">
        <f t="shared" si="1397"/>
        <v>57486.400000000001</v>
      </c>
      <c r="V547" s="107">
        <f t="shared" si="1398"/>
        <v>57436.4</v>
      </c>
      <c r="W547" s="388">
        <f t="shared" si="1399"/>
        <v>57436.4</v>
      </c>
      <c r="X547" s="150"/>
      <c r="Y547" s="145"/>
      <c r="Z547" s="151"/>
      <c r="AA547" s="152"/>
      <c r="AB547" s="534">
        <v>714</v>
      </c>
    </row>
    <row r="548" spans="1:34" ht="12.6" customHeight="1" x14ac:dyDescent="0.2">
      <c r="A548" s="4"/>
      <c r="B548" s="694" t="s">
        <v>883</v>
      </c>
      <c r="C548" s="695"/>
      <c r="D548" s="695"/>
      <c r="E548" s="696"/>
      <c r="F548" s="481">
        <f>15.72*X2</f>
        <v>14462.400000000001</v>
      </c>
      <c r="G548" s="345">
        <f t="shared" ref="G548" si="1404">+F548*$X$1</f>
        <v>14462.400000000001</v>
      </c>
      <c r="H548" s="108">
        <f t="shared" ref="H548" si="1405">F548+2200</f>
        <v>16662.400000000001</v>
      </c>
      <c r="I548" s="372">
        <f t="shared" ref="I548" si="1406">+H548*$X$1</f>
        <v>16662.400000000001</v>
      </c>
      <c r="J548" s="108">
        <f t="shared" ref="J548" si="1407">F548+500</f>
        <v>14962.400000000001</v>
      </c>
      <c r="K548" s="372">
        <f t="shared" ref="K548" si="1408">+J548*$X$1</f>
        <v>14962.400000000001</v>
      </c>
      <c r="L548" s="108">
        <f t="shared" ref="L548" si="1409">F548+410</f>
        <v>14872.400000000001</v>
      </c>
      <c r="M548" s="372">
        <f t="shared" ref="M548" si="1410">+L548*$X$1</f>
        <v>14872.400000000001</v>
      </c>
      <c r="N548" s="108">
        <f t="shared" ref="N548" si="1411">F548+370</f>
        <v>14832.400000000001</v>
      </c>
      <c r="O548" s="372">
        <f t="shared" ref="O548" si="1412">+N548*$X$1</f>
        <v>14832.400000000001</v>
      </c>
      <c r="P548" s="108">
        <f t="shared" ref="P548" si="1413">F548+360</f>
        <v>14822.400000000001</v>
      </c>
      <c r="Q548" s="372">
        <f t="shared" ref="Q548" si="1414">+P548*$X$1</f>
        <v>14822.400000000001</v>
      </c>
      <c r="R548" s="108">
        <f t="shared" ref="R548" si="1415">F548+330</f>
        <v>14792.400000000001</v>
      </c>
      <c r="S548" s="372">
        <f t="shared" ref="S548" si="1416">+R548*$X$1</f>
        <v>14792.400000000001</v>
      </c>
      <c r="T548" s="108">
        <f t="shared" ref="T548" si="1417">F548+290</f>
        <v>14752.400000000001</v>
      </c>
      <c r="U548" s="372">
        <f t="shared" ref="U548" si="1418">+T548*$X$1</f>
        <v>14752.400000000001</v>
      </c>
      <c r="V548" s="108">
        <f t="shared" ref="V548" si="1419">F548+240</f>
        <v>14702.400000000001</v>
      </c>
      <c r="W548" s="372">
        <f t="shared" ref="W548" si="1420">+V548*$X$1</f>
        <v>14702.400000000001</v>
      </c>
      <c r="X548" s="150"/>
      <c r="Y548" s="145"/>
      <c r="Z548" s="151"/>
      <c r="AA548" s="152"/>
      <c r="AB548" s="534">
        <v>716</v>
      </c>
    </row>
    <row r="549" spans="1:34" ht="12.6" customHeight="1" x14ac:dyDescent="0.2">
      <c r="A549" s="4"/>
      <c r="B549" s="694" t="s">
        <v>885</v>
      </c>
      <c r="C549" s="695"/>
      <c r="D549" s="695"/>
      <c r="E549" s="696"/>
      <c r="F549" s="482">
        <f>83.8*X2</f>
        <v>77096</v>
      </c>
      <c r="G549" s="346">
        <f t="shared" ref="G549" si="1421">+F549*$X$1</f>
        <v>77096</v>
      </c>
      <c r="H549" s="107">
        <f t="shared" ref="H549" si="1422">F549+2200</f>
        <v>79296</v>
      </c>
      <c r="I549" s="388">
        <f t="shared" ref="I549" si="1423">+H549*$X$1</f>
        <v>79296</v>
      </c>
      <c r="J549" s="107">
        <f t="shared" ref="J549" si="1424">F549+500</f>
        <v>77596</v>
      </c>
      <c r="K549" s="388">
        <f t="shared" ref="K549" si="1425">+J549*$X$1</f>
        <v>77596</v>
      </c>
      <c r="L549" s="107">
        <f t="shared" ref="L549" si="1426">F549+410</f>
        <v>77506</v>
      </c>
      <c r="M549" s="388">
        <f t="shared" ref="M549" si="1427">+L549*$X$1</f>
        <v>77506</v>
      </c>
      <c r="N549" s="107">
        <f t="shared" ref="N549" si="1428">F549+370</f>
        <v>77466</v>
      </c>
      <c r="O549" s="388">
        <f t="shared" ref="O549" si="1429">+N549*$X$1</f>
        <v>77466</v>
      </c>
      <c r="P549" s="107">
        <f t="shared" ref="P549" si="1430">F549+360</f>
        <v>77456</v>
      </c>
      <c r="Q549" s="388">
        <f t="shared" ref="Q549" si="1431">+P549*$X$1</f>
        <v>77456</v>
      </c>
      <c r="R549" s="107">
        <f t="shared" ref="R549" si="1432">F549+330</f>
        <v>77426</v>
      </c>
      <c r="S549" s="388">
        <f t="shared" ref="S549" si="1433">+R549*$X$1</f>
        <v>77426</v>
      </c>
      <c r="T549" s="107">
        <f t="shared" ref="T549" si="1434">F549+290</f>
        <v>77386</v>
      </c>
      <c r="U549" s="388">
        <f t="shared" ref="U549" si="1435">+T549*$X$1</f>
        <v>77386</v>
      </c>
      <c r="V549" s="107">
        <f t="shared" ref="V549" si="1436">F549+240</f>
        <v>77336</v>
      </c>
      <c r="W549" s="388">
        <f t="shared" ref="W549" si="1437">+V549*$X$1</f>
        <v>77336</v>
      </c>
      <c r="X549" s="150"/>
      <c r="Y549" s="145"/>
      <c r="Z549" s="151"/>
      <c r="AA549" s="152"/>
      <c r="AB549" s="534">
        <v>717</v>
      </c>
    </row>
    <row r="550" spans="1:34" ht="12.6" customHeight="1" x14ac:dyDescent="0.2">
      <c r="A550" s="4"/>
      <c r="B550" s="694" t="s">
        <v>884</v>
      </c>
      <c r="C550" s="695"/>
      <c r="D550" s="695"/>
      <c r="E550" s="696"/>
      <c r="F550" s="481">
        <f>100.9*X2</f>
        <v>92828</v>
      </c>
      <c r="G550" s="345">
        <f t="shared" ref="G550" si="1438">+F550*$X$1</f>
        <v>92828</v>
      </c>
      <c r="H550" s="108">
        <f t="shared" ref="H550" si="1439">F550+2200</f>
        <v>95028</v>
      </c>
      <c r="I550" s="372">
        <f t="shared" ref="I550" si="1440">+H550*$X$1</f>
        <v>95028</v>
      </c>
      <c r="J550" s="108">
        <f t="shared" ref="J550" si="1441">F550+500</f>
        <v>93328</v>
      </c>
      <c r="K550" s="372">
        <f t="shared" ref="K550" si="1442">+J550*$X$1</f>
        <v>93328</v>
      </c>
      <c r="L550" s="108">
        <f t="shared" ref="L550" si="1443">F550+410</f>
        <v>93238</v>
      </c>
      <c r="M550" s="372">
        <f t="shared" ref="M550" si="1444">+L550*$X$1</f>
        <v>93238</v>
      </c>
      <c r="N550" s="108">
        <f t="shared" ref="N550" si="1445">F550+370</f>
        <v>93198</v>
      </c>
      <c r="O550" s="372">
        <f t="shared" ref="O550" si="1446">+N550*$X$1</f>
        <v>93198</v>
      </c>
      <c r="P550" s="108">
        <f t="shared" ref="P550" si="1447">F550+360</f>
        <v>93188</v>
      </c>
      <c r="Q550" s="372">
        <f t="shared" ref="Q550" si="1448">+P550*$X$1</f>
        <v>93188</v>
      </c>
      <c r="R550" s="108">
        <f t="shared" ref="R550" si="1449">F550+330</f>
        <v>93158</v>
      </c>
      <c r="S550" s="372">
        <f t="shared" ref="S550" si="1450">+R550*$X$1</f>
        <v>93158</v>
      </c>
      <c r="T550" s="108">
        <f t="shared" ref="T550" si="1451">F550+290</f>
        <v>93118</v>
      </c>
      <c r="U550" s="372">
        <f t="shared" ref="U550" si="1452">+T550*$X$1</f>
        <v>93118</v>
      </c>
      <c r="V550" s="108">
        <f t="shared" ref="V550" si="1453">F550+240</f>
        <v>93068</v>
      </c>
      <c r="W550" s="372">
        <f t="shared" ref="W550" si="1454">+V550*$X$1</f>
        <v>93068</v>
      </c>
      <c r="X550" s="150"/>
      <c r="Y550" s="145"/>
      <c r="Z550" s="151"/>
      <c r="AA550" s="152"/>
      <c r="AB550" s="534">
        <v>718</v>
      </c>
    </row>
    <row r="551" spans="1:34" ht="12.6" customHeight="1" x14ac:dyDescent="0.2">
      <c r="A551" s="4"/>
      <c r="B551" s="742" t="s">
        <v>882</v>
      </c>
      <c r="C551" s="743"/>
      <c r="D551" s="743"/>
      <c r="E551" s="744"/>
      <c r="F551" s="482">
        <f>14.4*X2</f>
        <v>13248</v>
      </c>
      <c r="G551" s="346">
        <f t="shared" ref="G551" si="1455">+F551*$X$1</f>
        <v>13248</v>
      </c>
      <c r="H551" s="107">
        <f t="shared" si="1384"/>
        <v>15448</v>
      </c>
      <c r="I551" s="388">
        <f t="shared" si="1385"/>
        <v>15448</v>
      </c>
      <c r="J551" s="107">
        <f t="shared" si="1386"/>
        <v>13748</v>
      </c>
      <c r="K551" s="388">
        <f t="shared" si="1387"/>
        <v>13748</v>
      </c>
      <c r="L551" s="107">
        <f t="shared" si="1388"/>
        <v>13658</v>
      </c>
      <c r="M551" s="388">
        <f t="shared" si="1389"/>
        <v>13658</v>
      </c>
      <c r="N551" s="107">
        <f t="shared" si="1390"/>
        <v>13618</v>
      </c>
      <c r="O551" s="388">
        <f t="shared" si="1391"/>
        <v>13618</v>
      </c>
      <c r="P551" s="107">
        <f t="shared" si="1392"/>
        <v>13608</v>
      </c>
      <c r="Q551" s="388">
        <f t="shared" si="1393"/>
        <v>13608</v>
      </c>
      <c r="R551" s="107">
        <f t="shared" si="1394"/>
        <v>13578</v>
      </c>
      <c r="S551" s="388">
        <f t="shared" si="1395"/>
        <v>13578</v>
      </c>
      <c r="T551" s="107">
        <f t="shared" si="1396"/>
        <v>13538</v>
      </c>
      <c r="U551" s="388">
        <f t="shared" si="1397"/>
        <v>13538</v>
      </c>
      <c r="V551" s="107">
        <f t="shared" si="1398"/>
        <v>13488</v>
      </c>
      <c r="W551" s="388">
        <f t="shared" si="1399"/>
        <v>13488</v>
      </c>
      <c r="X551" s="150"/>
      <c r="Y551" s="145"/>
      <c r="Z551" s="151"/>
      <c r="AA551" s="152"/>
      <c r="AB551" s="534">
        <v>720</v>
      </c>
    </row>
    <row r="552" spans="1:34" ht="12.6" customHeight="1" x14ac:dyDescent="0.2">
      <c r="A552" s="4"/>
      <c r="B552" s="922" t="s">
        <v>881</v>
      </c>
      <c r="C552" s="961"/>
      <c r="D552" s="961"/>
      <c r="E552" s="962"/>
      <c r="F552" s="481">
        <f>40.98*X2</f>
        <v>37701.599999999999</v>
      </c>
      <c r="G552" s="345">
        <f t="shared" ref="G552" si="1456">+F552*$X$1</f>
        <v>37701.599999999999</v>
      </c>
      <c r="H552" s="108">
        <f t="shared" ref="H552" si="1457">F552+2200</f>
        <v>39901.599999999999</v>
      </c>
      <c r="I552" s="372">
        <f t="shared" ref="I552" si="1458">+H552*$X$1</f>
        <v>39901.599999999999</v>
      </c>
      <c r="J552" s="108">
        <f t="shared" ref="J552" si="1459">F552+500</f>
        <v>38201.599999999999</v>
      </c>
      <c r="K552" s="372">
        <f t="shared" ref="K552" si="1460">+J552*$X$1</f>
        <v>38201.599999999999</v>
      </c>
      <c r="L552" s="108">
        <f t="shared" ref="L552" si="1461">F552+410</f>
        <v>38111.599999999999</v>
      </c>
      <c r="M552" s="372">
        <f t="shared" ref="M552" si="1462">+L552*$X$1</f>
        <v>38111.599999999999</v>
      </c>
      <c r="N552" s="108">
        <f t="shared" ref="N552" si="1463">F552+370</f>
        <v>38071.599999999999</v>
      </c>
      <c r="O552" s="372">
        <f t="shared" ref="O552" si="1464">+N552*$X$1</f>
        <v>38071.599999999999</v>
      </c>
      <c r="P552" s="108">
        <f t="shared" ref="P552" si="1465">F552+360</f>
        <v>38061.599999999999</v>
      </c>
      <c r="Q552" s="372">
        <f t="shared" ref="Q552" si="1466">+P552*$X$1</f>
        <v>38061.599999999999</v>
      </c>
      <c r="R552" s="108">
        <f t="shared" ref="R552" si="1467">F552+330</f>
        <v>38031.599999999999</v>
      </c>
      <c r="S552" s="372">
        <f t="shared" ref="S552" si="1468">+R552*$X$1</f>
        <v>38031.599999999999</v>
      </c>
      <c r="T552" s="108">
        <f t="shared" ref="T552" si="1469">F552+290</f>
        <v>37991.599999999999</v>
      </c>
      <c r="U552" s="372">
        <f t="shared" ref="U552" si="1470">+T552*$X$1</f>
        <v>37991.599999999999</v>
      </c>
      <c r="V552" s="108">
        <f t="shared" ref="V552" si="1471">F552+240</f>
        <v>37941.599999999999</v>
      </c>
      <c r="W552" s="372">
        <f t="shared" ref="W552" si="1472">+V552*$X$1</f>
        <v>37941.599999999999</v>
      </c>
      <c r="X552" s="150"/>
      <c r="Y552" s="145"/>
      <c r="Z552" s="151"/>
      <c r="AA552" s="152"/>
      <c r="AB552" s="534">
        <v>721</v>
      </c>
    </row>
    <row r="553" spans="1:34" ht="12.6" customHeight="1" x14ac:dyDescent="0.2">
      <c r="A553" s="4"/>
      <c r="B553" s="742" t="s">
        <v>736</v>
      </c>
      <c r="C553" s="743"/>
      <c r="D553" s="743"/>
      <c r="E553" s="744"/>
      <c r="F553" s="482">
        <f>5.1*X2</f>
        <v>4692</v>
      </c>
      <c r="G553" s="346">
        <f t="shared" si="1403"/>
        <v>4692</v>
      </c>
      <c r="H553" s="107">
        <f t="shared" ref="H553:H555" si="1473">F553+2200</f>
        <v>6892</v>
      </c>
      <c r="I553" s="388">
        <f t="shared" ref="I553:I555" si="1474">+H553*$X$1</f>
        <v>6892</v>
      </c>
      <c r="J553" s="107">
        <f t="shared" ref="J553:J555" si="1475">F553+500</f>
        <v>5192</v>
      </c>
      <c r="K553" s="388">
        <f t="shared" ref="K553:K555" si="1476">+J553*$X$1</f>
        <v>5192</v>
      </c>
      <c r="L553" s="107">
        <f t="shared" ref="L553:L555" si="1477">F553+410</f>
        <v>5102</v>
      </c>
      <c r="M553" s="388">
        <f t="shared" ref="M553:M555" si="1478">+L553*$X$1</f>
        <v>5102</v>
      </c>
      <c r="N553" s="107">
        <f t="shared" ref="N553:N555" si="1479">F553+370</f>
        <v>5062</v>
      </c>
      <c r="O553" s="388">
        <f t="shared" ref="O553:O555" si="1480">+N553*$X$1</f>
        <v>5062</v>
      </c>
      <c r="P553" s="107">
        <f t="shared" ref="P553:P555" si="1481">F553+360</f>
        <v>5052</v>
      </c>
      <c r="Q553" s="388">
        <f t="shared" ref="Q553:Q555" si="1482">+P553*$X$1</f>
        <v>5052</v>
      </c>
      <c r="R553" s="107">
        <f t="shared" ref="R553:R555" si="1483">F553+330</f>
        <v>5022</v>
      </c>
      <c r="S553" s="388">
        <f t="shared" ref="S553:S555" si="1484">+R553*$X$1</f>
        <v>5022</v>
      </c>
      <c r="T553" s="107">
        <f t="shared" ref="T553:T555" si="1485">F553+290</f>
        <v>4982</v>
      </c>
      <c r="U553" s="388">
        <f t="shared" ref="U553:U555" si="1486">+T553*$X$1</f>
        <v>4982</v>
      </c>
      <c r="V553" s="107">
        <f t="shared" ref="V553:V555" si="1487">F553+240</f>
        <v>4932</v>
      </c>
      <c r="W553" s="388">
        <f t="shared" ref="W553:W555" si="1488">+V553*$X$1</f>
        <v>4932</v>
      </c>
      <c r="X553" s="150"/>
      <c r="Y553" s="145"/>
      <c r="Z553" s="151"/>
      <c r="AA553" s="152"/>
      <c r="AB553" s="208">
        <v>741</v>
      </c>
    </row>
    <row r="554" spans="1:34" ht="12.6" customHeight="1" x14ac:dyDescent="0.2">
      <c r="A554" s="4"/>
      <c r="B554" s="922" t="s">
        <v>746</v>
      </c>
      <c r="C554" s="961"/>
      <c r="D554" s="961"/>
      <c r="E554" s="962"/>
      <c r="F554" s="481">
        <f>29.2*X2</f>
        <v>26864</v>
      </c>
      <c r="G554" s="345">
        <f t="shared" si="1403"/>
        <v>26864</v>
      </c>
      <c r="H554" s="108">
        <f t="shared" si="1473"/>
        <v>29064</v>
      </c>
      <c r="I554" s="372">
        <f t="shared" si="1474"/>
        <v>29064</v>
      </c>
      <c r="J554" s="108">
        <f t="shared" si="1475"/>
        <v>27364</v>
      </c>
      <c r="K554" s="372">
        <f t="shared" si="1476"/>
        <v>27364</v>
      </c>
      <c r="L554" s="108">
        <f t="shared" si="1477"/>
        <v>27274</v>
      </c>
      <c r="M554" s="372">
        <f t="shared" si="1478"/>
        <v>27274</v>
      </c>
      <c r="N554" s="108">
        <f t="shared" si="1479"/>
        <v>27234</v>
      </c>
      <c r="O554" s="372">
        <f t="shared" si="1480"/>
        <v>27234</v>
      </c>
      <c r="P554" s="108">
        <f t="shared" si="1481"/>
        <v>27224</v>
      </c>
      <c r="Q554" s="372">
        <f t="shared" si="1482"/>
        <v>27224</v>
      </c>
      <c r="R554" s="108">
        <f t="shared" si="1483"/>
        <v>27194</v>
      </c>
      <c r="S554" s="372">
        <f t="shared" si="1484"/>
        <v>27194</v>
      </c>
      <c r="T554" s="108">
        <f t="shared" si="1485"/>
        <v>27154</v>
      </c>
      <c r="U554" s="372">
        <f t="shared" si="1486"/>
        <v>27154</v>
      </c>
      <c r="V554" s="108">
        <f t="shared" si="1487"/>
        <v>27104</v>
      </c>
      <c r="W554" s="372">
        <f t="shared" si="1488"/>
        <v>27104</v>
      </c>
      <c r="X554" s="150"/>
      <c r="Y554" s="145"/>
      <c r="Z554" s="151"/>
      <c r="AA554" s="152"/>
      <c r="AB554" s="208">
        <v>742</v>
      </c>
    </row>
    <row r="555" spans="1:34" ht="12.6" customHeight="1" x14ac:dyDescent="0.2">
      <c r="A555" s="4"/>
      <c r="B555" s="742" t="s">
        <v>747</v>
      </c>
      <c r="C555" s="743"/>
      <c r="D555" s="743"/>
      <c r="E555" s="744"/>
      <c r="F555" s="482">
        <f>29.74*X2</f>
        <v>27360.799999999999</v>
      </c>
      <c r="G555" s="346">
        <f t="shared" si="1403"/>
        <v>27360.799999999999</v>
      </c>
      <c r="H555" s="107">
        <f t="shared" si="1473"/>
        <v>29560.799999999999</v>
      </c>
      <c r="I555" s="388">
        <f t="shared" si="1474"/>
        <v>29560.799999999999</v>
      </c>
      <c r="J555" s="107">
        <f t="shared" si="1475"/>
        <v>27860.799999999999</v>
      </c>
      <c r="K555" s="388">
        <f t="shared" si="1476"/>
        <v>27860.799999999999</v>
      </c>
      <c r="L555" s="107">
        <f t="shared" si="1477"/>
        <v>27770.799999999999</v>
      </c>
      <c r="M555" s="388">
        <f t="shared" si="1478"/>
        <v>27770.799999999999</v>
      </c>
      <c r="N555" s="107">
        <f t="shared" si="1479"/>
        <v>27730.799999999999</v>
      </c>
      <c r="O555" s="388">
        <f t="shared" si="1480"/>
        <v>27730.799999999999</v>
      </c>
      <c r="P555" s="107">
        <f t="shared" si="1481"/>
        <v>27720.799999999999</v>
      </c>
      <c r="Q555" s="388">
        <f t="shared" si="1482"/>
        <v>27720.799999999999</v>
      </c>
      <c r="R555" s="107">
        <f t="shared" si="1483"/>
        <v>27690.799999999999</v>
      </c>
      <c r="S555" s="388">
        <f t="shared" si="1484"/>
        <v>27690.799999999999</v>
      </c>
      <c r="T555" s="107">
        <f t="shared" si="1485"/>
        <v>27650.799999999999</v>
      </c>
      <c r="U555" s="388">
        <f t="shared" si="1486"/>
        <v>27650.799999999999</v>
      </c>
      <c r="V555" s="107">
        <f t="shared" si="1487"/>
        <v>27600.799999999999</v>
      </c>
      <c r="W555" s="388">
        <f t="shared" si="1488"/>
        <v>27600.799999999999</v>
      </c>
      <c r="X555" s="150"/>
      <c r="Y555" s="145"/>
      <c r="Z555" s="151"/>
      <c r="AA555" s="152"/>
      <c r="AB555" s="208">
        <v>743</v>
      </c>
    </row>
    <row r="556" spans="1:34" ht="12.6" customHeight="1" x14ac:dyDescent="0.2">
      <c r="A556" s="4"/>
      <c r="B556" s="694" t="s">
        <v>848</v>
      </c>
      <c r="C556" s="695"/>
      <c r="D556" s="695"/>
      <c r="E556" s="696"/>
      <c r="F556" s="481">
        <f>27.3*X2</f>
        <v>25116</v>
      </c>
      <c r="G556" s="345">
        <f t="shared" ref="G556" si="1489">+F556*$X$1</f>
        <v>25116</v>
      </c>
      <c r="H556" s="108">
        <f t="shared" ref="H556" si="1490">F556+2200</f>
        <v>27316</v>
      </c>
      <c r="I556" s="372">
        <f t="shared" ref="I556" si="1491">+H556*$X$1</f>
        <v>27316</v>
      </c>
      <c r="J556" s="108">
        <f t="shared" ref="J556" si="1492">F556+500</f>
        <v>25616</v>
      </c>
      <c r="K556" s="372">
        <f t="shared" ref="K556" si="1493">+J556*$X$1</f>
        <v>25616</v>
      </c>
      <c r="L556" s="108">
        <f t="shared" ref="L556" si="1494">F556+410</f>
        <v>25526</v>
      </c>
      <c r="M556" s="372">
        <f t="shared" ref="M556" si="1495">+L556*$X$1</f>
        <v>25526</v>
      </c>
      <c r="N556" s="108">
        <f t="shared" ref="N556" si="1496">F556+370</f>
        <v>25486</v>
      </c>
      <c r="O556" s="372">
        <f t="shared" ref="O556" si="1497">+N556*$X$1</f>
        <v>25486</v>
      </c>
      <c r="P556" s="108">
        <f t="shared" ref="P556" si="1498">F556+360</f>
        <v>25476</v>
      </c>
      <c r="Q556" s="372">
        <f t="shared" ref="Q556" si="1499">+P556*$X$1</f>
        <v>25476</v>
      </c>
      <c r="R556" s="108">
        <f t="shared" ref="R556" si="1500">F556+330</f>
        <v>25446</v>
      </c>
      <c r="S556" s="372">
        <f t="shared" ref="S556" si="1501">+R556*$X$1</f>
        <v>25446</v>
      </c>
      <c r="T556" s="108">
        <f t="shared" ref="T556" si="1502">F556+290</f>
        <v>25406</v>
      </c>
      <c r="U556" s="372">
        <f t="shared" ref="U556" si="1503">+T556*$X$1</f>
        <v>25406</v>
      </c>
      <c r="V556" s="108">
        <f t="shared" ref="V556" si="1504">F556+240</f>
        <v>25356</v>
      </c>
      <c r="W556" s="372">
        <f t="shared" ref="W556" si="1505">+V556*$X$1</f>
        <v>25356</v>
      </c>
      <c r="X556" s="150"/>
      <c r="Y556" s="145"/>
      <c r="Z556" s="151"/>
      <c r="AA556" s="152"/>
      <c r="AB556" s="208"/>
    </row>
    <row r="557" spans="1:34" ht="12.6" customHeight="1" x14ac:dyDescent="0.2">
      <c r="A557" s="4"/>
      <c r="B557" s="1245" t="s">
        <v>715</v>
      </c>
      <c r="C557" s="1246"/>
      <c r="D557" s="1246"/>
      <c r="E557" s="1246"/>
      <c r="F557" s="503"/>
      <c r="G557" s="503"/>
      <c r="H557" s="507">
        <v>1700</v>
      </c>
      <c r="I557" s="346">
        <f t="shared" ref="I557:K557" si="1506">+H557*$X$1</f>
        <v>1700</v>
      </c>
      <c r="J557" s="507">
        <v>700</v>
      </c>
      <c r="K557" s="346">
        <f t="shared" si="1506"/>
        <v>700</v>
      </c>
      <c r="L557" s="507">
        <v>600</v>
      </c>
      <c r="M557" s="346">
        <f t="shared" ref="M557" si="1507">+L557*$X$1</f>
        <v>600</v>
      </c>
      <c r="N557" s="507">
        <v>520</v>
      </c>
      <c r="O557" s="346">
        <f t="shared" ref="O557" si="1508">+N557*$X$1</f>
        <v>520</v>
      </c>
      <c r="P557" s="507">
        <v>480</v>
      </c>
      <c r="Q557" s="346">
        <f t="shared" ref="Q557" si="1509">+P557*$X$1</f>
        <v>480</v>
      </c>
      <c r="R557" s="507">
        <v>430</v>
      </c>
      <c r="S557" s="346">
        <f t="shared" ref="S557" si="1510">+R557*$X$1</f>
        <v>430</v>
      </c>
      <c r="T557" s="507">
        <v>390</v>
      </c>
      <c r="U557" s="346">
        <f t="shared" ref="U557" si="1511">+T557*$X$1</f>
        <v>390</v>
      </c>
      <c r="V557" s="507">
        <v>360</v>
      </c>
      <c r="W557" s="346">
        <f t="shared" ref="W557" si="1512">+V557*$X$1</f>
        <v>360</v>
      </c>
      <c r="X557" s="150"/>
      <c r="Y557" s="145"/>
      <c r="Z557" s="151"/>
      <c r="AA557" s="152"/>
      <c r="AB557" s="34"/>
    </row>
    <row r="558" spans="1:34" ht="10.5" customHeight="1" thickBot="1" x14ac:dyDescent="0.25">
      <c r="A558" s="79"/>
      <c r="B558" s="115"/>
      <c r="C558" s="405"/>
      <c r="D558" s="405"/>
      <c r="E558" s="405"/>
      <c r="F558" s="406"/>
      <c r="G558" s="406"/>
      <c r="H558" s="127"/>
      <c r="I558" s="406"/>
      <c r="J558" s="127"/>
      <c r="K558" s="406"/>
      <c r="L558" s="127"/>
      <c r="M558" s="406"/>
      <c r="N558" s="127"/>
      <c r="O558" s="406"/>
      <c r="P558" s="127"/>
      <c r="Q558" s="406"/>
      <c r="R558" s="127"/>
      <c r="S558" s="406"/>
      <c r="T558" s="127"/>
      <c r="U558" s="406"/>
      <c r="V558" s="127"/>
      <c r="W558" s="406"/>
      <c r="X558" s="216"/>
      <c r="Y558" s="79"/>
      <c r="Z558" s="217"/>
      <c r="AA558" s="217"/>
      <c r="AB558" s="218"/>
    </row>
    <row r="559" spans="1:34" ht="14.25" customHeight="1" thickBot="1" x14ac:dyDescent="0.25">
      <c r="B559" s="1238" t="s">
        <v>716</v>
      </c>
      <c r="C559" s="1239"/>
      <c r="D559" s="1239"/>
      <c r="E559" s="1239"/>
      <c r="F559" s="1239"/>
      <c r="G559" s="1239"/>
      <c r="H559" s="1239"/>
      <c r="I559" s="1239"/>
      <c r="J559" s="1239"/>
      <c r="K559" s="1239"/>
      <c r="L559" s="1239"/>
      <c r="M559" s="1239"/>
      <c r="N559" s="1239"/>
      <c r="O559" s="1239"/>
      <c r="P559" s="1239"/>
      <c r="Q559" s="1239"/>
      <c r="R559" s="1239"/>
      <c r="S559" s="1239"/>
      <c r="T559" s="1239"/>
      <c r="U559" s="1239"/>
      <c r="V559" s="1239"/>
      <c r="W559" s="1240"/>
      <c r="AB559" s="4"/>
      <c r="AF559" s="752" t="s">
        <v>3</v>
      </c>
      <c r="AG559" s="753"/>
      <c r="AH559" s="753"/>
    </row>
    <row r="560" spans="1:34" ht="12" customHeight="1" x14ac:dyDescent="0.2">
      <c r="B560" s="1229" t="s">
        <v>11</v>
      </c>
      <c r="C560" s="964" t="s">
        <v>12</v>
      </c>
      <c r="D560" s="965"/>
      <c r="E560" s="965"/>
      <c r="F560" s="817" t="s">
        <v>308</v>
      </c>
      <c r="G560" s="817" t="s">
        <v>13</v>
      </c>
      <c r="H560" s="1193" t="s">
        <v>309</v>
      </c>
      <c r="I560" s="1193"/>
      <c r="J560" s="766"/>
      <c r="K560" s="766"/>
      <c r="L560" s="766"/>
      <c r="M560" s="766"/>
      <c r="N560" s="766"/>
      <c r="O560" s="766"/>
      <c r="P560" s="766"/>
      <c r="Q560" s="766"/>
      <c r="R560" s="766"/>
      <c r="S560" s="766"/>
      <c r="T560" s="766"/>
      <c r="U560" s="766"/>
      <c r="V560" s="766"/>
      <c r="W560" s="767"/>
      <c r="X560" s="756" t="s">
        <v>15</v>
      </c>
      <c r="Y560" s="757"/>
      <c r="Z560" s="757"/>
      <c r="AA560" s="757"/>
      <c r="AB560" s="754" t="s">
        <v>16</v>
      </c>
      <c r="AF560" s="752"/>
      <c r="AG560" s="753"/>
      <c r="AH560" s="753"/>
    </row>
    <row r="561" spans="1:28" ht="11.25" customHeight="1" thickBot="1" x14ac:dyDescent="0.25">
      <c r="B561" s="1230"/>
      <c r="C561" s="966"/>
      <c r="D561" s="966"/>
      <c r="E561" s="966"/>
      <c r="F561" s="818"/>
      <c r="G561" s="818"/>
      <c r="H561" s="295"/>
      <c r="I561" s="293" t="s">
        <v>310</v>
      </c>
      <c r="J561" s="295"/>
      <c r="K561" s="293" t="s">
        <v>311</v>
      </c>
      <c r="L561" s="295"/>
      <c r="M561" s="293" t="s">
        <v>670</v>
      </c>
      <c r="N561" s="295"/>
      <c r="O561" s="293" t="s">
        <v>18</v>
      </c>
      <c r="P561" s="295"/>
      <c r="Q561" s="293" t="s">
        <v>19</v>
      </c>
      <c r="R561" s="295"/>
      <c r="S561" s="293" t="s">
        <v>20</v>
      </c>
      <c r="T561" s="295"/>
      <c r="U561" s="293" t="s">
        <v>313</v>
      </c>
      <c r="V561" s="295"/>
      <c r="W561" s="294" t="s">
        <v>21</v>
      </c>
      <c r="X561" s="758"/>
      <c r="Y561" s="759"/>
      <c r="Z561" s="759"/>
      <c r="AA561" s="759"/>
      <c r="AB561" s="755"/>
    </row>
    <row r="562" spans="1:28" ht="12.6" customHeight="1" x14ac:dyDescent="0.2">
      <c r="A562" s="20"/>
      <c r="B562" s="774" t="s">
        <v>647</v>
      </c>
      <c r="C562" s="775"/>
      <c r="D562" s="775"/>
      <c r="E562" s="776"/>
      <c r="F562" s="388">
        <v>2625</v>
      </c>
      <c r="G562" s="371"/>
      <c r="H562" s="604"/>
      <c r="I562" s="346"/>
      <c r="J562" s="604">
        <f>F562+290</f>
        <v>2915</v>
      </c>
      <c r="K562" s="346">
        <f t="shared" ref="K562" si="1513">+J562*$X$1</f>
        <v>2915</v>
      </c>
      <c r="L562" s="604">
        <f t="shared" ref="L562:L573" si="1514">F562+240</f>
        <v>2865</v>
      </c>
      <c r="M562" s="346">
        <f t="shared" ref="M562" si="1515">+L562*$X$1</f>
        <v>2865</v>
      </c>
      <c r="N562" s="604">
        <f t="shared" ref="N562:N573" si="1516">F562+190</f>
        <v>2815</v>
      </c>
      <c r="O562" s="346">
        <f t="shared" ref="O562" si="1517">+N562*$X$1</f>
        <v>2815</v>
      </c>
      <c r="P562" s="604">
        <f t="shared" ref="P562:P573" si="1518">F562+150</f>
        <v>2775</v>
      </c>
      <c r="Q562" s="346">
        <f t="shared" ref="Q562" si="1519">+P562*$X$1</f>
        <v>2775</v>
      </c>
      <c r="R562" s="604">
        <f t="shared" ref="R562:R573" si="1520">F562+130</f>
        <v>2755</v>
      </c>
      <c r="S562" s="346">
        <f t="shared" ref="S562" si="1521">+R562*$X$1</f>
        <v>2755</v>
      </c>
      <c r="T562" s="604">
        <f t="shared" ref="T562:T573" si="1522">F562+115</f>
        <v>2740</v>
      </c>
      <c r="U562" s="346">
        <f t="shared" ref="U562" si="1523">+T562*$X$1</f>
        <v>2740</v>
      </c>
      <c r="V562" s="604">
        <f t="shared" ref="V562:V573" si="1524">F562+105</f>
        <v>2730</v>
      </c>
      <c r="W562" s="346">
        <f t="shared" ref="W562" si="1525">+V562*$X$1</f>
        <v>2730</v>
      </c>
      <c r="X562" s="156"/>
      <c r="Y562" s="157"/>
      <c r="Z562" s="157"/>
      <c r="AA562" s="157"/>
      <c r="AB562" s="34"/>
    </row>
    <row r="563" spans="1:28" ht="12.6" customHeight="1" x14ac:dyDescent="0.2">
      <c r="A563" s="20"/>
      <c r="B563" s="714" t="s">
        <v>461</v>
      </c>
      <c r="C563" s="763"/>
      <c r="D563" s="763"/>
      <c r="E563" s="764"/>
      <c r="F563" s="345">
        <v>1260</v>
      </c>
      <c r="G563" s="304"/>
      <c r="H563" s="383"/>
      <c r="I563" s="345"/>
      <c r="J563" s="383"/>
      <c r="K563" s="345"/>
      <c r="L563" s="383">
        <f t="shared" si="1514"/>
        <v>1500</v>
      </c>
      <c r="M563" s="345">
        <f t="shared" ref="M563" si="1526">+L563*$X$1</f>
        <v>1500</v>
      </c>
      <c r="N563" s="383">
        <f t="shared" si="1516"/>
        <v>1450</v>
      </c>
      <c r="O563" s="345">
        <f t="shared" ref="O563" si="1527">+N563*$X$1</f>
        <v>1450</v>
      </c>
      <c r="P563" s="383">
        <f t="shared" si="1518"/>
        <v>1410</v>
      </c>
      <c r="Q563" s="345">
        <f t="shared" ref="Q563" si="1528">+P563*$X$1</f>
        <v>1410</v>
      </c>
      <c r="R563" s="383">
        <f t="shared" si="1520"/>
        <v>1390</v>
      </c>
      <c r="S563" s="345">
        <f t="shared" ref="S563" si="1529">+R563*$X$1</f>
        <v>1390</v>
      </c>
      <c r="T563" s="383">
        <f t="shared" si="1522"/>
        <v>1375</v>
      </c>
      <c r="U563" s="345">
        <f t="shared" ref="U563" si="1530">+T563*$X$1</f>
        <v>1375</v>
      </c>
      <c r="V563" s="383">
        <f t="shared" si="1524"/>
        <v>1365</v>
      </c>
      <c r="W563" s="345">
        <f t="shared" ref="W563" si="1531">+V563*$X$1</f>
        <v>1365</v>
      </c>
      <c r="X563" s="156"/>
      <c r="Y563" s="157"/>
      <c r="Z563" s="157"/>
      <c r="AA563" s="157"/>
      <c r="AB563" s="34"/>
    </row>
    <row r="564" spans="1:28" ht="12.6" customHeight="1" x14ac:dyDescent="0.2">
      <c r="A564" s="20"/>
      <c r="B564" s="774" t="s">
        <v>528</v>
      </c>
      <c r="C564" s="775"/>
      <c r="D564" s="775"/>
      <c r="E564" s="776"/>
      <c r="F564" s="388">
        <v>2226</v>
      </c>
      <c r="G564" s="371"/>
      <c r="H564" s="604">
        <f t="shared" ref="H564:H570" si="1532">F564+570</f>
        <v>2796</v>
      </c>
      <c r="I564" s="346">
        <f t="shared" ref="I564:I570" si="1533">+H564*$X$1</f>
        <v>2796</v>
      </c>
      <c r="J564" s="604">
        <f t="shared" ref="J564:J573" si="1534">F564+290</f>
        <v>2516</v>
      </c>
      <c r="K564" s="346">
        <f t="shared" ref="K564:K566" si="1535">+J564*$X$1</f>
        <v>2516</v>
      </c>
      <c r="L564" s="604">
        <f t="shared" si="1514"/>
        <v>2466</v>
      </c>
      <c r="M564" s="346">
        <f t="shared" ref="M564:M566" si="1536">+L564*$X$1</f>
        <v>2466</v>
      </c>
      <c r="N564" s="604">
        <f t="shared" si="1516"/>
        <v>2416</v>
      </c>
      <c r="O564" s="346">
        <f t="shared" ref="O564:O566" si="1537">+N564*$X$1</f>
        <v>2416</v>
      </c>
      <c r="P564" s="604">
        <f t="shared" si="1518"/>
        <v>2376</v>
      </c>
      <c r="Q564" s="346">
        <f t="shared" ref="Q564:Q566" si="1538">+P564*$X$1</f>
        <v>2376</v>
      </c>
      <c r="R564" s="604">
        <f t="shared" si="1520"/>
        <v>2356</v>
      </c>
      <c r="S564" s="346">
        <f t="shared" ref="S564:S566" si="1539">+R564*$X$1</f>
        <v>2356</v>
      </c>
      <c r="T564" s="604">
        <f t="shared" si="1522"/>
        <v>2341</v>
      </c>
      <c r="U564" s="346">
        <f t="shared" ref="U564:U566" si="1540">+T564*$X$1</f>
        <v>2341</v>
      </c>
      <c r="V564" s="604">
        <f t="shared" si="1524"/>
        <v>2331</v>
      </c>
      <c r="W564" s="346">
        <f t="shared" ref="W564:W566" si="1541">+V564*$X$1</f>
        <v>2331</v>
      </c>
      <c r="X564" s="156"/>
      <c r="Y564" s="157"/>
      <c r="Z564" s="157"/>
      <c r="AA564" s="157"/>
      <c r="AB564" s="34"/>
    </row>
    <row r="565" spans="1:28" ht="12.6" customHeight="1" x14ac:dyDescent="0.2">
      <c r="A565" s="20"/>
      <c r="B565" s="714" t="s">
        <v>314</v>
      </c>
      <c r="C565" s="717"/>
      <c r="D565" s="717"/>
      <c r="E565" s="718"/>
      <c r="F565" s="372">
        <v>4935</v>
      </c>
      <c r="G565" s="304"/>
      <c r="H565" s="383">
        <f t="shared" si="1532"/>
        <v>5505</v>
      </c>
      <c r="I565" s="345">
        <f t="shared" si="1533"/>
        <v>5505</v>
      </c>
      <c r="J565" s="383">
        <f t="shared" si="1534"/>
        <v>5225</v>
      </c>
      <c r="K565" s="345">
        <f t="shared" si="1535"/>
        <v>5225</v>
      </c>
      <c r="L565" s="383">
        <f t="shared" si="1514"/>
        <v>5175</v>
      </c>
      <c r="M565" s="345">
        <f t="shared" si="1536"/>
        <v>5175</v>
      </c>
      <c r="N565" s="383">
        <f t="shared" si="1516"/>
        <v>5125</v>
      </c>
      <c r="O565" s="345">
        <f t="shared" si="1537"/>
        <v>5125</v>
      </c>
      <c r="P565" s="383">
        <f t="shared" si="1518"/>
        <v>5085</v>
      </c>
      <c r="Q565" s="345">
        <f t="shared" si="1538"/>
        <v>5085</v>
      </c>
      <c r="R565" s="383">
        <f t="shared" si="1520"/>
        <v>5065</v>
      </c>
      <c r="S565" s="345">
        <f t="shared" si="1539"/>
        <v>5065</v>
      </c>
      <c r="T565" s="383">
        <f t="shared" si="1522"/>
        <v>5050</v>
      </c>
      <c r="U565" s="345">
        <f t="shared" si="1540"/>
        <v>5050</v>
      </c>
      <c r="V565" s="383">
        <f t="shared" si="1524"/>
        <v>5040</v>
      </c>
      <c r="W565" s="345">
        <f t="shared" si="1541"/>
        <v>5040</v>
      </c>
      <c r="X565" s="156"/>
      <c r="Y565" s="157"/>
      <c r="Z565" s="157"/>
      <c r="AA565" s="157"/>
      <c r="AB565" s="34"/>
    </row>
    <row r="566" spans="1:28" ht="12.6" customHeight="1" x14ac:dyDescent="0.2">
      <c r="A566" s="20"/>
      <c r="B566" s="967" t="s">
        <v>315</v>
      </c>
      <c r="C566" s="968"/>
      <c r="D566" s="968"/>
      <c r="E566" s="969"/>
      <c r="F566" s="533">
        <v>2436</v>
      </c>
      <c r="G566" s="371">
        <f>+F566*$X$1</f>
        <v>2436</v>
      </c>
      <c r="H566" s="629">
        <f t="shared" si="1532"/>
        <v>3006</v>
      </c>
      <c r="I566" s="346">
        <f t="shared" si="1533"/>
        <v>3006</v>
      </c>
      <c r="J566" s="629">
        <f t="shared" si="1534"/>
        <v>2726</v>
      </c>
      <c r="K566" s="346">
        <f t="shared" si="1535"/>
        <v>2726</v>
      </c>
      <c r="L566" s="629">
        <f t="shared" si="1514"/>
        <v>2676</v>
      </c>
      <c r="M566" s="346">
        <f t="shared" si="1536"/>
        <v>2676</v>
      </c>
      <c r="N566" s="629">
        <f t="shared" si="1516"/>
        <v>2626</v>
      </c>
      <c r="O566" s="346">
        <f t="shared" si="1537"/>
        <v>2626</v>
      </c>
      <c r="P566" s="629">
        <f t="shared" si="1518"/>
        <v>2586</v>
      </c>
      <c r="Q566" s="346">
        <f t="shared" si="1538"/>
        <v>2586</v>
      </c>
      <c r="R566" s="629">
        <f t="shared" si="1520"/>
        <v>2566</v>
      </c>
      <c r="S566" s="346">
        <f t="shared" si="1539"/>
        <v>2566</v>
      </c>
      <c r="T566" s="629">
        <f t="shared" si="1522"/>
        <v>2551</v>
      </c>
      <c r="U566" s="346">
        <f t="shared" si="1540"/>
        <v>2551</v>
      </c>
      <c r="V566" s="629">
        <f t="shared" si="1524"/>
        <v>2541</v>
      </c>
      <c r="W566" s="346">
        <f t="shared" si="1541"/>
        <v>2541</v>
      </c>
      <c r="X566" s="156"/>
      <c r="Y566" s="157"/>
      <c r="Z566" s="157"/>
      <c r="AA566" s="157"/>
      <c r="AB566" s="34"/>
    </row>
    <row r="567" spans="1:28" ht="12.6" customHeight="1" x14ac:dyDescent="0.2">
      <c r="A567" s="20"/>
      <c r="B567" s="1115" t="s">
        <v>316</v>
      </c>
      <c r="C567" s="1116"/>
      <c r="D567" s="1116"/>
      <c r="E567" s="1116"/>
      <c r="F567" s="345">
        <v>2226</v>
      </c>
      <c r="G567" s="304">
        <f>+F567*$X$1</f>
        <v>2226</v>
      </c>
      <c r="H567" s="383">
        <f t="shared" si="1532"/>
        <v>2796</v>
      </c>
      <c r="I567" s="345">
        <f t="shared" si="1533"/>
        <v>2796</v>
      </c>
      <c r="J567" s="383">
        <f t="shared" si="1534"/>
        <v>2516</v>
      </c>
      <c r="K567" s="345">
        <f t="shared" ref="K567:K568" si="1542">+J567*$X$1</f>
        <v>2516</v>
      </c>
      <c r="L567" s="383">
        <f t="shared" si="1514"/>
        <v>2466</v>
      </c>
      <c r="M567" s="345">
        <f t="shared" ref="M567:M568" si="1543">+L567*$X$1</f>
        <v>2466</v>
      </c>
      <c r="N567" s="383">
        <f t="shared" si="1516"/>
        <v>2416</v>
      </c>
      <c r="O567" s="345">
        <f t="shared" ref="O567:O568" si="1544">+N567*$X$1</f>
        <v>2416</v>
      </c>
      <c r="P567" s="383">
        <f t="shared" si="1518"/>
        <v>2376</v>
      </c>
      <c r="Q567" s="345">
        <f t="shared" ref="Q567:Q568" si="1545">+P567*$X$1</f>
        <v>2376</v>
      </c>
      <c r="R567" s="383">
        <f t="shared" si="1520"/>
        <v>2356</v>
      </c>
      <c r="S567" s="345">
        <f t="shared" ref="S567:S568" si="1546">+R567*$X$1</f>
        <v>2356</v>
      </c>
      <c r="T567" s="383">
        <f t="shared" si="1522"/>
        <v>2341</v>
      </c>
      <c r="U567" s="345">
        <f t="shared" ref="U567:U568" si="1547">+T567*$X$1</f>
        <v>2341</v>
      </c>
      <c r="V567" s="383">
        <f t="shared" si="1524"/>
        <v>2331</v>
      </c>
      <c r="W567" s="345">
        <f t="shared" ref="W567:W568" si="1548">+V567*$X$1</f>
        <v>2331</v>
      </c>
      <c r="X567" s="156"/>
      <c r="Y567" s="157"/>
      <c r="Z567" s="157"/>
      <c r="AA567" s="157"/>
      <c r="AB567" s="34"/>
    </row>
    <row r="568" spans="1:28" ht="12.6" customHeight="1" x14ac:dyDescent="0.2">
      <c r="A568" s="20"/>
      <c r="B568" s="768" t="s">
        <v>613</v>
      </c>
      <c r="C568" s="769"/>
      <c r="D568" s="769"/>
      <c r="E568" s="770"/>
      <c r="F568" s="388">
        <v>4075</v>
      </c>
      <c r="G568" s="371">
        <f>+F568*$X$1</f>
        <v>4075</v>
      </c>
      <c r="H568" s="629">
        <f t="shared" si="1532"/>
        <v>4645</v>
      </c>
      <c r="I568" s="346">
        <f t="shared" si="1533"/>
        <v>4645</v>
      </c>
      <c r="J568" s="629">
        <f t="shared" si="1534"/>
        <v>4365</v>
      </c>
      <c r="K568" s="346">
        <f t="shared" si="1542"/>
        <v>4365</v>
      </c>
      <c r="L568" s="629">
        <f t="shared" si="1514"/>
        <v>4315</v>
      </c>
      <c r="M568" s="346">
        <f t="shared" si="1543"/>
        <v>4315</v>
      </c>
      <c r="N568" s="629">
        <f t="shared" si="1516"/>
        <v>4265</v>
      </c>
      <c r="O568" s="346">
        <f t="shared" si="1544"/>
        <v>4265</v>
      </c>
      <c r="P568" s="629">
        <f t="shared" si="1518"/>
        <v>4225</v>
      </c>
      <c r="Q568" s="346">
        <f t="shared" si="1545"/>
        <v>4225</v>
      </c>
      <c r="R568" s="629">
        <f t="shared" si="1520"/>
        <v>4205</v>
      </c>
      <c r="S568" s="346">
        <f t="shared" si="1546"/>
        <v>4205</v>
      </c>
      <c r="T568" s="629">
        <f t="shared" si="1522"/>
        <v>4190</v>
      </c>
      <c r="U568" s="346">
        <f t="shared" si="1547"/>
        <v>4190</v>
      </c>
      <c r="V568" s="629">
        <f t="shared" si="1524"/>
        <v>4180</v>
      </c>
      <c r="W568" s="346">
        <f t="shared" si="1548"/>
        <v>4180</v>
      </c>
      <c r="X568" s="156"/>
      <c r="Y568" s="157"/>
      <c r="Z568" s="157"/>
      <c r="AA568" s="157"/>
      <c r="AB568" s="34"/>
    </row>
    <row r="569" spans="1:28" ht="12.6" customHeight="1" x14ac:dyDescent="0.2">
      <c r="A569" s="20"/>
      <c r="B569" s="1059" t="s">
        <v>597</v>
      </c>
      <c r="C569" s="1060"/>
      <c r="D569" s="1060"/>
      <c r="E569" s="1061"/>
      <c r="F569" s="372">
        <v>5460</v>
      </c>
      <c r="G569" s="304">
        <f>+F569*$X$1</f>
        <v>5460</v>
      </c>
      <c r="H569" s="383">
        <f t="shared" si="1532"/>
        <v>6030</v>
      </c>
      <c r="I569" s="345">
        <f t="shared" si="1533"/>
        <v>6030</v>
      </c>
      <c r="J569" s="383">
        <f t="shared" si="1534"/>
        <v>5750</v>
      </c>
      <c r="K569" s="345">
        <f t="shared" ref="K569:K573" si="1549">+J569*$X$1</f>
        <v>5750</v>
      </c>
      <c r="L569" s="383">
        <f t="shared" si="1514"/>
        <v>5700</v>
      </c>
      <c r="M569" s="345">
        <f t="shared" ref="M569:M573" si="1550">+L569*$X$1</f>
        <v>5700</v>
      </c>
      <c r="N569" s="383">
        <f t="shared" si="1516"/>
        <v>5650</v>
      </c>
      <c r="O569" s="345">
        <f t="shared" ref="O569:O573" si="1551">+N569*$X$1</f>
        <v>5650</v>
      </c>
      <c r="P569" s="383">
        <f t="shared" si="1518"/>
        <v>5610</v>
      </c>
      <c r="Q569" s="345">
        <f t="shared" ref="Q569:Q573" si="1552">+P569*$X$1</f>
        <v>5610</v>
      </c>
      <c r="R569" s="383">
        <f t="shared" si="1520"/>
        <v>5590</v>
      </c>
      <c r="S569" s="345">
        <f t="shared" ref="S569:S573" si="1553">+R569*$X$1</f>
        <v>5590</v>
      </c>
      <c r="T569" s="383">
        <f t="shared" si="1522"/>
        <v>5575</v>
      </c>
      <c r="U569" s="345">
        <f t="shared" ref="U569:U573" si="1554">+T569*$X$1</f>
        <v>5575</v>
      </c>
      <c r="V569" s="383">
        <f t="shared" si="1524"/>
        <v>5565</v>
      </c>
      <c r="W569" s="345">
        <f t="shared" ref="W569:W573" si="1555">+V569*$X$1</f>
        <v>5565</v>
      </c>
      <c r="X569" s="156"/>
      <c r="Y569" s="157"/>
      <c r="Z569" s="157"/>
      <c r="AA569" s="157"/>
      <c r="AB569" s="34"/>
    </row>
    <row r="570" spans="1:28" ht="12.6" customHeight="1" x14ac:dyDescent="0.2">
      <c r="A570" s="20"/>
      <c r="B570" s="774" t="s">
        <v>596</v>
      </c>
      <c r="C570" s="775"/>
      <c r="D570" s="775"/>
      <c r="E570" s="776"/>
      <c r="F570" s="388">
        <v>5460</v>
      </c>
      <c r="G570" s="371">
        <f>+F570*$X$1</f>
        <v>5460</v>
      </c>
      <c r="H570" s="604">
        <f t="shared" si="1532"/>
        <v>6030</v>
      </c>
      <c r="I570" s="346">
        <f t="shared" si="1533"/>
        <v>6030</v>
      </c>
      <c r="J570" s="604">
        <f t="shared" si="1534"/>
        <v>5750</v>
      </c>
      <c r="K570" s="346">
        <f t="shared" si="1549"/>
        <v>5750</v>
      </c>
      <c r="L570" s="604">
        <f t="shared" si="1514"/>
        <v>5700</v>
      </c>
      <c r="M570" s="346">
        <f t="shared" si="1550"/>
        <v>5700</v>
      </c>
      <c r="N570" s="604">
        <f t="shared" si="1516"/>
        <v>5650</v>
      </c>
      <c r="O570" s="346">
        <f t="shared" si="1551"/>
        <v>5650</v>
      </c>
      <c r="P570" s="604">
        <f t="shared" si="1518"/>
        <v>5610</v>
      </c>
      <c r="Q570" s="346">
        <f t="shared" si="1552"/>
        <v>5610</v>
      </c>
      <c r="R570" s="604">
        <f t="shared" si="1520"/>
        <v>5590</v>
      </c>
      <c r="S570" s="346">
        <f t="shared" si="1553"/>
        <v>5590</v>
      </c>
      <c r="T570" s="604">
        <f t="shared" si="1522"/>
        <v>5575</v>
      </c>
      <c r="U570" s="346">
        <f t="shared" si="1554"/>
        <v>5575</v>
      </c>
      <c r="V570" s="604">
        <f t="shared" si="1524"/>
        <v>5565</v>
      </c>
      <c r="W570" s="346">
        <f t="shared" si="1555"/>
        <v>5565</v>
      </c>
      <c r="X570" s="156"/>
      <c r="Y570" s="157"/>
      <c r="Z570" s="157"/>
      <c r="AA570" s="157"/>
      <c r="AB570" s="34"/>
    </row>
    <row r="571" spans="1:28" ht="12.6" customHeight="1" x14ac:dyDescent="0.2">
      <c r="A571" s="4"/>
      <c r="B571" s="922" t="s">
        <v>534</v>
      </c>
      <c r="C571" s="717"/>
      <c r="D571" s="717"/>
      <c r="E571" s="718"/>
      <c r="F571" s="345">
        <v>1755</v>
      </c>
      <c r="G571" s="304">
        <f t="shared" ref="G571:G573" si="1556">+F571*$X$1</f>
        <v>1755</v>
      </c>
      <c r="H571" s="383"/>
      <c r="I571" s="345"/>
      <c r="J571" s="383">
        <f t="shared" si="1534"/>
        <v>2045</v>
      </c>
      <c r="K571" s="345">
        <f t="shared" si="1549"/>
        <v>2045</v>
      </c>
      <c r="L571" s="383">
        <f t="shared" si="1514"/>
        <v>1995</v>
      </c>
      <c r="M571" s="345">
        <f t="shared" si="1550"/>
        <v>1995</v>
      </c>
      <c r="N571" s="383">
        <f t="shared" si="1516"/>
        <v>1945</v>
      </c>
      <c r="O571" s="345">
        <f t="shared" si="1551"/>
        <v>1945</v>
      </c>
      <c r="P571" s="383">
        <f t="shared" si="1518"/>
        <v>1905</v>
      </c>
      <c r="Q571" s="345">
        <f t="shared" si="1552"/>
        <v>1905</v>
      </c>
      <c r="R571" s="383">
        <f t="shared" si="1520"/>
        <v>1885</v>
      </c>
      <c r="S571" s="345">
        <f t="shared" si="1553"/>
        <v>1885</v>
      </c>
      <c r="T571" s="383">
        <f t="shared" si="1522"/>
        <v>1870</v>
      </c>
      <c r="U571" s="345">
        <f t="shared" si="1554"/>
        <v>1870</v>
      </c>
      <c r="V571" s="383">
        <f t="shared" si="1524"/>
        <v>1860</v>
      </c>
      <c r="W571" s="345">
        <f t="shared" si="1555"/>
        <v>1860</v>
      </c>
      <c r="X571" s="156"/>
      <c r="Y571" s="141"/>
      <c r="Z571" s="158"/>
      <c r="AA571" s="158"/>
      <c r="AB571" s="534" t="s">
        <v>533</v>
      </c>
    </row>
    <row r="572" spans="1:28" ht="12.6" customHeight="1" x14ac:dyDescent="0.2">
      <c r="A572" s="4"/>
      <c r="B572" s="742" t="s">
        <v>532</v>
      </c>
      <c r="C572" s="775"/>
      <c r="D572" s="775"/>
      <c r="E572" s="776"/>
      <c r="F572" s="346">
        <v>1755</v>
      </c>
      <c r="G572" s="371">
        <f t="shared" si="1556"/>
        <v>1755</v>
      </c>
      <c r="H572" s="604"/>
      <c r="I572" s="346"/>
      <c r="J572" s="604">
        <f t="shared" si="1534"/>
        <v>2045</v>
      </c>
      <c r="K572" s="346">
        <f t="shared" si="1549"/>
        <v>2045</v>
      </c>
      <c r="L572" s="604">
        <f t="shared" si="1514"/>
        <v>1995</v>
      </c>
      <c r="M572" s="346">
        <f t="shared" si="1550"/>
        <v>1995</v>
      </c>
      <c r="N572" s="604">
        <f t="shared" si="1516"/>
        <v>1945</v>
      </c>
      <c r="O572" s="346">
        <f t="shared" si="1551"/>
        <v>1945</v>
      </c>
      <c r="P572" s="604">
        <f t="shared" si="1518"/>
        <v>1905</v>
      </c>
      <c r="Q572" s="346">
        <f t="shared" si="1552"/>
        <v>1905</v>
      </c>
      <c r="R572" s="604">
        <f t="shared" si="1520"/>
        <v>1885</v>
      </c>
      <c r="S572" s="346">
        <f t="shared" si="1553"/>
        <v>1885</v>
      </c>
      <c r="T572" s="604">
        <f t="shared" si="1522"/>
        <v>1870</v>
      </c>
      <c r="U572" s="346">
        <f t="shared" si="1554"/>
        <v>1870</v>
      </c>
      <c r="V572" s="604">
        <f t="shared" si="1524"/>
        <v>1860</v>
      </c>
      <c r="W572" s="346">
        <f t="shared" si="1555"/>
        <v>1860</v>
      </c>
      <c r="X572" s="156"/>
      <c r="Y572" s="141"/>
      <c r="Z572" s="158"/>
      <c r="AA572" s="158"/>
      <c r="AB572" s="534" t="s">
        <v>529</v>
      </c>
    </row>
    <row r="573" spans="1:28" ht="12.6" customHeight="1" x14ac:dyDescent="0.2">
      <c r="A573" s="4"/>
      <c r="B573" s="922" t="s">
        <v>530</v>
      </c>
      <c r="C573" s="717"/>
      <c r="D573" s="717"/>
      <c r="E573" s="718"/>
      <c r="F573" s="345">
        <v>2580</v>
      </c>
      <c r="G573" s="304">
        <f t="shared" si="1556"/>
        <v>2580</v>
      </c>
      <c r="H573" s="383"/>
      <c r="I573" s="345"/>
      <c r="J573" s="383">
        <f t="shared" si="1534"/>
        <v>2870</v>
      </c>
      <c r="K573" s="345">
        <f t="shared" si="1549"/>
        <v>2870</v>
      </c>
      <c r="L573" s="383">
        <f t="shared" si="1514"/>
        <v>2820</v>
      </c>
      <c r="M573" s="345">
        <f t="shared" si="1550"/>
        <v>2820</v>
      </c>
      <c r="N573" s="383">
        <f t="shared" si="1516"/>
        <v>2770</v>
      </c>
      <c r="O573" s="345">
        <f t="shared" si="1551"/>
        <v>2770</v>
      </c>
      <c r="P573" s="383">
        <f t="shared" si="1518"/>
        <v>2730</v>
      </c>
      <c r="Q573" s="345">
        <f t="shared" si="1552"/>
        <v>2730</v>
      </c>
      <c r="R573" s="383">
        <f t="shared" si="1520"/>
        <v>2710</v>
      </c>
      <c r="S573" s="345">
        <f t="shared" si="1553"/>
        <v>2710</v>
      </c>
      <c r="T573" s="383">
        <f t="shared" si="1522"/>
        <v>2695</v>
      </c>
      <c r="U573" s="345">
        <f t="shared" si="1554"/>
        <v>2695</v>
      </c>
      <c r="V573" s="383">
        <f t="shared" si="1524"/>
        <v>2685</v>
      </c>
      <c r="W573" s="345">
        <f t="shared" si="1555"/>
        <v>2685</v>
      </c>
      <c r="X573" s="156"/>
      <c r="Y573" s="141"/>
      <c r="Z573" s="158"/>
      <c r="AA573" s="158"/>
      <c r="AB573" s="534" t="s">
        <v>531</v>
      </c>
    </row>
    <row r="574" spans="1:28" ht="12.6" customHeight="1" x14ac:dyDescent="0.2">
      <c r="A574" s="4"/>
      <c r="B574" s="742" t="s">
        <v>317</v>
      </c>
      <c r="C574" s="775"/>
      <c r="D574" s="775"/>
      <c r="E574" s="776"/>
      <c r="F574" s="389"/>
      <c r="G574" s="98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156"/>
      <c r="Y574" s="141"/>
      <c r="Z574" s="158"/>
      <c r="AA574" s="158"/>
      <c r="AB574" s="534" t="s">
        <v>318</v>
      </c>
    </row>
    <row r="575" spans="1:28" ht="12.6" customHeight="1" x14ac:dyDescent="0.2">
      <c r="A575" s="4"/>
      <c r="B575" s="922" t="s">
        <v>319</v>
      </c>
      <c r="C575" s="717"/>
      <c r="D575" s="717"/>
      <c r="E575" s="718"/>
      <c r="F575" s="266"/>
      <c r="G575" s="100"/>
      <c r="H575" s="266"/>
      <c r="I575" s="266"/>
      <c r="J575" s="266"/>
      <c r="K575" s="266"/>
      <c r="L575" s="266"/>
      <c r="M575" s="266"/>
      <c r="N575" s="266"/>
      <c r="O575" s="266"/>
      <c r="P575" s="266"/>
      <c r="Q575" s="266"/>
      <c r="R575" s="266"/>
      <c r="S575" s="266"/>
      <c r="T575" s="266"/>
      <c r="U575" s="266"/>
      <c r="V575" s="266"/>
      <c r="W575" s="266"/>
      <c r="X575" s="156"/>
      <c r="Y575" s="141"/>
      <c r="Z575" s="158"/>
      <c r="AA575" s="158"/>
      <c r="AB575" s="534"/>
    </row>
    <row r="576" spans="1:28" ht="12.6" customHeight="1" x14ac:dyDescent="0.2">
      <c r="A576" s="4"/>
      <c r="B576" s="698" t="s">
        <v>320</v>
      </c>
      <c r="C576" s="699"/>
      <c r="D576" s="699"/>
      <c r="E576" s="699"/>
      <c r="F576" s="97"/>
      <c r="G576" s="98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156"/>
      <c r="Y576" s="141"/>
      <c r="Z576" s="158"/>
      <c r="AA576" s="158"/>
      <c r="AB576" s="534">
        <v>730</v>
      </c>
    </row>
    <row r="577" spans="1:34" ht="12.6" customHeight="1" x14ac:dyDescent="0.2">
      <c r="A577" s="4"/>
      <c r="B577" s="748" t="s">
        <v>321</v>
      </c>
      <c r="C577" s="720"/>
      <c r="D577" s="720"/>
      <c r="E577" s="720"/>
      <c r="F577" s="266"/>
      <c r="G577" s="100"/>
      <c r="H577" s="266"/>
      <c r="I577" s="266"/>
      <c r="J577" s="266"/>
      <c r="K577" s="266"/>
      <c r="L577" s="266"/>
      <c r="M577" s="266"/>
      <c r="N577" s="266"/>
      <c r="O577" s="266"/>
      <c r="P577" s="266"/>
      <c r="Q577" s="266"/>
      <c r="R577" s="266"/>
      <c r="S577" s="266"/>
      <c r="T577" s="266"/>
      <c r="U577" s="266"/>
      <c r="V577" s="266"/>
      <c r="W577" s="266"/>
      <c r="X577" s="156"/>
      <c r="Y577" s="141"/>
      <c r="Z577" s="158"/>
      <c r="AA577" s="158"/>
      <c r="AB577" s="534">
        <v>731</v>
      </c>
    </row>
    <row r="578" spans="1:34" ht="12.6" customHeight="1" x14ac:dyDescent="0.2">
      <c r="A578" s="4"/>
      <c r="B578" s="698" t="s">
        <v>463</v>
      </c>
      <c r="C578" s="699"/>
      <c r="D578" s="699"/>
      <c r="E578" s="699"/>
      <c r="F578" s="97"/>
      <c r="G578" s="98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150"/>
      <c r="Y578" s="145"/>
      <c r="Z578" s="151"/>
      <c r="AA578" s="152"/>
      <c r="AB578" s="534">
        <v>735</v>
      </c>
    </row>
    <row r="579" spans="1:34" ht="12.6" customHeight="1" x14ac:dyDescent="0.2">
      <c r="A579" s="4"/>
      <c r="B579" s="748" t="s">
        <v>462</v>
      </c>
      <c r="C579" s="720"/>
      <c r="D579" s="720"/>
      <c r="E579" s="720"/>
      <c r="F579" s="266"/>
      <c r="G579" s="100"/>
      <c r="H579" s="266"/>
      <c r="I579" s="266"/>
      <c r="J579" s="266"/>
      <c r="K579" s="266"/>
      <c r="L579" s="266"/>
      <c r="M579" s="266"/>
      <c r="N579" s="266"/>
      <c r="O579" s="266"/>
      <c r="P579" s="266"/>
      <c r="Q579" s="266"/>
      <c r="R579" s="266"/>
      <c r="S579" s="266"/>
      <c r="T579" s="266"/>
      <c r="U579" s="266"/>
      <c r="V579" s="266"/>
      <c r="W579" s="266"/>
      <c r="X579" s="150"/>
      <c r="Y579" s="145"/>
      <c r="Z579" s="151"/>
      <c r="AA579" s="152"/>
      <c r="AB579" s="534">
        <v>736</v>
      </c>
    </row>
    <row r="580" spans="1:34" ht="12.6" customHeight="1" x14ac:dyDescent="0.2">
      <c r="A580" s="4"/>
      <c r="B580" s="698" t="s">
        <v>322</v>
      </c>
      <c r="C580" s="713"/>
      <c r="D580" s="713"/>
      <c r="E580" s="713"/>
      <c r="F580" s="105"/>
      <c r="G580" s="98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150"/>
      <c r="Y580" s="145"/>
      <c r="Z580" s="151"/>
      <c r="AA580" s="152"/>
      <c r="AB580" s="534">
        <v>986</v>
      </c>
    </row>
    <row r="581" spans="1:34" ht="12.6" customHeight="1" x14ac:dyDescent="0.2">
      <c r="A581" s="4"/>
      <c r="B581" s="748" t="s">
        <v>483</v>
      </c>
      <c r="C581" s="762"/>
      <c r="D581" s="762"/>
      <c r="E581" s="762"/>
      <c r="F581" s="266"/>
      <c r="G581" s="100"/>
      <c r="H581" s="266"/>
      <c r="I581" s="266"/>
      <c r="J581" s="266"/>
      <c r="K581" s="266"/>
      <c r="L581" s="266"/>
      <c r="M581" s="266"/>
      <c r="N581" s="266"/>
      <c r="O581" s="266"/>
      <c r="P581" s="266"/>
      <c r="Q581" s="266"/>
      <c r="R581" s="266"/>
      <c r="S581" s="266"/>
      <c r="T581" s="266"/>
      <c r="U581" s="266"/>
      <c r="V581" s="266"/>
      <c r="W581" s="266"/>
      <c r="X581" s="150"/>
      <c r="Y581" s="145"/>
      <c r="Z581" s="151"/>
      <c r="AA581" s="152"/>
      <c r="AB581" s="534"/>
    </row>
    <row r="582" spans="1:34" ht="12.6" customHeight="1" x14ac:dyDescent="0.2">
      <c r="A582" s="4"/>
      <c r="B582" s="698" t="s">
        <v>420</v>
      </c>
      <c r="C582" s="713"/>
      <c r="D582" s="713"/>
      <c r="E582" s="713"/>
      <c r="F582" s="105"/>
      <c r="G582" s="98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150"/>
      <c r="Y582" s="145"/>
      <c r="Z582" s="151"/>
      <c r="AA582" s="152"/>
      <c r="AB582" s="534">
        <v>987</v>
      </c>
    </row>
    <row r="583" spans="1:34" ht="12.6" customHeight="1" x14ac:dyDescent="0.2">
      <c r="A583" s="4"/>
      <c r="B583" s="748" t="s">
        <v>484</v>
      </c>
      <c r="C583" s="762"/>
      <c r="D583" s="762"/>
      <c r="E583" s="762"/>
      <c r="F583" s="266"/>
      <c r="G583" s="100"/>
      <c r="H583" s="266"/>
      <c r="I583" s="266"/>
      <c r="J583" s="266"/>
      <c r="K583" s="266"/>
      <c r="L583" s="266"/>
      <c r="M583" s="266"/>
      <c r="N583" s="266"/>
      <c r="O583" s="266"/>
      <c r="P583" s="266"/>
      <c r="Q583" s="266"/>
      <c r="R583" s="266"/>
      <c r="S583" s="266"/>
      <c r="T583" s="266"/>
      <c r="U583" s="266"/>
      <c r="V583" s="266"/>
      <c r="W583" s="266"/>
      <c r="X583" s="150"/>
      <c r="Y583" s="145"/>
      <c r="Z583" s="151"/>
      <c r="AA583" s="152"/>
      <c r="AB583" s="534"/>
    </row>
    <row r="584" spans="1:34" ht="12.6" customHeight="1" x14ac:dyDescent="0.2">
      <c r="A584" s="4"/>
      <c r="B584" s="698" t="s">
        <v>323</v>
      </c>
      <c r="C584" s="699"/>
      <c r="D584" s="699"/>
      <c r="E584" s="699"/>
      <c r="F584" s="97"/>
      <c r="G584" s="98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150"/>
      <c r="Y584" s="145"/>
      <c r="Z584" s="151"/>
      <c r="AA584" s="152"/>
      <c r="AB584" s="534">
        <v>989</v>
      </c>
    </row>
    <row r="585" spans="1:34" ht="12.6" customHeight="1" x14ac:dyDescent="0.2">
      <c r="A585" s="4"/>
      <c r="B585" s="748" t="s">
        <v>324</v>
      </c>
      <c r="C585" s="720"/>
      <c r="D585" s="720"/>
      <c r="E585" s="720"/>
      <c r="F585" s="266"/>
      <c r="G585" s="100"/>
      <c r="H585" s="266"/>
      <c r="I585" s="266"/>
      <c r="J585" s="266"/>
      <c r="K585" s="266"/>
      <c r="L585" s="266"/>
      <c r="M585" s="266"/>
      <c r="N585" s="266"/>
      <c r="O585" s="266"/>
      <c r="P585" s="266"/>
      <c r="Q585" s="266"/>
      <c r="R585" s="266"/>
      <c r="S585" s="266"/>
      <c r="T585" s="266"/>
      <c r="U585" s="266"/>
      <c r="V585" s="266"/>
      <c r="W585" s="266"/>
      <c r="X585" s="150"/>
      <c r="Y585" s="145"/>
      <c r="Z585" s="151"/>
      <c r="AA585" s="152"/>
      <c r="AB585" s="558" t="s">
        <v>325</v>
      </c>
    </row>
    <row r="586" spans="1:34" ht="12.6" customHeight="1" x14ac:dyDescent="0.2">
      <c r="A586" s="4"/>
      <c r="B586" s="698" t="s">
        <v>326</v>
      </c>
      <c r="C586" s="713"/>
      <c r="D586" s="713"/>
      <c r="E586" s="713"/>
      <c r="F586" s="97"/>
      <c r="G586" s="98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153"/>
      <c r="Y586" s="143"/>
      <c r="Z586" s="154"/>
      <c r="AA586" s="155"/>
      <c r="AB586" s="34"/>
    </row>
    <row r="587" spans="1:34" ht="9" customHeight="1" thickBot="1" x14ac:dyDescent="0.25">
      <c r="A587" s="79"/>
      <c r="B587" s="115"/>
      <c r="C587" s="215"/>
      <c r="D587" s="215"/>
      <c r="E587" s="215"/>
      <c r="F587" s="139"/>
      <c r="G587" s="127"/>
      <c r="H587" s="127"/>
      <c r="I587" s="127"/>
      <c r="J587" s="127"/>
      <c r="K587" s="127"/>
      <c r="L587" s="127"/>
      <c r="M587" s="127"/>
      <c r="N587" s="127"/>
      <c r="O587" s="127"/>
      <c r="P587" s="127"/>
      <c r="Q587" s="127"/>
      <c r="R587" s="127"/>
      <c r="S587" s="127"/>
      <c r="T587" s="127"/>
      <c r="U587" s="127"/>
      <c r="V587" s="127"/>
      <c r="W587" s="127"/>
      <c r="X587" s="216"/>
      <c r="Y587" s="79"/>
      <c r="Z587" s="217"/>
      <c r="AA587" s="217"/>
      <c r="AB587" s="218"/>
    </row>
    <row r="588" spans="1:34" ht="13.5" customHeight="1" thickBot="1" x14ac:dyDescent="0.25">
      <c r="B588" s="1300" t="s">
        <v>327</v>
      </c>
      <c r="C588" s="1301"/>
      <c r="D588" s="1301"/>
      <c r="E588" s="1301"/>
      <c r="F588" s="1301"/>
      <c r="G588" s="1301"/>
      <c r="H588" s="1301"/>
      <c r="I588" s="1301"/>
      <c r="J588" s="1301"/>
      <c r="K588" s="1301"/>
      <c r="L588" s="1301"/>
      <c r="M588" s="1301"/>
      <c r="N588" s="1301"/>
      <c r="O588" s="1301"/>
      <c r="P588" s="1301"/>
      <c r="Q588" s="1301"/>
      <c r="R588" s="1301"/>
      <c r="S588" s="1301"/>
      <c r="T588" s="1302"/>
      <c r="U588" s="1302"/>
      <c r="V588" s="1303"/>
      <c r="W588" s="1304"/>
      <c r="AB588" s="4"/>
    </row>
    <row r="589" spans="1:34" ht="12" customHeight="1" x14ac:dyDescent="0.2">
      <c r="B589" s="1229" t="s">
        <v>11</v>
      </c>
      <c r="C589" s="964" t="s">
        <v>12</v>
      </c>
      <c r="D589" s="965"/>
      <c r="E589" s="965"/>
      <c r="F589" s="817" t="s">
        <v>308</v>
      </c>
      <c r="G589" s="817" t="s">
        <v>13</v>
      </c>
      <c r="H589" s="971" t="s">
        <v>328</v>
      </c>
      <c r="I589" s="972"/>
      <c r="J589" s="973"/>
      <c r="K589" s="973"/>
      <c r="L589" s="973"/>
      <c r="M589" s="973"/>
      <c r="N589" s="973"/>
      <c r="O589" s="973"/>
      <c r="P589" s="973"/>
      <c r="Q589" s="973"/>
      <c r="R589" s="973"/>
      <c r="S589" s="973"/>
      <c r="T589" s="974"/>
      <c r="U589" s="974"/>
      <c r="V589" s="975"/>
      <c r="W589" s="976"/>
      <c r="X589" s="757" t="s">
        <v>15</v>
      </c>
      <c r="Y589" s="881"/>
      <c r="Z589" s="881"/>
      <c r="AA589" s="882"/>
      <c r="AB589" s="754" t="s">
        <v>16</v>
      </c>
      <c r="AF589" s="752" t="s">
        <v>3</v>
      </c>
      <c r="AG589" s="753"/>
      <c r="AH589" s="753"/>
    </row>
    <row r="590" spans="1:34" ht="12" customHeight="1" thickBot="1" x14ac:dyDescent="0.25">
      <c r="B590" s="1230"/>
      <c r="C590" s="966"/>
      <c r="D590" s="966"/>
      <c r="E590" s="966"/>
      <c r="F590" s="818"/>
      <c r="G590" s="818"/>
      <c r="H590" s="292"/>
      <c r="I590" s="293" t="s">
        <v>668</v>
      </c>
      <c r="J590" s="292"/>
      <c r="K590" s="293" t="s">
        <v>310</v>
      </c>
      <c r="L590" s="293"/>
      <c r="M590" s="293" t="s">
        <v>311</v>
      </c>
      <c r="N590" s="293"/>
      <c r="O590" s="293" t="s">
        <v>312</v>
      </c>
      <c r="P590" s="293"/>
      <c r="Q590" s="293" t="s">
        <v>19</v>
      </c>
      <c r="R590" s="293"/>
      <c r="S590" s="293" t="s">
        <v>20</v>
      </c>
      <c r="T590" s="293"/>
      <c r="U590" s="293" t="s">
        <v>313</v>
      </c>
      <c r="V590" s="293"/>
      <c r="W590" s="294" t="s">
        <v>21</v>
      </c>
      <c r="X590" s="884"/>
      <c r="Y590" s="884"/>
      <c r="Z590" s="884"/>
      <c r="AA590" s="885"/>
      <c r="AB590" s="755"/>
    </row>
    <row r="591" spans="1:34" ht="12.6" customHeight="1" x14ac:dyDescent="0.2">
      <c r="B591" s="970" t="s">
        <v>908</v>
      </c>
      <c r="C591" s="970"/>
      <c r="D591" s="970"/>
      <c r="E591" s="970"/>
      <c r="F591" s="648">
        <f>21.73*X2</f>
        <v>19991.600000000002</v>
      </c>
      <c r="G591" s="346">
        <f>+F591*$X$1</f>
        <v>19991.600000000002</v>
      </c>
      <c r="H591" s="673">
        <f>F591+2400</f>
        <v>22391.600000000002</v>
      </c>
      <c r="I591" s="346">
        <f t="shared" ref="I591" si="1557">+H591*$X$1</f>
        <v>22391.600000000002</v>
      </c>
      <c r="J591" s="673">
        <f>F591+600</f>
        <v>20591.600000000002</v>
      </c>
      <c r="K591" s="346">
        <f t="shared" ref="K591" si="1558">+J591*$X$1</f>
        <v>20591.600000000002</v>
      </c>
      <c r="L591" s="673">
        <f>F591+350</f>
        <v>20341.600000000002</v>
      </c>
      <c r="M591" s="346">
        <f t="shared" ref="M591" si="1559">+L591*$X$1</f>
        <v>20341.600000000002</v>
      </c>
      <c r="N591" s="673">
        <f>F591+170</f>
        <v>20161.600000000002</v>
      </c>
      <c r="O591" s="346">
        <f t="shared" ref="O591" si="1560">+N591*$X$1</f>
        <v>20161.600000000002</v>
      </c>
      <c r="P591" s="673">
        <f>F591+130</f>
        <v>20121.600000000002</v>
      </c>
      <c r="Q591" s="346">
        <f t="shared" ref="Q591" si="1561">+P591*$X$1</f>
        <v>20121.600000000002</v>
      </c>
      <c r="R591" s="673">
        <f>F591+90</f>
        <v>20081.600000000002</v>
      </c>
      <c r="S591" s="346">
        <f t="shared" ref="S591" si="1562">+R591*$X$1</f>
        <v>20081.600000000002</v>
      </c>
      <c r="T591" s="673">
        <f>F591+75</f>
        <v>20066.600000000002</v>
      </c>
      <c r="U591" s="346">
        <f t="shared" ref="U591" si="1563">+T591*$X$1</f>
        <v>20066.600000000002</v>
      </c>
      <c r="V591" s="673">
        <f>F591+64</f>
        <v>20055.600000000002</v>
      </c>
      <c r="W591" s="346">
        <f t="shared" ref="W591" si="1564">+V591*$X$1</f>
        <v>20055.600000000002</v>
      </c>
      <c r="X591" s="672"/>
      <c r="Y591" s="147"/>
      <c r="Z591" s="145"/>
      <c r="AA591" s="148"/>
      <c r="AB591" s="558" t="s">
        <v>909</v>
      </c>
    </row>
    <row r="592" spans="1:34" ht="12.6" customHeight="1" x14ac:dyDescent="0.2">
      <c r="B592" s="702" t="s">
        <v>329</v>
      </c>
      <c r="C592" s="702"/>
      <c r="D592" s="702"/>
      <c r="E592" s="702"/>
      <c r="F592" s="643"/>
      <c r="G592" s="108"/>
      <c r="H592" s="108"/>
      <c r="I592" s="108"/>
      <c r="J592" s="108"/>
      <c r="K592" s="108"/>
      <c r="L592" s="108"/>
      <c r="M592" s="108"/>
      <c r="N592" s="108"/>
      <c r="O592" s="108"/>
      <c r="P592" s="108"/>
      <c r="Q592" s="108"/>
      <c r="R592" s="108"/>
      <c r="S592" s="108"/>
      <c r="T592" s="108"/>
      <c r="U592" s="108"/>
      <c r="V592" s="660"/>
      <c r="W592" s="661"/>
      <c r="X592" s="147"/>
      <c r="Y592" s="147"/>
      <c r="Z592" s="145"/>
      <c r="AA592" s="148"/>
      <c r="AB592" s="559" t="s">
        <v>330</v>
      </c>
    </row>
    <row r="593" spans="1:121" ht="12.6" customHeight="1" x14ac:dyDescent="0.2">
      <c r="B593" s="742" t="s">
        <v>331</v>
      </c>
      <c r="C593" s="743"/>
      <c r="D593" s="743"/>
      <c r="E593" s="744"/>
      <c r="F593" s="644"/>
      <c r="G593" s="634"/>
      <c r="H593" s="634"/>
      <c r="I593" s="634"/>
      <c r="J593" s="634"/>
      <c r="K593" s="634"/>
      <c r="L593" s="634"/>
      <c r="M593" s="634"/>
      <c r="N593" s="634"/>
      <c r="O593" s="634"/>
      <c r="P593" s="634"/>
      <c r="Q593" s="634"/>
      <c r="R593" s="634"/>
      <c r="S593" s="634"/>
      <c r="T593" s="634"/>
      <c r="U593" s="634"/>
      <c r="V593" s="310"/>
      <c r="W593" s="655"/>
      <c r="X593" s="147"/>
      <c r="Y593" s="147"/>
      <c r="Z593" s="145"/>
      <c r="AA593" s="148"/>
      <c r="AB593" s="558" t="s">
        <v>332</v>
      </c>
    </row>
    <row r="594" spans="1:121" ht="12.6" customHeight="1" x14ac:dyDescent="0.2">
      <c r="B594" s="748" t="s">
        <v>333</v>
      </c>
      <c r="C594" s="748"/>
      <c r="D594" s="748"/>
      <c r="E594" s="748"/>
      <c r="F594" s="126"/>
      <c r="G594" s="383"/>
      <c r="H594" s="106"/>
      <c r="I594" s="106"/>
      <c r="J594" s="383"/>
      <c r="K594" s="383"/>
      <c r="L594" s="383"/>
      <c r="M594" s="383"/>
      <c r="N594" s="383"/>
      <c r="O594" s="383"/>
      <c r="P594" s="383"/>
      <c r="Q594" s="383"/>
      <c r="R594" s="383"/>
      <c r="S594" s="383"/>
      <c r="T594" s="383"/>
      <c r="U594" s="383"/>
      <c r="V594" s="649"/>
      <c r="W594" s="650"/>
      <c r="X594" s="147"/>
      <c r="Y594" s="147"/>
      <c r="Z594" s="145"/>
      <c r="AA594" s="148"/>
      <c r="AB594" s="558" t="s">
        <v>334</v>
      </c>
      <c r="AF594" s="1221"/>
      <c r="AG594" s="1221"/>
      <c r="AH594" s="1221"/>
      <c r="AI594" s="1221"/>
      <c r="AJ594" s="1222"/>
    </row>
    <row r="595" spans="1:121" ht="12.6" customHeight="1" x14ac:dyDescent="0.2">
      <c r="B595" s="698" t="s">
        <v>335</v>
      </c>
      <c r="C595" s="698"/>
      <c r="D595" s="698"/>
      <c r="E595" s="698"/>
      <c r="F595" s="645"/>
      <c r="G595" s="634"/>
      <c r="H595" s="634"/>
      <c r="I595" s="634"/>
      <c r="J595" s="634"/>
      <c r="K595" s="634"/>
      <c r="L595" s="634"/>
      <c r="M595" s="634"/>
      <c r="N595" s="634"/>
      <c r="O595" s="634"/>
      <c r="P595" s="634"/>
      <c r="Q595" s="634"/>
      <c r="R595" s="634"/>
      <c r="S595" s="634"/>
      <c r="T595" s="634"/>
      <c r="U595" s="634"/>
      <c r="V595" s="310"/>
      <c r="W595" s="655"/>
      <c r="X595" s="147"/>
      <c r="Y595" s="147"/>
      <c r="Z595" s="145"/>
      <c r="AA595" s="148"/>
      <c r="AB595" s="558" t="s">
        <v>336</v>
      </c>
    </row>
    <row r="596" spans="1:121" ht="12.6" customHeight="1" x14ac:dyDescent="0.2">
      <c r="B596" s="748" t="s">
        <v>337</v>
      </c>
      <c r="C596" s="748"/>
      <c r="D596" s="748"/>
      <c r="E596" s="748"/>
      <c r="F596" s="646"/>
      <c r="G596" s="383"/>
      <c r="H596" s="106"/>
      <c r="I596" s="106"/>
      <c r="J596" s="383"/>
      <c r="K596" s="383"/>
      <c r="L596" s="383"/>
      <c r="M596" s="383"/>
      <c r="N596" s="383"/>
      <c r="O596" s="383"/>
      <c r="P596" s="383"/>
      <c r="Q596" s="383"/>
      <c r="R596" s="383"/>
      <c r="S596" s="383"/>
      <c r="T596" s="383"/>
      <c r="U596" s="383"/>
      <c r="V596" s="649"/>
      <c r="W596" s="650"/>
      <c r="X596" s="147"/>
      <c r="Y596" s="147"/>
      <c r="Z596" s="145"/>
      <c r="AA596" s="148"/>
      <c r="AB596" s="558" t="s">
        <v>338</v>
      </c>
    </row>
    <row r="597" spans="1:121" ht="12.6" customHeight="1" x14ac:dyDescent="0.2">
      <c r="B597" s="742" t="s">
        <v>339</v>
      </c>
      <c r="C597" s="743"/>
      <c r="D597" s="743"/>
      <c r="E597" s="744"/>
      <c r="F597" s="645"/>
      <c r="G597" s="634"/>
      <c r="H597" s="112"/>
      <c r="I597" s="112"/>
      <c r="J597" s="634"/>
      <c r="K597" s="634"/>
      <c r="L597" s="634"/>
      <c r="M597" s="634"/>
      <c r="N597" s="634"/>
      <c r="O597" s="634"/>
      <c r="P597" s="634"/>
      <c r="Q597" s="634"/>
      <c r="R597" s="634"/>
      <c r="S597" s="634"/>
      <c r="T597" s="634"/>
      <c r="U597" s="634"/>
      <c r="V597" s="310"/>
      <c r="W597" s="655"/>
      <c r="X597" s="147"/>
      <c r="Y597" s="147"/>
      <c r="Z597" s="145"/>
      <c r="AA597" s="148"/>
      <c r="AB597" s="558" t="s">
        <v>869</v>
      </c>
    </row>
    <row r="598" spans="1:121" ht="12.6" customHeight="1" x14ac:dyDescent="0.2">
      <c r="B598" s="748" t="s">
        <v>340</v>
      </c>
      <c r="C598" s="748"/>
      <c r="D598" s="748"/>
      <c r="E598" s="748"/>
      <c r="F598" s="126"/>
      <c r="G598" s="383"/>
      <c r="H598" s="106"/>
      <c r="I598" s="106"/>
      <c r="J598" s="383"/>
      <c r="K598" s="383"/>
      <c r="L598" s="383"/>
      <c r="M598" s="383"/>
      <c r="N598" s="124"/>
      <c r="O598" s="383"/>
      <c r="P598" s="383"/>
      <c r="Q598" s="383"/>
      <c r="R598" s="383"/>
      <c r="S598" s="383"/>
      <c r="T598" s="383"/>
      <c r="U598" s="383"/>
      <c r="V598" s="649"/>
      <c r="W598" s="651"/>
      <c r="X598" s="145"/>
      <c r="Y598" s="145"/>
      <c r="Z598" s="145"/>
      <c r="AA598" s="148"/>
      <c r="AB598" s="558" t="s">
        <v>341</v>
      </c>
    </row>
    <row r="599" spans="1:121" ht="12.6" customHeight="1" x14ac:dyDescent="0.2">
      <c r="B599" s="698" t="s">
        <v>342</v>
      </c>
      <c r="C599" s="698"/>
      <c r="D599" s="698"/>
      <c r="E599" s="698"/>
      <c r="F599" s="645"/>
      <c r="G599" s="634"/>
      <c r="H599" s="112"/>
      <c r="I599" s="112"/>
      <c r="J599" s="634"/>
      <c r="K599" s="634"/>
      <c r="L599" s="634"/>
      <c r="M599" s="634"/>
      <c r="N599" s="125"/>
      <c r="O599" s="634"/>
      <c r="P599" s="634"/>
      <c r="Q599" s="634"/>
      <c r="R599" s="634"/>
      <c r="S599" s="634"/>
      <c r="T599" s="634"/>
      <c r="U599" s="634"/>
      <c r="V599" s="658"/>
      <c r="W599" s="659"/>
      <c r="X599" s="145"/>
      <c r="Y599" s="145"/>
      <c r="Z599" s="145"/>
      <c r="AA599" s="148"/>
      <c r="AB599" s="558" t="s">
        <v>343</v>
      </c>
    </row>
    <row r="600" spans="1:121" ht="12.6" customHeight="1" x14ac:dyDescent="0.2">
      <c r="B600" s="970" t="s">
        <v>865</v>
      </c>
      <c r="C600" s="970"/>
      <c r="D600" s="970"/>
      <c r="E600" s="970"/>
      <c r="F600" s="647">
        <f>20.583*X2</f>
        <v>18936.359999999997</v>
      </c>
      <c r="G600" s="345">
        <f>+F600*$X$1</f>
        <v>18936.359999999997</v>
      </c>
      <c r="H600" s="383">
        <f>F600+2400</f>
        <v>21336.359999999997</v>
      </c>
      <c r="I600" s="345">
        <f t="shared" ref="I600" si="1565">+H600*$X$1</f>
        <v>21336.359999999997</v>
      </c>
      <c r="J600" s="383">
        <f>F600+600</f>
        <v>19536.359999999997</v>
      </c>
      <c r="K600" s="345">
        <f t="shared" ref="K600" si="1566">+J600*$X$1</f>
        <v>19536.359999999997</v>
      </c>
      <c r="L600" s="383">
        <f>F600+350</f>
        <v>19286.359999999997</v>
      </c>
      <c r="M600" s="345">
        <f t="shared" ref="M600" si="1567">+L600*$X$1</f>
        <v>19286.359999999997</v>
      </c>
      <c r="N600" s="383">
        <f>F600+170</f>
        <v>19106.359999999997</v>
      </c>
      <c r="O600" s="345">
        <f t="shared" ref="O600" si="1568">+N600*$X$1</f>
        <v>19106.359999999997</v>
      </c>
      <c r="P600" s="383">
        <f>F600+130</f>
        <v>19066.359999999997</v>
      </c>
      <c r="Q600" s="345">
        <f t="shared" ref="Q600" si="1569">+P600*$X$1</f>
        <v>19066.359999999997</v>
      </c>
      <c r="R600" s="383">
        <f>F600+90</f>
        <v>19026.359999999997</v>
      </c>
      <c r="S600" s="345">
        <f t="shared" ref="S600" si="1570">+R600*$X$1</f>
        <v>19026.359999999997</v>
      </c>
      <c r="T600" s="383">
        <f>F600+75</f>
        <v>19011.359999999997</v>
      </c>
      <c r="U600" s="345">
        <f t="shared" ref="U600" si="1571">+T600*$X$1</f>
        <v>19011.359999999997</v>
      </c>
      <c r="V600" s="383">
        <f>F600+64</f>
        <v>19000.359999999997</v>
      </c>
      <c r="W600" s="345">
        <f t="shared" ref="W600" si="1572">+V600*$X$1</f>
        <v>19000.359999999997</v>
      </c>
      <c r="X600" s="628"/>
      <c r="Y600" s="147"/>
      <c r="Z600" s="145"/>
      <c r="AA600" s="148"/>
      <c r="AB600" s="558" t="s">
        <v>866</v>
      </c>
    </row>
    <row r="601" spans="1:121" ht="12.6" customHeight="1" x14ac:dyDescent="0.2">
      <c r="B601" s="970" t="s">
        <v>868</v>
      </c>
      <c r="C601" s="970"/>
      <c r="D601" s="970"/>
      <c r="E601" s="970"/>
      <c r="F601" s="648">
        <f>22.35*X2</f>
        <v>20562</v>
      </c>
      <c r="G601" s="346">
        <f>+F601*$X$1</f>
        <v>20562</v>
      </c>
      <c r="H601" s="662">
        <f>F601+2200</f>
        <v>22762</v>
      </c>
      <c r="I601" s="346">
        <f t="shared" ref="I601:I602" si="1573">+H601*$X$1</f>
        <v>22762</v>
      </c>
      <c r="J601" s="662">
        <f>F601+500</f>
        <v>21062</v>
      </c>
      <c r="K601" s="346">
        <f t="shared" ref="K601" si="1574">+J601*$X$1</f>
        <v>21062</v>
      </c>
      <c r="L601" s="634">
        <f>F601+250</f>
        <v>20812</v>
      </c>
      <c r="M601" s="346">
        <f t="shared" ref="M601" si="1575">+L601*$X$1</f>
        <v>20812</v>
      </c>
      <c r="N601" s="634">
        <f>F601+100</f>
        <v>20662</v>
      </c>
      <c r="O601" s="346">
        <f t="shared" ref="O601" si="1576">+N601*$X$1</f>
        <v>20662</v>
      </c>
      <c r="P601" s="634">
        <f>F601+80</f>
        <v>20642</v>
      </c>
      <c r="Q601" s="346">
        <f t="shared" ref="Q601" si="1577">+P601*$X$1</f>
        <v>20642</v>
      </c>
      <c r="R601" s="634">
        <f>F601+60</f>
        <v>20622</v>
      </c>
      <c r="S601" s="346">
        <f t="shared" ref="S601" si="1578">+R601*$X$1</f>
        <v>20622</v>
      </c>
      <c r="T601" s="634">
        <f>F601+50</f>
        <v>20612</v>
      </c>
      <c r="U601" s="346">
        <f t="shared" ref="U601" si="1579">+T601*$X$1</f>
        <v>20612</v>
      </c>
      <c r="V601" s="634">
        <f>F601+44</f>
        <v>20606</v>
      </c>
      <c r="W601" s="346">
        <f t="shared" ref="W601" si="1580">+V601*$X$1</f>
        <v>20606</v>
      </c>
      <c r="X601" s="628"/>
      <c r="Y601" s="147"/>
      <c r="Z601" s="145"/>
      <c r="AA601" s="148"/>
      <c r="AB601" s="558" t="s">
        <v>867</v>
      </c>
    </row>
    <row r="602" spans="1:121" ht="12.6" customHeight="1" x14ac:dyDescent="0.2">
      <c r="B602" s="970" t="s">
        <v>870</v>
      </c>
      <c r="C602" s="970"/>
      <c r="D602" s="970"/>
      <c r="E602" s="970"/>
      <c r="F602" s="647">
        <f>40.975*X2</f>
        <v>37697</v>
      </c>
      <c r="G602" s="345">
        <f>+F602*$X$1</f>
        <v>37697</v>
      </c>
      <c r="H602" s="383">
        <f>F602+2400</f>
        <v>40097</v>
      </c>
      <c r="I602" s="345">
        <f t="shared" si="1573"/>
        <v>40097</v>
      </c>
      <c r="J602" s="383">
        <f>F602+600</f>
        <v>38297</v>
      </c>
      <c r="K602" s="345">
        <f t="shared" ref="K602" si="1581">+J602*$X$1</f>
        <v>38297</v>
      </c>
      <c r="L602" s="383">
        <f>F602+350</f>
        <v>38047</v>
      </c>
      <c r="M602" s="345">
        <f t="shared" ref="M602" si="1582">+L602*$X$1</f>
        <v>38047</v>
      </c>
      <c r="N602" s="383">
        <f>F602+170</f>
        <v>37867</v>
      </c>
      <c r="O602" s="345">
        <f t="shared" ref="O602" si="1583">+N602*$X$1</f>
        <v>37867</v>
      </c>
      <c r="P602" s="383">
        <f>F602+130</f>
        <v>37827</v>
      </c>
      <c r="Q602" s="345">
        <f t="shared" ref="Q602" si="1584">+P602*$X$1</f>
        <v>37827</v>
      </c>
      <c r="R602" s="383">
        <f>F602+90</f>
        <v>37787</v>
      </c>
      <c r="S602" s="345">
        <f t="shared" ref="S602" si="1585">+R602*$X$1</f>
        <v>37787</v>
      </c>
      <c r="T602" s="383">
        <f>F602+75</f>
        <v>37772</v>
      </c>
      <c r="U602" s="345">
        <f t="shared" ref="U602" si="1586">+T602*$X$1</f>
        <v>37772</v>
      </c>
      <c r="V602" s="383">
        <f>F602+64</f>
        <v>37761</v>
      </c>
      <c r="W602" s="345">
        <f t="shared" ref="W602" si="1587">+V602*$X$1</f>
        <v>37761</v>
      </c>
      <c r="X602" s="628"/>
      <c r="Y602" s="147"/>
      <c r="Z602" s="145"/>
      <c r="AA602" s="148"/>
      <c r="AB602" s="558" t="s">
        <v>871</v>
      </c>
    </row>
    <row r="603" spans="1:121" ht="12.6" customHeight="1" x14ac:dyDescent="0.2">
      <c r="B603" s="698" t="s">
        <v>344</v>
      </c>
      <c r="C603" s="698"/>
      <c r="D603" s="698"/>
      <c r="E603" s="698"/>
      <c r="F603" s="645"/>
      <c r="G603" s="634"/>
      <c r="H603" s="112"/>
      <c r="I603" s="112"/>
      <c r="J603" s="634"/>
      <c r="K603" s="634"/>
      <c r="L603" s="634"/>
      <c r="M603" s="634"/>
      <c r="N603" s="634"/>
      <c r="O603" s="634"/>
      <c r="P603" s="125"/>
      <c r="Q603" s="634"/>
      <c r="R603" s="125"/>
      <c r="S603" s="634"/>
      <c r="T603" s="125"/>
      <c r="U603" s="634"/>
      <c r="V603" s="310"/>
      <c r="W603" s="657"/>
      <c r="X603" s="178"/>
      <c r="Y603" s="178"/>
      <c r="Z603" s="178"/>
      <c r="AA603" s="179"/>
      <c r="AB603" s="558" t="s">
        <v>345</v>
      </c>
    </row>
    <row r="604" spans="1:121" ht="12.6" customHeight="1" x14ac:dyDescent="0.2">
      <c r="B604" s="748" t="s">
        <v>346</v>
      </c>
      <c r="C604" s="748"/>
      <c r="D604" s="748"/>
      <c r="E604" s="748"/>
      <c r="F604" s="126"/>
      <c r="G604" s="383"/>
      <c r="H604" s="106"/>
      <c r="I604" s="106"/>
      <c r="J604" s="383"/>
      <c r="K604" s="383"/>
      <c r="L604" s="383"/>
      <c r="M604" s="383"/>
      <c r="N604" s="383"/>
      <c r="O604" s="383"/>
      <c r="P604" s="124"/>
      <c r="Q604" s="383"/>
      <c r="R604" s="124"/>
      <c r="S604" s="383"/>
      <c r="T604" s="124"/>
      <c r="U604" s="383"/>
      <c r="V604" s="649"/>
      <c r="W604" s="652"/>
      <c r="X604" s="178"/>
      <c r="Y604" s="178"/>
      <c r="Z604" s="178"/>
      <c r="AA604" s="179"/>
      <c r="AB604" s="558" t="s">
        <v>347</v>
      </c>
    </row>
    <row r="605" spans="1:121" ht="12.6" customHeight="1" x14ac:dyDescent="0.2">
      <c r="B605" s="698" t="s">
        <v>348</v>
      </c>
      <c r="C605" s="698"/>
      <c r="D605" s="698"/>
      <c r="E605" s="698"/>
      <c r="F605" s="645"/>
      <c r="G605" s="634"/>
      <c r="H605" s="112"/>
      <c r="I605" s="112"/>
      <c r="J605" s="634"/>
      <c r="K605" s="634"/>
      <c r="L605" s="634"/>
      <c r="M605" s="634"/>
      <c r="N605" s="634"/>
      <c r="O605" s="634"/>
      <c r="P605" s="125"/>
      <c r="Q605" s="634"/>
      <c r="R605" s="125"/>
      <c r="S605" s="634"/>
      <c r="T605" s="125"/>
      <c r="U605" s="634"/>
      <c r="V605" s="310"/>
      <c r="W605" s="657"/>
      <c r="X605" s="147"/>
      <c r="Y605" s="147"/>
      <c r="Z605" s="147"/>
      <c r="AA605" s="147"/>
      <c r="AB605" s="558" t="s">
        <v>510</v>
      </c>
    </row>
    <row r="606" spans="1:121" ht="12.6" customHeight="1" x14ac:dyDescent="0.2">
      <c r="B606" s="748" t="s">
        <v>432</v>
      </c>
      <c r="C606" s="748"/>
      <c r="D606" s="748"/>
      <c r="E606" s="748"/>
      <c r="F606" s="373"/>
      <c r="G606" s="345"/>
      <c r="H606" s="106"/>
      <c r="I606" s="106"/>
      <c r="J606" s="383"/>
      <c r="K606" s="345"/>
      <c r="L606" s="383"/>
      <c r="M606" s="345"/>
      <c r="N606" s="383"/>
      <c r="O606" s="345"/>
      <c r="P606" s="383"/>
      <c r="Q606" s="345"/>
      <c r="R606" s="383"/>
      <c r="S606" s="345"/>
      <c r="T606" s="383"/>
      <c r="U606" s="345"/>
      <c r="V606" s="649"/>
      <c r="W606" s="650"/>
      <c r="X606" s="190"/>
      <c r="Y606" s="147"/>
      <c r="Z606" s="145"/>
      <c r="AA606" s="148"/>
      <c r="AB606" s="558" t="s">
        <v>349</v>
      </c>
    </row>
    <row r="607" spans="1:121" ht="12.6" customHeight="1" x14ac:dyDescent="0.2">
      <c r="B607" s="698" t="s">
        <v>350</v>
      </c>
      <c r="C607" s="698"/>
      <c r="D607" s="698"/>
      <c r="E607" s="698"/>
      <c r="F607" s="413"/>
      <c r="G607" s="346"/>
      <c r="H607" s="112"/>
      <c r="I607" s="112"/>
      <c r="J607" s="634"/>
      <c r="K607" s="346"/>
      <c r="L607" s="634"/>
      <c r="M607" s="346"/>
      <c r="N607" s="634"/>
      <c r="O607" s="346"/>
      <c r="P607" s="634"/>
      <c r="Q607" s="346"/>
      <c r="R607" s="634"/>
      <c r="S607" s="346"/>
      <c r="T607" s="634"/>
      <c r="U607" s="346"/>
      <c r="V607" s="310"/>
      <c r="W607" s="655"/>
      <c r="X607" s="190"/>
      <c r="Y607" s="147"/>
      <c r="Z607" s="145"/>
      <c r="AA607" s="148"/>
      <c r="AB607" s="559" t="s">
        <v>351</v>
      </c>
    </row>
    <row r="608" spans="1:121" s="7" customFormat="1" ht="12.6" customHeight="1" x14ac:dyDescent="0.2">
      <c r="A608" s="11"/>
      <c r="B608" s="748" t="s">
        <v>352</v>
      </c>
      <c r="C608" s="748"/>
      <c r="D608" s="748"/>
      <c r="E608" s="748"/>
      <c r="F608" s="373"/>
      <c r="G608" s="345"/>
      <c r="H608" s="106"/>
      <c r="I608" s="106"/>
      <c r="J608" s="383"/>
      <c r="K608" s="345"/>
      <c r="L608" s="383"/>
      <c r="M608" s="345"/>
      <c r="N608" s="383"/>
      <c r="O608" s="345"/>
      <c r="P608" s="383"/>
      <c r="Q608" s="345"/>
      <c r="R608" s="383"/>
      <c r="S608" s="345"/>
      <c r="T608" s="383"/>
      <c r="U608" s="345"/>
      <c r="V608" s="649"/>
      <c r="W608" s="650"/>
      <c r="X608" s="190"/>
      <c r="Y608" s="147"/>
      <c r="Z608" s="145"/>
      <c r="AA608" s="148"/>
      <c r="AB608" s="558" t="s">
        <v>353</v>
      </c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</row>
    <row r="609" spans="1:38" ht="12.6" customHeight="1" x14ac:dyDescent="0.2">
      <c r="B609" s="698" t="s">
        <v>354</v>
      </c>
      <c r="C609" s="698"/>
      <c r="D609" s="698"/>
      <c r="E609" s="698"/>
      <c r="F609" s="378"/>
      <c r="G609" s="346"/>
      <c r="H609" s="112"/>
      <c r="I609" s="112"/>
      <c r="J609" s="634"/>
      <c r="K609" s="346"/>
      <c r="L609" s="634"/>
      <c r="M609" s="346"/>
      <c r="N609" s="634"/>
      <c r="O609" s="346"/>
      <c r="P609" s="634"/>
      <c r="Q609" s="346"/>
      <c r="R609" s="634"/>
      <c r="S609" s="346"/>
      <c r="T609" s="634"/>
      <c r="U609" s="346"/>
      <c r="V609" s="310"/>
      <c r="W609" s="655"/>
      <c r="X609" s="190"/>
      <c r="Y609" s="147"/>
      <c r="Z609" s="145"/>
      <c r="AA609" s="148"/>
      <c r="AB609" s="558" t="s">
        <v>355</v>
      </c>
    </row>
    <row r="610" spans="1:38" ht="12.6" customHeight="1" x14ac:dyDescent="0.2">
      <c r="B610" s="970" t="s">
        <v>879</v>
      </c>
      <c r="C610" s="970"/>
      <c r="D610" s="970"/>
      <c r="E610" s="970"/>
      <c r="F610" s="647">
        <f>33.53*X2</f>
        <v>30847.600000000002</v>
      </c>
      <c r="G610" s="345">
        <f t="shared" ref="G610:G615" si="1588">+F610*$X$1</f>
        <v>30847.600000000002</v>
      </c>
      <c r="H610" s="383">
        <f>F610+2200</f>
        <v>33047.600000000006</v>
      </c>
      <c r="I610" s="345">
        <f t="shared" ref="I610" si="1589">+H610*$X$1</f>
        <v>33047.600000000006</v>
      </c>
      <c r="J610" s="383">
        <f>F610+500</f>
        <v>31347.600000000002</v>
      </c>
      <c r="K610" s="345">
        <f t="shared" ref="K610" si="1590">+J610*$X$1</f>
        <v>31347.600000000002</v>
      </c>
      <c r="L610" s="108">
        <f>F610+410</f>
        <v>31257.600000000002</v>
      </c>
      <c r="M610" s="372">
        <f>+L610*$X$1</f>
        <v>31257.600000000002</v>
      </c>
      <c r="N610" s="108">
        <f>F610+370</f>
        <v>31217.600000000002</v>
      </c>
      <c r="O610" s="372">
        <f>+N610*$X$1</f>
        <v>31217.600000000002</v>
      </c>
      <c r="P610" s="108">
        <f>F610+330</f>
        <v>31177.600000000002</v>
      </c>
      <c r="Q610" s="372">
        <f>+P610*$X$1</f>
        <v>31177.600000000002</v>
      </c>
      <c r="R610" s="108">
        <f>F610+290</f>
        <v>31137.600000000002</v>
      </c>
      <c r="S610" s="372">
        <f>+R610*$X$1</f>
        <v>31137.600000000002</v>
      </c>
      <c r="T610" s="383">
        <f>F610+240</f>
        <v>31087.600000000002</v>
      </c>
      <c r="U610" s="345">
        <f t="shared" ref="U610" si="1591">+T610*$X$1</f>
        <v>31087.600000000002</v>
      </c>
      <c r="V610" s="383">
        <f>F610+220</f>
        <v>31067.600000000002</v>
      </c>
      <c r="W610" s="345">
        <f t="shared" ref="W610" si="1592">+V610*$X$1</f>
        <v>31067.600000000002</v>
      </c>
      <c r="X610" s="633"/>
      <c r="Y610" s="147"/>
      <c r="Z610" s="145"/>
      <c r="AA610" s="148"/>
      <c r="AB610" s="558" t="s">
        <v>880</v>
      </c>
    </row>
    <row r="611" spans="1:38" ht="12.6" customHeight="1" x14ac:dyDescent="0.2">
      <c r="B611" s="970" t="s">
        <v>875</v>
      </c>
      <c r="C611" s="970"/>
      <c r="D611" s="970"/>
      <c r="E611" s="970"/>
      <c r="F611" s="648">
        <f>29.5*X2</f>
        <v>27140</v>
      </c>
      <c r="G611" s="346">
        <f t="shared" si="1588"/>
        <v>27140</v>
      </c>
      <c r="H611" s="310"/>
      <c r="I611" s="310"/>
      <c r="J611" s="634">
        <f>F611+600</f>
        <v>27740</v>
      </c>
      <c r="K611" s="346">
        <f t="shared" ref="K611" si="1593">+J611*$X$1</f>
        <v>27740</v>
      </c>
      <c r="L611" s="634">
        <f>F611+350</f>
        <v>27490</v>
      </c>
      <c r="M611" s="346">
        <f t="shared" ref="M611" si="1594">+L611*$X$1</f>
        <v>27490</v>
      </c>
      <c r="N611" s="634">
        <f>F611+170</f>
        <v>27310</v>
      </c>
      <c r="O611" s="346">
        <f t="shared" ref="O611" si="1595">+N611*$X$1</f>
        <v>27310</v>
      </c>
      <c r="P611" s="634">
        <f>F611+130</f>
        <v>27270</v>
      </c>
      <c r="Q611" s="346">
        <f t="shared" ref="Q611" si="1596">+P611*$X$1</f>
        <v>27270</v>
      </c>
      <c r="R611" s="634">
        <f>F611+90</f>
        <v>27230</v>
      </c>
      <c r="S611" s="346">
        <f t="shared" ref="S611" si="1597">+R611*$X$1</f>
        <v>27230</v>
      </c>
      <c r="T611" s="634">
        <f>F611+75</f>
        <v>27215</v>
      </c>
      <c r="U611" s="346">
        <f t="shared" ref="U611" si="1598">+T611*$X$1</f>
        <v>27215</v>
      </c>
      <c r="V611" s="634">
        <f>F611+64</f>
        <v>27204</v>
      </c>
      <c r="W611" s="346">
        <f t="shared" ref="W611" si="1599">+V611*$X$1</f>
        <v>27204</v>
      </c>
      <c r="X611" s="633"/>
      <c r="Y611" s="147"/>
      <c r="Z611" s="145"/>
      <c r="AA611" s="148"/>
      <c r="AB611" s="558" t="s">
        <v>873</v>
      </c>
    </row>
    <row r="612" spans="1:38" ht="12.6" customHeight="1" x14ac:dyDescent="0.2">
      <c r="B612" s="970" t="s">
        <v>874</v>
      </c>
      <c r="C612" s="970"/>
      <c r="D612" s="970"/>
      <c r="E612" s="970"/>
      <c r="F612" s="647">
        <f>23.85*X2</f>
        <v>21942</v>
      </c>
      <c r="G612" s="345">
        <f t="shared" si="1588"/>
        <v>21942</v>
      </c>
      <c r="H612" s="313"/>
      <c r="I612" s="313"/>
      <c r="J612" s="383">
        <f>F612+600</f>
        <v>22542</v>
      </c>
      <c r="K612" s="345">
        <f t="shared" ref="K612" si="1600">+J612*$X$1</f>
        <v>22542</v>
      </c>
      <c r="L612" s="383">
        <f>F612+350</f>
        <v>22292</v>
      </c>
      <c r="M612" s="345">
        <f t="shared" ref="M612" si="1601">+L612*$X$1</f>
        <v>22292</v>
      </c>
      <c r="N612" s="383">
        <f>F612+170</f>
        <v>22112</v>
      </c>
      <c r="O612" s="345">
        <f t="shared" ref="O612" si="1602">+N612*$X$1</f>
        <v>22112</v>
      </c>
      <c r="P612" s="383">
        <f>F612+130</f>
        <v>22072</v>
      </c>
      <c r="Q612" s="345">
        <f t="shared" ref="Q612" si="1603">+P612*$X$1</f>
        <v>22072</v>
      </c>
      <c r="R612" s="383">
        <f>F612+90</f>
        <v>22032</v>
      </c>
      <c r="S612" s="345">
        <f t="shared" ref="S612" si="1604">+R612*$X$1</f>
        <v>22032</v>
      </c>
      <c r="T612" s="383">
        <f>F612+75</f>
        <v>22017</v>
      </c>
      <c r="U612" s="345">
        <f t="shared" ref="U612" si="1605">+T612*$X$1</f>
        <v>22017</v>
      </c>
      <c r="V612" s="383">
        <f>F612+64</f>
        <v>22006</v>
      </c>
      <c r="W612" s="345">
        <f t="shared" ref="W612" si="1606">+V612*$X$1</f>
        <v>22006</v>
      </c>
      <c r="X612" s="633"/>
      <c r="Y612" s="147"/>
      <c r="Z612" s="145"/>
      <c r="AA612" s="148"/>
      <c r="AB612" s="558" t="s">
        <v>876</v>
      </c>
    </row>
    <row r="613" spans="1:38" ht="12.6" customHeight="1" x14ac:dyDescent="0.2">
      <c r="B613" s="970" t="s">
        <v>877</v>
      </c>
      <c r="C613" s="970"/>
      <c r="D613" s="970"/>
      <c r="E613" s="970"/>
      <c r="F613" s="648">
        <f>36.3*X2</f>
        <v>33396</v>
      </c>
      <c r="G613" s="346">
        <f t="shared" si="1588"/>
        <v>33396</v>
      </c>
      <c r="H613" s="310"/>
      <c r="I613" s="310"/>
      <c r="J613" s="634">
        <f>F613+600</f>
        <v>33996</v>
      </c>
      <c r="K613" s="346">
        <f t="shared" ref="K613" si="1607">+J613*$X$1</f>
        <v>33996</v>
      </c>
      <c r="L613" s="634">
        <f>F613+350</f>
        <v>33746</v>
      </c>
      <c r="M613" s="346">
        <f t="shared" ref="M613:M614" si="1608">+L613*$X$1</f>
        <v>33746</v>
      </c>
      <c r="N613" s="634">
        <f>F613+170</f>
        <v>33566</v>
      </c>
      <c r="O613" s="346">
        <f t="shared" ref="O613:O614" si="1609">+N613*$X$1</f>
        <v>33566</v>
      </c>
      <c r="P613" s="634">
        <f>F613+130</f>
        <v>33526</v>
      </c>
      <c r="Q613" s="346">
        <f t="shared" ref="Q613:Q614" si="1610">+P613*$X$1</f>
        <v>33526</v>
      </c>
      <c r="R613" s="634">
        <f>F613+90</f>
        <v>33486</v>
      </c>
      <c r="S613" s="346">
        <f t="shared" ref="S613:S614" si="1611">+R613*$X$1</f>
        <v>33486</v>
      </c>
      <c r="T613" s="634">
        <f>F613+75</f>
        <v>33471</v>
      </c>
      <c r="U613" s="346">
        <f t="shared" ref="U613:U614" si="1612">+T613*$X$1</f>
        <v>33471</v>
      </c>
      <c r="V613" s="634">
        <f>F613+64</f>
        <v>33460</v>
      </c>
      <c r="W613" s="346">
        <f t="shared" ref="W613:W614" si="1613">+V613*$X$1</f>
        <v>33460</v>
      </c>
      <c r="X613" s="633"/>
      <c r="Y613" s="147"/>
      <c r="Z613" s="145"/>
      <c r="AA613" s="148"/>
      <c r="AB613" s="558" t="s">
        <v>878</v>
      </c>
    </row>
    <row r="614" spans="1:38" s="1" customFormat="1" ht="12.6" customHeight="1" x14ac:dyDescent="0.2">
      <c r="A614" s="21"/>
      <c r="B614" s="714" t="s">
        <v>659</v>
      </c>
      <c r="C614" s="717"/>
      <c r="D614" s="717"/>
      <c r="E614" s="718"/>
      <c r="F614" s="663">
        <v>8330</v>
      </c>
      <c r="G614" s="347">
        <f t="shared" si="1588"/>
        <v>8330</v>
      </c>
      <c r="H614" s="383">
        <f>F614+2200</f>
        <v>10530</v>
      </c>
      <c r="I614" s="345">
        <f t="shared" ref="I614" si="1614">+H614*$X$1</f>
        <v>10530</v>
      </c>
      <c r="J614" s="75">
        <f>F614+500</f>
        <v>8830</v>
      </c>
      <c r="K614" s="345">
        <f>+J614*$X$1</f>
        <v>8830</v>
      </c>
      <c r="L614" s="383">
        <f>F614+250</f>
        <v>8580</v>
      </c>
      <c r="M614" s="345">
        <f t="shared" si="1608"/>
        <v>8580</v>
      </c>
      <c r="N614" s="383">
        <f>F614+100</f>
        <v>8430</v>
      </c>
      <c r="O614" s="345">
        <f t="shared" si="1609"/>
        <v>8430</v>
      </c>
      <c r="P614" s="383">
        <f>F614+80</f>
        <v>8410</v>
      </c>
      <c r="Q614" s="345">
        <f t="shared" si="1610"/>
        <v>8410</v>
      </c>
      <c r="R614" s="383">
        <f>F614+60</f>
        <v>8390</v>
      </c>
      <c r="S614" s="345">
        <f t="shared" si="1611"/>
        <v>8390</v>
      </c>
      <c r="T614" s="383">
        <f>F614+50</f>
        <v>8380</v>
      </c>
      <c r="U614" s="345">
        <f t="shared" si="1612"/>
        <v>8380</v>
      </c>
      <c r="V614" s="383">
        <f>F614+44</f>
        <v>8374</v>
      </c>
      <c r="W614" s="345">
        <f t="shared" si="1613"/>
        <v>8374</v>
      </c>
      <c r="X614" s="728"/>
      <c r="Y614" s="710"/>
      <c r="Z614" s="710"/>
      <c r="AA614" s="711"/>
      <c r="AB614" s="208">
        <v>1010</v>
      </c>
      <c r="AC614" s="4"/>
      <c r="AD614" s="4"/>
      <c r="AE614" s="4"/>
      <c r="AF614" s="4"/>
      <c r="AG614" s="4"/>
      <c r="AH614" s="138"/>
      <c r="AI614" s="4"/>
      <c r="AJ614" s="4"/>
      <c r="AK614" s="4"/>
      <c r="AL614" s="4"/>
    </row>
    <row r="615" spans="1:38" s="1" customFormat="1" ht="12.6" customHeight="1" x14ac:dyDescent="0.2">
      <c r="A615" s="21"/>
      <c r="B615" s="774" t="s">
        <v>660</v>
      </c>
      <c r="C615" s="775"/>
      <c r="D615" s="775"/>
      <c r="E615" s="776"/>
      <c r="F615" s="400">
        <v>20824</v>
      </c>
      <c r="G615" s="346">
        <f t="shared" si="1588"/>
        <v>20824</v>
      </c>
      <c r="H615" s="662">
        <f>F615+2200</f>
        <v>23024</v>
      </c>
      <c r="I615" s="346">
        <f t="shared" ref="I615" si="1615">+H615*$X$1</f>
        <v>23024</v>
      </c>
      <c r="J615" s="93">
        <f>F615+500</f>
        <v>21324</v>
      </c>
      <c r="K615" s="346">
        <f>+J615*$X$1</f>
        <v>21324</v>
      </c>
      <c r="L615" s="662">
        <f>F615+250</f>
        <v>21074</v>
      </c>
      <c r="M615" s="346">
        <f t="shared" ref="M615" si="1616">+L615*$X$1</f>
        <v>21074</v>
      </c>
      <c r="N615" s="662">
        <f>F615+100</f>
        <v>20924</v>
      </c>
      <c r="O615" s="346">
        <f t="shared" ref="O615" si="1617">+N615*$X$1</f>
        <v>20924</v>
      </c>
      <c r="P615" s="662">
        <f>F615+80</f>
        <v>20904</v>
      </c>
      <c r="Q615" s="346">
        <f t="shared" ref="Q615" si="1618">+P615*$X$1</f>
        <v>20904</v>
      </c>
      <c r="R615" s="662">
        <f>F615+60</f>
        <v>20884</v>
      </c>
      <c r="S615" s="346">
        <f t="shared" ref="S615" si="1619">+R615*$X$1</f>
        <v>20884</v>
      </c>
      <c r="T615" s="662">
        <f>F615+50</f>
        <v>20874</v>
      </c>
      <c r="U615" s="346">
        <f t="shared" ref="U615" si="1620">+T615*$X$1</f>
        <v>20874</v>
      </c>
      <c r="V615" s="662">
        <f>F615+44</f>
        <v>20868</v>
      </c>
      <c r="W615" s="346">
        <f t="shared" ref="W615" si="1621">+V615*$X$1</f>
        <v>20868</v>
      </c>
      <c r="X615" s="728"/>
      <c r="Y615" s="710"/>
      <c r="Z615" s="710"/>
      <c r="AA615" s="711"/>
      <c r="AB615" s="208">
        <v>1011</v>
      </c>
      <c r="AC615" s="4"/>
      <c r="AD615" s="4"/>
      <c r="AE615" s="4"/>
      <c r="AF615" s="4"/>
      <c r="AG615" s="4"/>
      <c r="AH615" s="138"/>
      <c r="AI615" s="4"/>
      <c r="AJ615" s="4"/>
      <c r="AK615" s="4"/>
      <c r="AL615" s="4"/>
    </row>
    <row r="616" spans="1:38" ht="12.6" customHeight="1" x14ac:dyDescent="0.2">
      <c r="A616" s="219"/>
      <c r="B616" s="702" t="s">
        <v>410</v>
      </c>
      <c r="C616" s="703"/>
      <c r="D616" s="703"/>
      <c r="E616" s="703"/>
      <c r="F616" s="345"/>
      <c r="G616" s="417"/>
      <c r="H616" s="639"/>
      <c r="I616" s="640"/>
      <c r="J616" s="105"/>
      <c r="K616" s="417"/>
      <c r="L616" s="639"/>
      <c r="M616" s="417"/>
      <c r="N616" s="639"/>
      <c r="O616" s="417"/>
      <c r="P616" s="639"/>
      <c r="Q616" s="417"/>
      <c r="R616" s="641"/>
      <c r="S616" s="417"/>
      <c r="T616" s="641"/>
      <c r="U616" s="417"/>
      <c r="V616" s="313"/>
      <c r="W616" s="653"/>
      <c r="X616" s="165"/>
      <c r="Y616" s="165"/>
      <c r="Z616" s="165"/>
      <c r="AA616" s="165"/>
      <c r="AB616" s="249"/>
    </row>
    <row r="617" spans="1:38" ht="12.6" customHeight="1" x14ac:dyDescent="0.2">
      <c r="A617" s="219"/>
      <c r="B617" s="911" t="s">
        <v>411</v>
      </c>
      <c r="C617" s="800"/>
      <c r="D617" s="800"/>
      <c r="E617" s="800"/>
      <c r="F617" s="346"/>
      <c r="G617" s="415"/>
      <c r="H617" s="639"/>
      <c r="I617" s="639"/>
      <c r="J617" s="105"/>
      <c r="K617" s="415"/>
      <c r="L617" s="639"/>
      <c r="M617" s="415"/>
      <c r="N617" s="639"/>
      <c r="O617" s="415"/>
      <c r="P617" s="639"/>
      <c r="Q617" s="415"/>
      <c r="R617" s="642"/>
      <c r="S617" s="415"/>
      <c r="T617" s="642"/>
      <c r="U617" s="415"/>
      <c r="V617" s="310"/>
      <c r="W617" s="656"/>
      <c r="X617" s="165"/>
      <c r="Y617" s="165"/>
      <c r="Z617" s="165"/>
      <c r="AA617" s="165"/>
      <c r="AB617" s="225"/>
    </row>
    <row r="618" spans="1:38" ht="12.6" customHeight="1" x14ac:dyDescent="0.2">
      <c r="A618" s="219"/>
      <c r="B618" s="702" t="s">
        <v>412</v>
      </c>
      <c r="C618" s="703"/>
      <c r="D618" s="703"/>
      <c r="E618" s="703"/>
      <c r="F618" s="345"/>
      <c r="G618" s="417"/>
      <c r="H618" s="639"/>
      <c r="I618" s="640"/>
      <c r="J618" s="105"/>
      <c r="K618" s="417"/>
      <c r="L618" s="639"/>
      <c r="M618" s="417"/>
      <c r="N618" s="639"/>
      <c r="O618" s="417"/>
      <c r="P618" s="639"/>
      <c r="Q618" s="417"/>
      <c r="R618" s="641"/>
      <c r="S618" s="417"/>
      <c r="T618" s="641"/>
      <c r="U618" s="417"/>
      <c r="V618" s="313"/>
      <c r="W618" s="653"/>
      <c r="X618" s="165"/>
      <c r="Y618" s="165"/>
      <c r="Z618" s="165"/>
      <c r="AA618" s="165"/>
      <c r="AB618" s="225"/>
    </row>
    <row r="619" spans="1:38" ht="12.6" customHeight="1" x14ac:dyDescent="0.2">
      <c r="A619" s="219"/>
      <c r="B619" s="911" t="s">
        <v>409</v>
      </c>
      <c r="C619" s="800"/>
      <c r="D619" s="800"/>
      <c r="E619" s="800"/>
      <c r="F619" s="346"/>
      <c r="G619" s="415"/>
      <c r="H619" s="639"/>
      <c r="I619" s="639"/>
      <c r="J619" s="105"/>
      <c r="K619" s="415"/>
      <c r="L619" s="639"/>
      <c r="M619" s="415"/>
      <c r="N619" s="639"/>
      <c r="O619" s="415"/>
      <c r="P619" s="639"/>
      <c r="Q619" s="415"/>
      <c r="R619" s="642"/>
      <c r="S619" s="415"/>
      <c r="T619" s="642"/>
      <c r="U619" s="415"/>
      <c r="V619" s="310"/>
      <c r="W619" s="656"/>
      <c r="X619" s="165"/>
      <c r="Y619" s="165"/>
      <c r="Z619" s="165"/>
      <c r="AA619" s="165"/>
      <c r="AB619" s="225"/>
    </row>
    <row r="620" spans="1:38" ht="12.6" customHeight="1" x14ac:dyDescent="0.2">
      <c r="B620" s="970" t="s">
        <v>783</v>
      </c>
      <c r="C620" s="970"/>
      <c r="D620" s="970"/>
      <c r="E620" s="970"/>
      <c r="F620" s="481">
        <f>3.054*X2</f>
        <v>2809.68</v>
      </c>
      <c r="G620" s="345">
        <f>+F620*$X$1</f>
        <v>2809.68</v>
      </c>
      <c r="H620" s="106"/>
      <c r="I620" s="106"/>
      <c r="J620" s="19"/>
      <c r="K620" s="19"/>
      <c r="L620" s="383">
        <f>F620+250</f>
        <v>3059.68</v>
      </c>
      <c r="M620" s="345">
        <f t="shared" ref="M620" si="1622">+L620*$X$1</f>
        <v>3059.68</v>
      </c>
      <c r="N620" s="383">
        <f>F620+100</f>
        <v>2909.68</v>
      </c>
      <c r="O620" s="345">
        <f t="shared" ref="O620" si="1623">+N620*$X$1</f>
        <v>2909.68</v>
      </c>
      <c r="P620" s="383">
        <f>F620+80</f>
        <v>2889.68</v>
      </c>
      <c r="Q620" s="345">
        <f t="shared" ref="Q620" si="1624">+P620*$X$1</f>
        <v>2889.68</v>
      </c>
      <c r="R620" s="383">
        <f>F620+60</f>
        <v>2869.68</v>
      </c>
      <c r="S620" s="345">
        <f t="shared" ref="S620" si="1625">+R620*$X$1</f>
        <v>2869.68</v>
      </c>
      <c r="T620" s="383">
        <f>F620+50</f>
        <v>2859.68</v>
      </c>
      <c r="U620" s="345">
        <f t="shared" ref="U620" si="1626">+T620*$X$1</f>
        <v>2859.68</v>
      </c>
      <c r="V620" s="383">
        <f>F620+44</f>
        <v>2853.68</v>
      </c>
      <c r="W620" s="345">
        <f t="shared" ref="W620" si="1627">+V620*$X$1</f>
        <v>2853.68</v>
      </c>
      <c r="X620" s="560"/>
      <c r="Y620" s="147"/>
      <c r="Z620" s="145"/>
      <c r="AA620" s="148"/>
      <c r="AB620" s="558" t="s">
        <v>784</v>
      </c>
    </row>
    <row r="621" spans="1:38" ht="12.6" customHeight="1" x14ac:dyDescent="0.2">
      <c r="B621" s="970" t="s">
        <v>794</v>
      </c>
      <c r="C621" s="970"/>
      <c r="D621" s="970"/>
      <c r="E621" s="970"/>
      <c r="F621" s="482">
        <f>11.3*X2</f>
        <v>10396</v>
      </c>
      <c r="G621" s="346">
        <f>+F621*$X$1</f>
        <v>10396</v>
      </c>
      <c r="H621" s="112"/>
      <c r="I621" s="112"/>
      <c r="J621" s="310"/>
      <c r="K621" s="310"/>
      <c r="L621" s="634">
        <f>F621+250</f>
        <v>10646</v>
      </c>
      <c r="M621" s="346">
        <f t="shared" ref="M621" si="1628">+L621*$X$1</f>
        <v>10646</v>
      </c>
      <c r="N621" s="634">
        <f>F621+100</f>
        <v>10496</v>
      </c>
      <c r="O621" s="346">
        <f t="shared" ref="O621" si="1629">+N621*$X$1</f>
        <v>10496</v>
      </c>
      <c r="P621" s="634">
        <f>F621+80</f>
        <v>10476</v>
      </c>
      <c r="Q621" s="346">
        <f t="shared" ref="Q621" si="1630">+P621*$X$1</f>
        <v>10476</v>
      </c>
      <c r="R621" s="634">
        <f>F621+60</f>
        <v>10456</v>
      </c>
      <c r="S621" s="346">
        <f t="shared" ref="S621" si="1631">+R621*$X$1</f>
        <v>10456</v>
      </c>
      <c r="T621" s="634">
        <f>F621+50</f>
        <v>10446</v>
      </c>
      <c r="U621" s="346">
        <f t="shared" ref="U621" si="1632">+T621*$X$1</f>
        <v>10446</v>
      </c>
      <c r="V621" s="634">
        <f>F621+44</f>
        <v>10440</v>
      </c>
      <c r="W621" s="346">
        <f t="shared" ref="W621" si="1633">+V621*$X$1</f>
        <v>10440</v>
      </c>
      <c r="X621" s="561"/>
      <c r="Y621" s="147"/>
      <c r="Z621" s="145"/>
      <c r="AA621" s="148"/>
      <c r="AB621" s="558" t="s">
        <v>795</v>
      </c>
    </row>
    <row r="622" spans="1:38" ht="12.6" customHeight="1" x14ac:dyDescent="0.2">
      <c r="B622" s="748" t="s">
        <v>585</v>
      </c>
      <c r="C622" s="748"/>
      <c r="D622" s="748"/>
      <c r="E622" s="748"/>
      <c r="F622" s="481">
        <f>4.5*X2</f>
        <v>4140</v>
      </c>
      <c r="G622" s="345">
        <f>+F622*$X$1</f>
        <v>4140</v>
      </c>
      <c r="H622" s="106"/>
      <c r="I622" s="106"/>
      <c r="J622" s="19"/>
      <c r="K622" s="19"/>
      <c r="L622" s="383">
        <f>F622+250</f>
        <v>4390</v>
      </c>
      <c r="M622" s="345">
        <f t="shared" ref="M622" si="1634">+L622*$X$1</f>
        <v>4390</v>
      </c>
      <c r="N622" s="383">
        <f>F622+100</f>
        <v>4240</v>
      </c>
      <c r="O622" s="345">
        <f t="shared" ref="O622" si="1635">+N622*$X$1</f>
        <v>4240</v>
      </c>
      <c r="P622" s="383">
        <f>F622+80</f>
        <v>4220</v>
      </c>
      <c r="Q622" s="345">
        <f t="shared" ref="Q622" si="1636">+P622*$X$1</f>
        <v>4220</v>
      </c>
      <c r="R622" s="383">
        <f>F622+60</f>
        <v>4200</v>
      </c>
      <c r="S622" s="345">
        <f t="shared" ref="S622" si="1637">+R622*$X$1</f>
        <v>4200</v>
      </c>
      <c r="T622" s="383">
        <f>F622+50</f>
        <v>4190</v>
      </c>
      <c r="U622" s="345">
        <f t="shared" ref="U622" si="1638">+T622*$X$1</f>
        <v>4190</v>
      </c>
      <c r="V622" s="383">
        <f>F622+44</f>
        <v>4184</v>
      </c>
      <c r="W622" s="345">
        <f t="shared" ref="W622" si="1639">+V622*$X$1</f>
        <v>4184</v>
      </c>
      <c r="X622" s="262"/>
      <c r="Y622" s="147"/>
      <c r="Z622" s="145"/>
      <c r="AA622" s="148"/>
      <c r="AB622" s="558" t="s">
        <v>503</v>
      </c>
    </row>
    <row r="623" spans="1:38" ht="12.6" customHeight="1" x14ac:dyDescent="0.2">
      <c r="B623" s="698" t="s">
        <v>796</v>
      </c>
      <c r="C623" s="698"/>
      <c r="D623" s="698"/>
      <c r="E623" s="698"/>
      <c r="F623" s="482"/>
      <c r="G623" s="346"/>
      <c r="H623" s="634"/>
      <c r="I623" s="346"/>
      <c r="J623" s="310"/>
      <c r="K623" s="310"/>
      <c r="L623" s="634"/>
      <c r="M623" s="346"/>
      <c r="N623" s="634"/>
      <c r="O623" s="346"/>
      <c r="P623" s="634"/>
      <c r="Q623" s="346"/>
      <c r="R623" s="634"/>
      <c r="S623" s="346"/>
      <c r="T623" s="634"/>
      <c r="U623" s="346"/>
      <c r="V623" s="634"/>
      <c r="W623" s="346"/>
      <c r="X623" s="301"/>
      <c r="Y623" s="147"/>
      <c r="Z623" s="145"/>
      <c r="AA623" s="148"/>
      <c r="AB623" s="558" t="s">
        <v>797</v>
      </c>
    </row>
    <row r="624" spans="1:38" ht="12.6" customHeight="1" x14ac:dyDescent="0.2">
      <c r="A624" s="12"/>
      <c r="B624" s="1231" t="s">
        <v>356</v>
      </c>
      <c r="C624" s="1231"/>
      <c r="D624" s="1231"/>
      <c r="E624" s="1231"/>
      <c r="F624" s="481">
        <f>35.44*X2</f>
        <v>32604.799999999999</v>
      </c>
      <c r="G624" s="345">
        <f t="shared" ref="G624" si="1640">+F624*$X$1</f>
        <v>32604.799999999999</v>
      </c>
      <c r="H624" s="106"/>
      <c r="I624" s="106"/>
      <c r="J624" s="19"/>
      <c r="K624" s="19"/>
      <c r="L624" s="383">
        <f>F624+220</f>
        <v>32824.800000000003</v>
      </c>
      <c r="M624" s="345">
        <f t="shared" ref="M624" si="1641">+L624*$X$1</f>
        <v>32824.800000000003</v>
      </c>
      <c r="N624" s="383">
        <f>F624+100</f>
        <v>32704.799999999999</v>
      </c>
      <c r="O624" s="345">
        <f t="shared" ref="O624" si="1642">+N624*$X$1</f>
        <v>32704.799999999999</v>
      </c>
      <c r="P624" s="383">
        <f>F624+80</f>
        <v>32684.799999999999</v>
      </c>
      <c r="Q624" s="345">
        <f t="shared" ref="Q624" si="1643">+P624*$X$1</f>
        <v>32684.799999999999</v>
      </c>
      <c r="R624" s="383">
        <f>F624+60</f>
        <v>32664.799999999999</v>
      </c>
      <c r="S624" s="345">
        <f t="shared" ref="S624" si="1644">+R624*$X$1</f>
        <v>32664.799999999999</v>
      </c>
      <c r="T624" s="383">
        <f>F624+50</f>
        <v>32654.799999999999</v>
      </c>
      <c r="U624" s="345">
        <f t="shared" ref="U624" si="1645">+T624*$X$1</f>
        <v>32654.799999999999</v>
      </c>
      <c r="V624" s="383"/>
      <c r="W624" s="345"/>
      <c r="X624" s="145"/>
      <c r="Y624" s="149"/>
      <c r="Z624" s="145"/>
      <c r="AA624" s="148"/>
      <c r="AB624" s="558" t="s">
        <v>523</v>
      </c>
    </row>
    <row r="625" spans="1:34" ht="12.6" customHeight="1" x14ac:dyDescent="0.2">
      <c r="A625" s="12"/>
      <c r="B625" s="1194" t="s">
        <v>522</v>
      </c>
      <c r="C625" s="1194"/>
      <c r="D625" s="1194"/>
      <c r="E625" s="1194"/>
      <c r="F625" s="346"/>
      <c r="G625" s="346"/>
      <c r="H625" s="112"/>
      <c r="I625" s="112"/>
      <c r="J625" s="634"/>
      <c r="K625" s="346"/>
      <c r="L625" s="634"/>
      <c r="M625" s="346"/>
      <c r="N625" s="634"/>
      <c r="O625" s="346"/>
      <c r="P625" s="634"/>
      <c r="Q625" s="346"/>
      <c r="R625" s="634"/>
      <c r="S625" s="346"/>
      <c r="T625" s="634"/>
      <c r="U625" s="346"/>
      <c r="V625" s="654"/>
      <c r="W625" s="655"/>
      <c r="X625" s="145"/>
      <c r="Y625" s="149"/>
      <c r="Z625" s="145"/>
      <c r="AA625" s="148"/>
      <c r="AB625" s="558" t="s">
        <v>357</v>
      </c>
    </row>
    <row r="626" spans="1:34" ht="12.6" customHeight="1" x14ac:dyDescent="0.2">
      <c r="A626" s="219"/>
      <c r="B626" s="702" t="s">
        <v>639</v>
      </c>
      <c r="C626" s="703"/>
      <c r="D626" s="703"/>
      <c r="E626" s="703"/>
      <c r="F626" s="401">
        <v>14100</v>
      </c>
      <c r="G626" s="372">
        <f t="shared" ref="G626" si="1646">+F626*$X$1</f>
        <v>14100</v>
      </c>
      <c r="H626" s="638"/>
      <c r="I626" s="638"/>
      <c r="J626" s="108">
        <f t="shared" ref="J626:J634" si="1647">F626+500</f>
        <v>14600</v>
      </c>
      <c r="K626" s="372">
        <f t="shared" ref="K626:K628" si="1648">+J626*$X$1</f>
        <v>14600</v>
      </c>
      <c r="L626" s="108">
        <f>F626+410</f>
        <v>14510</v>
      </c>
      <c r="M626" s="372">
        <f>+L626*$X$1</f>
        <v>14510</v>
      </c>
      <c r="N626" s="108">
        <f>F626+370</f>
        <v>14470</v>
      </c>
      <c r="O626" s="372">
        <f>+N626*$X$1</f>
        <v>14470</v>
      </c>
      <c r="P626" s="108">
        <f>F626+330</f>
        <v>14430</v>
      </c>
      <c r="Q626" s="372">
        <f>+P626*$X$1</f>
        <v>14430</v>
      </c>
      <c r="R626" s="108">
        <f>F626+290</f>
        <v>14390</v>
      </c>
      <c r="S626" s="372">
        <f>+R626*$X$1</f>
        <v>14390</v>
      </c>
      <c r="T626" s="108">
        <f>F626+240</f>
        <v>14340</v>
      </c>
      <c r="U626" s="372">
        <f t="shared" ref="U626" si="1649">+T626*$X$1</f>
        <v>14340</v>
      </c>
      <c r="V626" s="376"/>
      <c r="W626" s="372"/>
      <c r="X626" s="374"/>
      <c r="Y626" s="374"/>
      <c r="Z626" s="374"/>
      <c r="AA626" s="374"/>
      <c r="AB626" s="558" t="s">
        <v>798</v>
      </c>
    </row>
    <row r="627" spans="1:34" ht="12.6" customHeight="1" x14ac:dyDescent="0.2">
      <c r="A627" s="219"/>
      <c r="B627" s="911" t="s">
        <v>499</v>
      </c>
      <c r="C627" s="800"/>
      <c r="D627" s="800"/>
      <c r="E627" s="800"/>
      <c r="F627" s="400">
        <v>15920</v>
      </c>
      <c r="G627" s="346">
        <f t="shared" ref="G627:G632" si="1650">+F627*$X$1</f>
        <v>15920</v>
      </c>
      <c r="H627" s="310"/>
      <c r="I627" s="310"/>
      <c r="J627" s="634"/>
      <c r="K627" s="346"/>
      <c r="L627" s="634">
        <f>F627+250</f>
        <v>16170</v>
      </c>
      <c r="M627" s="346">
        <f t="shared" ref="M627" si="1651">+L627*$X$1</f>
        <v>16170</v>
      </c>
      <c r="N627" s="634">
        <f>F627+100</f>
        <v>16020</v>
      </c>
      <c r="O627" s="346">
        <f t="shared" ref="O627" si="1652">+N627*$X$1</f>
        <v>16020</v>
      </c>
      <c r="P627" s="634">
        <f>F627+80</f>
        <v>16000</v>
      </c>
      <c r="Q627" s="346">
        <f t="shared" ref="Q627" si="1653">+P627*$X$1</f>
        <v>16000</v>
      </c>
      <c r="R627" s="634">
        <f>F627+60</f>
        <v>15980</v>
      </c>
      <c r="S627" s="346">
        <f t="shared" ref="S627" si="1654">+R627*$X$1</f>
        <v>15980</v>
      </c>
      <c r="T627" s="634">
        <f>F627+50</f>
        <v>15970</v>
      </c>
      <c r="U627" s="346">
        <f t="shared" ref="U627" si="1655">+T627*$X$1</f>
        <v>15970</v>
      </c>
      <c r="V627" s="634"/>
      <c r="W627" s="346"/>
      <c r="X627" s="165"/>
      <c r="Y627" s="165"/>
      <c r="Z627" s="165"/>
      <c r="AA627" s="165"/>
      <c r="AB627" s="558" t="s">
        <v>502</v>
      </c>
    </row>
    <row r="628" spans="1:34" ht="12.6" customHeight="1" x14ac:dyDescent="0.2">
      <c r="A628" s="219"/>
      <c r="B628" s="702" t="s">
        <v>638</v>
      </c>
      <c r="C628" s="703"/>
      <c r="D628" s="703"/>
      <c r="E628" s="703"/>
      <c r="F628" s="401">
        <v>21780</v>
      </c>
      <c r="G628" s="345">
        <f t="shared" ref="G628:G629" si="1656">+F628*$X$1</f>
        <v>21780</v>
      </c>
      <c r="H628" s="383">
        <f>F628+2400</f>
        <v>24180</v>
      </c>
      <c r="I628" s="345">
        <f t="shared" ref="I628" si="1657">+H628*$X$1</f>
        <v>24180</v>
      </c>
      <c r="J628" s="383">
        <f t="shared" si="1647"/>
        <v>22280</v>
      </c>
      <c r="K628" s="345">
        <f t="shared" si="1648"/>
        <v>22280</v>
      </c>
      <c r="L628" s="383">
        <f>F628+250</f>
        <v>22030</v>
      </c>
      <c r="M628" s="345">
        <f t="shared" ref="M628:M629" si="1658">+L628*$X$1</f>
        <v>22030</v>
      </c>
      <c r="N628" s="383">
        <f>F628+100</f>
        <v>21880</v>
      </c>
      <c r="O628" s="345">
        <f t="shared" ref="O628:O629" si="1659">+N628*$X$1</f>
        <v>21880</v>
      </c>
      <c r="P628" s="383">
        <f>F628+80</f>
        <v>21860</v>
      </c>
      <c r="Q628" s="345">
        <f t="shared" ref="Q628:Q629" si="1660">+P628*$X$1</f>
        <v>21860</v>
      </c>
      <c r="R628" s="383">
        <f>F628+60</f>
        <v>21840</v>
      </c>
      <c r="S628" s="345">
        <f t="shared" ref="S628:S629" si="1661">+R628*$X$1</f>
        <v>21840</v>
      </c>
      <c r="T628" s="383">
        <f>F628+50</f>
        <v>21830</v>
      </c>
      <c r="U628" s="345">
        <f t="shared" ref="U628:U634" si="1662">+T628*$X$1</f>
        <v>21830</v>
      </c>
      <c r="V628" s="383"/>
      <c r="W628" s="345"/>
      <c r="X628" s="374"/>
      <c r="Y628" s="374"/>
      <c r="Z628" s="374"/>
      <c r="AA628" s="374"/>
      <c r="AB628" s="558" t="s">
        <v>640</v>
      </c>
    </row>
    <row r="629" spans="1:34" ht="12.6" customHeight="1" x14ac:dyDescent="0.2">
      <c r="A629" s="219"/>
      <c r="B629" s="700" t="s">
        <v>913</v>
      </c>
      <c r="C629" s="701"/>
      <c r="D629" s="701"/>
      <c r="E629" s="701"/>
      <c r="F629" s="400">
        <v>16570</v>
      </c>
      <c r="G629" s="346">
        <f t="shared" si="1656"/>
        <v>16570</v>
      </c>
      <c r="H629" s="685">
        <f>F629+2400</f>
        <v>18970</v>
      </c>
      <c r="I629" s="346">
        <f t="shared" ref="I629" si="1663">+H629*$X$1</f>
        <v>18970</v>
      </c>
      <c r="J629" s="685">
        <f t="shared" ref="J629" si="1664">F629+500</f>
        <v>17070</v>
      </c>
      <c r="K629" s="346">
        <f t="shared" ref="K629" si="1665">+J629*$X$1</f>
        <v>17070</v>
      </c>
      <c r="L629" s="685">
        <f>F629+250</f>
        <v>16820</v>
      </c>
      <c r="M629" s="346">
        <f t="shared" si="1658"/>
        <v>16820</v>
      </c>
      <c r="N629" s="685">
        <f>F629+100</f>
        <v>16670</v>
      </c>
      <c r="O629" s="346">
        <f t="shared" si="1659"/>
        <v>16670</v>
      </c>
      <c r="P629" s="685">
        <f>F629+80</f>
        <v>16650</v>
      </c>
      <c r="Q629" s="346">
        <f t="shared" si="1660"/>
        <v>16650</v>
      </c>
      <c r="R629" s="685">
        <f>F629+60</f>
        <v>16630</v>
      </c>
      <c r="S629" s="346">
        <f t="shared" si="1661"/>
        <v>16630</v>
      </c>
      <c r="T629" s="685">
        <f>F629+50</f>
        <v>16620</v>
      </c>
      <c r="U629" s="346">
        <f t="shared" si="1662"/>
        <v>16620</v>
      </c>
      <c r="V629" s="685"/>
      <c r="W629" s="346"/>
      <c r="X629" s="687"/>
      <c r="Y629" s="687"/>
      <c r="Z629" s="687"/>
      <c r="AA629" s="687"/>
      <c r="AB629" s="558" t="s">
        <v>914</v>
      </c>
    </row>
    <row r="630" spans="1:34" ht="12.6" customHeight="1" x14ac:dyDescent="0.2">
      <c r="A630" s="219"/>
      <c r="B630" s="702" t="s">
        <v>498</v>
      </c>
      <c r="C630" s="703"/>
      <c r="D630" s="703"/>
      <c r="E630" s="703"/>
      <c r="F630" s="401">
        <v>16540</v>
      </c>
      <c r="G630" s="345">
        <f t="shared" si="1650"/>
        <v>16540</v>
      </c>
      <c r="H630" s="313"/>
      <c r="I630" s="313"/>
      <c r="J630" s="383">
        <f t="shared" si="1647"/>
        <v>17040</v>
      </c>
      <c r="K630" s="345">
        <f t="shared" ref="K630:K634" si="1666">+J630*$X$1</f>
        <v>17040</v>
      </c>
      <c r="L630" s="108">
        <f>F630+410</f>
        <v>16950</v>
      </c>
      <c r="M630" s="372">
        <f>+L630*$X$1</f>
        <v>16950</v>
      </c>
      <c r="N630" s="108">
        <f>F630+370</f>
        <v>16910</v>
      </c>
      <c r="O630" s="372">
        <f>+N630*$X$1</f>
        <v>16910</v>
      </c>
      <c r="P630" s="108">
        <f>F630+330</f>
        <v>16870</v>
      </c>
      <c r="Q630" s="372">
        <f>+P630*$X$1</f>
        <v>16870</v>
      </c>
      <c r="R630" s="108">
        <f>F630+290</f>
        <v>16830</v>
      </c>
      <c r="S630" s="372">
        <f>+R630*$X$1</f>
        <v>16830</v>
      </c>
      <c r="T630" s="383">
        <f>F630+240</f>
        <v>16780</v>
      </c>
      <c r="U630" s="345">
        <f t="shared" si="1662"/>
        <v>16780</v>
      </c>
      <c r="V630" s="376"/>
      <c r="W630" s="345"/>
      <c r="X630" s="165"/>
      <c r="Y630" s="165"/>
      <c r="Z630" s="165"/>
      <c r="AA630" s="165"/>
      <c r="AB630" s="558" t="s">
        <v>501</v>
      </c>
    </row>
    <row r="631" spans="1:34" ht="12.6" customHeight="1" x14ac:dyDescent="0.2">
      <c r="A631" s="219"/>
      <c r="B631" s="951" t="s">
        <v>641</v>
      </c>
      <c r="C631" s="952"/>
      <c r="D631" s="952"/>
      <c r="E631" s="952"/>
      <c r="F631" s="485">
        <f>12.4*X2</f>
        <v>11408</v>
      </c>
      <c r="G631" s="410">
        <f t="shared" ref="G631" si="1667">+F631*$X$1</f>
        <v>11408</v>
      </c>
      <c r="H631" s="311"/>
      <c r="I631" s="311"/>
      <c r="J631" s="680">
        <f t="shared" si="1647"/>
        <v>11908</v>
      </c>
      <c r="K631" s="410">
        <f t="shared" si="1666"/>
        <v>11908</v>
      </c>
      <c r="L631" s="122">
        <f>F631+410</f>
        <v>11818</v>
      </c>
      <c r="M631" s="411">
        <f>+L631*$X$1</f>
        <v>11818</v>
      </c>
      <c r="N631" s="122">
        <f>F631+370</f>
        <v>11778</v>
      </c>
      <c r="O631" s="411">
        <f>+N631*$X$1</f>
        <v>11778</v>
      </c>
      <c r="P631" s="122">
        <f>F631+330</f>
        <v>11738</v>
      </c>
      <c r="Q631" s="411">
        <f>+P631*$X$1</f>
        <v>11738</v>
      </c>
      <c r="R631" s="122">
        <f>F631+290</f>
        <v>11698</v>
      </c>
      <c r="S631" s="411">
        <f>+R631*$X$1</f>
        <v>11698</v>
      </c>
      <c r="T631" s="680">
        <f>F631+240</f>
        <v>11648</v>
      </c>
      <c r="U631" s="410">
        <f t="shared" si="1662"/>
        <v>11648</v>
      </c>
      <c r="V631" s="682"/>
      <c r="W631" s="410"/>
      <c r="X631" s="377"/>
      <c r="Y631" s="377"/>
      <c r="Z631" s="377"/>
      <c r="AA631" s="377"/>
      <c r="AB631" s="558" t="s">
        <v>799</v>
      </c>
    </row>
    <row r="632" spans="1:34" ht="12.6" customHeight="1" x14ac:dyDescent="0.2">
      <c r="A632" s="219"/>
      <c r="B632" s="702" t="s">
        <v>553</v>
      </c>
      <c r="C632" s="703"/>
      <c r="D632" s="703"/>
      <c r="E632" s="703"/>
      <c r="F632" s="481">
        <f>8.7*X2</f>
        <v>8003.9999999999991</v>
      </c>
      <c r="G632" s="345">
        <f t="shared" si="1650"/>
        <v>8003.9999999999991</v>
      </c>
      <c r="H632" s="313"/>
      <c r="I632" s="313"/>
      <c r="J632" s="383">
        <f t="shared" si="1647"/>
        <v>8504</v>
      </c>
      <c r="K632" s="345">
        <f t="shared" si="1666"/>
        <v>8504</v>
      </c>
      <c r="L632" s="108">
        <f>F632+410</f>
        <v>8414</v>
      </c>
      <c r="M632" s="372">
        <f>+L632*$X$1</f>
        <v>8414</v>
      </c>
      <c r="N632" s="108">
        <f>F632+370</f>
        <v>8374</v>
      </c>
      <c r="O632" s="372">
        <f>+N632*$X$1</f>
        <v>8374</v>
      </c>
      <c r="P632" s="108">
        <f>F632+330</f>
        <v>8334</v>
      </c>
      <c r="Q632" s="372">
        <f>+P632*$X$1</f>
        <v>8334</v>
      </c>
      <c r="R632" s="108">
        <f>F632+290</f>
        <v>8294</v>
      </c>
      <c r="S632" s="372">
        <f>+R632*$X$1</f>
        <v>8294</v>
      </c>
      <c r="T632" s="383">
        <f>F632+240</f>
        <v>8244</v>
      </c>
      <c r="U632" s="345">
        <f t="shared" si="1662"/>
        <v>8244</v>
      </c>
      <c r="V632" s="383"/>
      <c r="W632" s="345"/>
      <c r="X632" s="165"/>
      <c r="Y632" s="165"/>
      <c r="Z632" s="165"/>
      <c r="AA632" s="165"/>
      <c r="AB632" s="558" t="s">
        <v>767</v>
      </c>
    </row>
    <row r="633" spans="1:34" ht="12.6" customHeight="1" x14ac:dyDescent="0.2">
      <c r="A633" s="219"/>
      <c r="B633" s="911" t="s">
        <v>802</v>
      </c>
      <c r="C633" s="800"/>
      <c r="D633" s="800"/>
      <c r="E633" s="800"/>
      <c r="F633" s="482">
        <f>14.53*X2</f>
        <v>13367.599999999999</v>
      </c>
      <c r="G633" s="346">
        <f t="shared" ref="G633" si="1668">+F633*$X$1</f>
        <v>13367.599999999999</v>
      </c>
      <c r="H633" s="310"/>
      <c r="I633" s="310"/>
      <c r="J633" s="685">
        <f t="shared" si="1647"/>
        <v>13867.599999999999</v>
      </c>
      <c r="K633" s="346">
        <f t="shared" si="1666"/>
        <v>13867.599999999999</v>
      </c>
      <c r="L633" s="107">
        <f>F633+410</f>
        <v>13777.599999999999</v>
      </c>
      <c r="M633" s="388">
        <f>+L633*$X$1</f>
        <v>13777.599999999999</v>
      </c>
      <c r="N633" s="107">
        <f>F633+370</f>
        <v>13737.599999999999</v>
      </c>
      <c r="O633" s="388">
        <f>+N633*$X$1</f>
        <v>13737.599999999999</v>
      </c>
      <c r="P633" s="107">
        <f>F633+330</f>
        <v>13697.599999999999</v>
      </c>
      <c r="Q633" s="388">
        <f>+P633*$X$1</f>
        <v>13697.599999999999</v>
      </c>
      <c r="R633" s="107">
        <f>F633+290</f>
        <v>13657.599999999999</v>
      </c>
      <c r="S633" s="388">
        <f>+R633*$X$1</f>
        <v>13657.599999999999</v>
      </c>
      <c r="T633" s="685">
        <f>F633+240</f>
        <v>13607.599999999999</v>
      </c>
      <c r="U633" s="346">
        <f t="shared" si="1662"/>
        <v>13607.599999999999</v>
      </c>
      <c r="V633" s="685"/>
      <c r="W633" s="346"/>
      <c r="X633" s="505"/>
      <c r="Y633" s="505"/>
      <c r="Z633" s="505"/>
      <c r="AA633" s="505"/>
      <c r="AB633" s="558" t="s">
        <v>768</v>
      </c>
    </row>
    <row r="634" spans="1:34" ht="12.6" customHeight="1" x14ac:dyDescent="0.2">
      <c r="A634" s="219"/>
      <c r="B634" s="702" t="s">
        <v>552</v>
      </c>
      <c r="C634" s="703"/>
      <c r="D634" s="703"/>
      <c r="E634" s="703"/>
      <c r="F634" s="481">
        <f>10.53*X2</f>
        <v>9687.5999999999985</v>
      </c>
      <c r="G634" s="345">
        <f t="shared" ref="G634" si="1669">+F634*$X$1</f>
        <v>9687.5999999999985</v>
      </c>
      <c r="H634" s="313"/>
      <c r="I634" s="313"/>
      <c r="J634" s="383">
        <f t="shared" si="1647"/>
        <v>10187.599999999999</v>
      </c>
      <c r="K634" s="345">
        <f t="shared" si="1666"/>
        <v>10187.599999999999</v>
      </c>
      <c r="L634" s="108">
        <f>F634+410</f>
        <v>10097.599999999999</v>
      </c>
      <c r="M634" s="372">
        <f>+L634*$X$1</f>
        <v>10097.599999999999</v>
      </c>
      <c r="N634" s="108">
        <f>F634+370</f>
        <v>10057.599999999999</v>
      </c>
      <c r="O634" s="372">
        <f>+N634*$X$1</f>
        <v>10057.599999999999</v>
      </c>
      <c r="P634" s="108">
        <f>F634+330</f>
        <v>10017.599999999999</v>
      </c>
      <c r="Q634" s="372">
        <f>+P634*$X$1</f>
        <v>10017.599999999999</v>
      </c>
      <c r="R634" s="108">
        <f>F634+290</f>
        <v>9977.5999999999985</v>
      </c>
      <c r="S634" s="372">
        <f>+R634*$X$1</f>
        <v>9977.5999999999985</v>
      </c>
      <c r="T634" s="383">
        <f>F634+240</f>
        <v>9927.5999999999985</v>
      </c>
      <c r="U634" s="345">
        <f t="shared" si="1662"/>
        <v>9927.5999999999985</v>
      </c>
      <c r="V634" s="383"/>
      <c r="W634" s="345"/>
      <c r="X634" s="165"/>
      <c r="Y634" s="165"/>
      <c r="Z634" s="165"/>
      <c r="AA634" s="165"/>
      <c r="AB634" s="558" t="s">
        <v>769</v>
      </c>
    </row>
    <row r="635" spans="1:34" ht="12.6" customHeight="1" x14ac:dyDescent="0.2">
      <c r="A635" s="219"/>
      <c r="B635" s="115"/>
      <c r="C635" s="564"/>
      <c r="D635" s="564"/>
      <c r="E635" s="564"/>
      <c r="F635" s="570"/>
      <c r="G635" s="406"/>
      <c r="H635" s="127"/>
      <c r="I635" s="406"/>
      <c r="J635" s="127"/>
      <c r="K635" s="406"/>
      <c r="L635" s="127"/>
      <c r="M635" s="406"/>
      <c r="N635" s="127"/>
      <c r="O635" s="406"/>
      <c r="P635" s="127"/>
      <c r="Q635" s="406"/>
      <c r="R635" s="127"/>
      <c r="S635" s="406"/>
      <c r="T635" s="127"/>
      <c r="U635" s="406"/>
      <c r="V635" s="79"/>
      <c r="W635" s="567"/>
      <c r="X635" s="565"/>
      <c r="Y635" s="565"/>
      <c r="Z635" s="565"/>
      <c r="AA635" s="565"/>
      <c r="AB635" s="571"/>
    </row>
    <row r="636" spans="1:34" ht="12.6" customHeight="1" x14ac:dyDescent="0.2">
      <c r="A636" s="219"/>
      <c r="B636" s="115"/>
      <c r="C636" s="688"/>
      <c r="D636" s="688"/>
      <c r="E636" s="688"/>
      <c r="F636" s="570"/>
      <c r="G636" s="406"/>
      <c r="H636" s="127"/>
      <c r="I636" s="406"/>
      <c r="J636" s="127"/>
      <c r="K636" s="406"/>
      <c r="L636" s="127"/>
      <c r="M636" s="406"/>
      <c r="N636" s="127"/>
      <c r="O636" s="406"/>
      <c r="P636" s="127"/>
      <c r="Q636" s="406"/>
      <c r="R636" s="127"/>
      <c r="S636" s="406"/>
      <c r="T636" s="127"/>
      <c r="U636" s="406"/>
      <c r="V636" s="79"/>
      <c r="W636" s="684"/>
      <c r="X636" s="686"/>
      <c r="Y636" s="686"/>
      <c r="Z636" s="686"/>
      <c r="AA636" s="686"/>
      <c r="AB636" s="571"/>
    </row>
    <row r="637" spans="1:34" ht="12.6" customHeight="1" x14ac:dyDescent="0.2">
      <c r="A637" s="219"/>
      <c r="B637" s="115"/>
      <c r="C637" s="688"/>
      <c r="D637" s="688"/>
      <c r="E637" s="688"/>
      <c r="F637" s="570"/>
      <c r="G637" s="406"/>
      <c r="H637" s="127"/>
      <c r="I637" s="406"/>
      <c r="J637" s="127"/>
      <c r="K637" s="406"/>
      <c r="L637" s="127"/>
      <c r="M637" s="406"/>
      <c r="N637" s="127"/>
      <c r="O637" s="406"/>
      <c r="P637" s="127"/>
      <c r="Q637" s="406"/>
      <c r="R637" s="127"/>
      <c r="S637" s="406"/>
      <c r="T637" s="127"/>
      <c r="U637" s="406"/>
      <c r="V637" s="79"/>
      <c r="W637" s="684"/>
      <c r="X637" s="686"/>
      <c r="Y637" s="686"/>
      <c r="Z637" s="686"/>
      <c r="AA637" s="686"/>
      <c r="AB637" s="571"/>
    </row>
    <row r="638" spans="1:34" ht="12.6" customHeight="1" thickBot="1" x14ac:dyDescent="0.25">
      <c r="A638" s="219"/>
      <c r="B638" s="115"/>
      <c r="C638" s="564"/>
      <c r="D638" s="564"/>
      <c r="E638" s="564"/>
      <c r="F638" s="570"/>
      <c r="G638" s="406"/>
      <c r="H638" s="127"/>
      <c r="I638" s="406"/>
      <c r="J638" s="127"/>
      <c r="K638" s="406"/>
      <c r="L638" s="127"/>
      <c r="M638" s="406"/>
      <c r="N638" s="127"/>
      <c r="O638" s="406"/>
      <c r="P638" s="127"/>
      <c r="Q638" s="406"/>
      <c r="R638" s="127"/>
      <c r="S638" s="406"/>
      <c r="T638" s="127"/>
      <c r="U638" s="406"/>
      <c r="V638" s="79"/>
      <c r="W638" s="567"/>
      <c r="X638" s="565"/>
      <c r="Y638" s="565"/>
      <c r="Z638" s="565"/>
      <c r="AA638" s="565"/>
      <c r="AB638" s="571"/>
    </row>
    <row r="639" spans="1:34" ht="20.25" customHeight="1" thickBot="1" x14ac:dyDescent="0.25">
      <c r="A639" s="30"/>
      <c r="B639" s="1195" t="s">
        <v>358</v>
      </c>
      <c r="C639" s="1196"/>
      <c r="D639" s="1196"/>
      <c r="E639" s="1196"/>
      <c r="F639" s="1196"/>
      <c r="G639" s="1196"/>
      <c r="H639" s="1196"/>
      <c r="I639" s="1196"/>
      <c r="J639" s="1196"/>
      <c r="K639" s="1196"/>
      <c r="L639" s="1196"/>
      <c r="M639" s="1196"/>
      <c r="N639" s="1196"/>
      <c r="O639" s="1196"/>
      <c r="P639" s="1196"/>
      <c r="Q639" s="1196"/>
      <c r="R639" s="1196"/>
      <c r="S639" s="1196"/>
      <c r="T639" s="1196"/>
      <c r="U639" s="1196"/>
      <c r="V639" s="1196"/>
      <c r="W639" s="1197"/>
      <c r="AF639" s="752"/>
      <c r="AG639" s="753"/>
      <c r="AH639" s="753"/>
    </row>
    <row r="640" spans="1:34" ht="12.6" customHeight="1" x14ac:dyDescent="0.2">
      <c r="A640" s="20"/>
      <c r="B640" s="956"/>
      <c r="C640" s="957"/>
      <c r="D640" s="957"/>
      <c r="E640" s="957"/>
      <c r="F640" s="957"/>
      <c r="G640" s="958"/>
      <c r="H640" s="356"/>
      <c r="I640" s="357" t="s">
        <v>311</v>
      </c>
      <c r="J640" s="357"/>
      <c r="K640" s="357" t="s">
        <v>18</v>
      </c>
      <c r="L640" s="357"/>
      <c r="M640" s="357" t="s">
        <v>19</v>
      </c>
      <c r="N640" s="357"/>
      <c r="O640" s="357" t="s">
        <v>20</v>
      </c>
      <c r="P640" s="357"/>
      <c r="Q640" s="357" t="s">
        <v>313</v>
      </c>
      <c r="R640" s="357"/>
      <c r="S640" s="357" t="s">
        <v>21</v>
      </c>
      <c r="T640" s="357"/>
      <c r="U640" s="357" t="s">
        <v>22</v>
      </c>
      <c r="V640" s="357"/>
      <c r="W640" s="358" t="s">
        <v>23</v>
      </c>
    </row>
    <row r="641" spans="1:35" ht="12.6" customHeight="1" x14ac:dyDescent="0.2">
      <c r="A641" s="944"/>
      <c r="B641" s="1226" t="s">
        <v>604</v>
      </c>
      <c r="C641" s="1227"/>
      <c r="D641" s="1227"/>
      <c r="E641" s="1227"/>
      <c r="F641" s="1227"/>
      <c r="G641" s="1228"/>
      <c r="H641" s="354"/>
      <c r="I641" s="508"/>
      <c r="J641" s="509"/>
      <c r="K641" s="456"/>
      <c r="L641" s="353">
        <v>50</v>
      </c>
      <c r="M641" s="456">
        <f>+L641*$X$1</f>
        <v>50</v>
      </c>
      <c r="N641" s="507">
        <v>40</v>
      </c>
      <c r="O641" s="456">
        <f>+N641*$X$1</f>
        <v>40</v>
      </c>
      <c r="P641" s="507">
        <v>35</v>
      </c>
      <c r="Q641" s="456">
        <f>+P641*$X$1</f>
        <v>35</v>
      </c>
      <c r="R641" s="507">
        <v>31</v>
      </c>
      <c r="S641" s="456">
        <f>+R641*$X$1</f>
        <v>31</v>
      </c>
      <c r="T641" s="507">
        <v>28</v>
      </c>
      <c r="U641" s="457">
        <f>+T641*$X$1</f>
        <v>28</v>
      </c>
      <c r="V641" s="507">
        <v>25</v>
      </c>
      <c r="W641" s="458">
        <f>+V641*$X$1</f>
        <v>25</v>
      </c>
    </row>
    <row r="642" spans="1:35" ht="12.6" customHeight="1" x14ac:dyDescent="0.2">
      <c r="A642" s="944"/>
      <c r="B642" s="1069" t="s">
        <v>359</v>
      </c>
      <c r="C642" s="1070"/>
      <c r="D642" s="1070"/>
      <c r="E642" s="1070"/>
      <c r="F642" s="1070"/>
      <c r="G642" s="1071"/>
      <c r="H642" s="79"/>
      <c r="I642" s="510"/>
      <c r="J642" s="511">
        <v>120</v>
      </c>
      <c r="K642" s="459">
        <f>+J642*$X$1</f>
        <v>120</v>
      </c>
      <c r="L642" s="512">
        <v>90</v>
      </c>
      <c r="M642" s="513">
        <f>+L642*$X$1</f>
        <v>90</v>
      </c>
      <c r="N642" s="120">
        <v>70</v>
      </c>
      <c r="O642" s="513">
        <f>+N642*$X$1</f>
        <v>70</v>
      </c>
      <c r="P642" s="120">
        <v>60</v>
      </c>
      <c r="Q642" s="513">
        <f>+P642*$X$1</f>
        <v>60</v>
      </c>
      <c r="R642" s="120">
        <v>50</v>
      </c>
      <c r="S642" s="513">
        <f>+R642*$X$1</f>
        <v>50</v>
      </c>
      <c r="T642" s="120">
        <v>45</v>
      </c>
      <c r="U642" s="513">
        <f>+T642*$X$1</f>
        <v>45</v>
      </c>
      <c r="V642" s="120">
        <v>40</v>
      </c>
      <c r="W642" s="514">
        <f>+V642*$X$1</f>
        <v>40</v>
      </c>
    </row>
    <row r="643" spans="1:35" ht="12.6" customHeight="1" x14ac:dyDescent="0.2">
      <c r="A643" s="944"/>
      <c r="B643" s="1226" t="s">
        <v>605</v>
      </c>
      <c r="C643" s="1227"/>
      <c r="D643" s="1227"/>
      <c r="E643" s="1227"/>
      <c r="F643" s="1227"/>
      <c r="G643" s="1228"/>
      <c r="H643" s="353"/>
      <c r="I643" s="456"/>
      <c r="J643" s="353"/>
      <c r="K643" s="456"/>
      <c r="L643" s="353">
        <v>75</v>
      </c>
      <c r="M643" s="456">
        <f>+L643*$X$1</f>
        <v>75</v>
      </c>
      <c r="N643" s="507">
        <v>60</v>
      </c>
      <c r="O643" s="456">
        <f>+N643*$X$1</f>
        <v>60</v>
      </c>
      <c r="P643" s="507">
        <v>55</v>
      </c>
      <c r="Q643" s="456">
        <f>+P643*$X$1</f>
        <v>55</v>
      </c>
      <c r="R643" s="507">
        <v>50</v>
      </c>
      <c r="S643" s="456">
        <f>+R643*$X$1</f>
        <v>50</v>
      </c>
      <c r="T643" s="507">
        <v>46</v>
      </c>
      <c r="U643" s="457">
        <f>+T643*$X$1</f>
        <v>46</v>
      </c>
      <c r="V643" s="507">
        <v>42</v>
      </c>
      <c r="W643" s="458">
        <f>+V643*$X$1</f>
        <v>42</v>
      </c>
    </row>
    <row r="644" spans="1:35" ht="12.6" customHeight="1" x14ac:dyDescent="0.2">
      <c r="A644" s="944"/>
      <c r="B644" s="1235" t="s">
        <v>603</v>
      </c>
      <c r="C644" s="1236"/>
      <c r="D644" s="1236"/>
      <c r="E644" s="1236"/>
      <c r="F644" s="1236"/>
      <c r="G644" s="1237"/>
      <c r="H644" s="515">
        <v>290</v>
      </c>
      <c r="I644" s="459">
        <f>+H644*$X$1</f>
        <v>290</v>
      </c>
      <c r="J644" s="515">
        <v>150</v>
      </c>
      <c r="K644" s="459">
        <f>+J644*$X$1</f>
        <v>150</v>
      </c>
      <c r="L644" s="515">
        <v>120</v>
      </c>
      <c r="M644" s="459">
        <f>+L644*$X$1</f>
        <v>120</v>
      </c>
      <c r="N644" s="383">
        <v>100</v>
      </c>
      <c r="O644" s="459">
        <f>+N644*$X$1</f>
        <v>100</v>
      </c>
      <c r="P644" s="383">
        <v>85</v>
      </c>
      <c r="Q644" s="459">
        <f>+P644*$X$1</f>
        <v>85</v>
      </c>
      <c r="R644" s="383">
        <v>78</v>
      </c>
      <c r="S644" s="459">
        <f>+R644*$X$1</f>
        <v>78</v>
      </c>
      <c r="T644" s="383">
        <v>73</v>
      </c>
      <c r="U644" s="513">
        <f>+T644*$X$1</f>
        <v>73</v>
      </c>
      <c r="V644" s="383">
        <v>68</v>
      </c>
      <c r="W644" s="516">
        <f>+V644*$X$1</f>
        <v>68</v>
      </c>
    </row>
    <row r="645" spans="1:35" ht="12.75" customHeight="1" thickBot="1" x14ac:dyDescent="0.25">
      <c r="A645" s="944"/>
      <c r="B645" s="1218" t="s">
        <v>606</v>
      </c>
      <c r="C645" s="1219"/>
      <c r="D645" s="1219"/>
      <c r="E645" s="1219"/>
      <c r="F645" s="1219"/>
      <c r="G645" s="1219"/>
      <c r="H645" s="1219"/>
      <c r="I645" s="1219"/>
      <c r="J645" s="1219"/>
      <c r="K645" s="1219"/>
      <c r="L645" s="1219"/>
      <c r="M645" s="1219"/>
      <c r="N645" s="1219"/>
      <c r="O645" s="1219"/>
      <c r="P645" s="1219"/>
      <c r="Q645" s="1219"/>
      <c r="R645" s="1219"/>
      <c r="S645" s="1219"/>
      <c r="T645" s="1219"/>
      <c r="U645" s="1219"/>
      <c r="V645" s="1219"/>
      <c r="W645" s="1220"/>
    </row>
    <row r="646" spans="1:35" ht="13.5" customHeight="1" x14ac:dyDescent="0.2">
      <c r="A646" s="944"/>
      <c r="B646" s="1198" t="s">
        <v>686</v>
      </c>
      <c r="C646" s="1199"/>
      <c r="D646" s="1199"/>
      <c r="E646" s="1199"/>
      <c r="F646" s="1199"/>
      <c r="G646" s="1200"/>
      <c r="H646" s="1072"/>
      <c r="I646" s="959" t="s">
        <v>311</v>
      </c>
      <c r="J646" s="1072"/>
      <c r="K646" s="959" t="s">
        <v>18</v>
      </c>
      <c r="L646" s="959"/>
      <c r="M646" s="959" t="s">
        <v>19</v>
      </c>
      <c r="N646" s="959"/>
      <c r="O646" s="959" t="s">
        <v>20</v>
      </c>
      <c r="P646" s="959"/>
      <c r="Q646" s="959" t="s">
        <v>313</v>
      </c>
      <c r="R646" s="959"/>
      <c r="S646" s="959" t="s">
        <v>21</v>
      </c>
      <c r="T646" s="959"/>
      <c r="U646" s="959" t="s">
        <v>22</v>
      </c>
      <c r="V646" s="959"/>
      <c r="W646" s="1232" t="s">
        <v>23</v>
      </c>
    </row>
    <row r="647" spans="1:35" ht="11.25" customHeight="1" x14ac:dyDescent="0.2">
      <c r="A647" s="944"/>
      <c r="B647" s="1201"/>
      <c r="C647" s="1053"/>
      <c r="D647" s="1053"/>
      <c r="E647" s="1053"/>
      <c r="F647" s="1053"/>
      <c r="G647" s="1202"/>
      <c r="H647" s="1073"/>
      <c r="I647" s="1234"/>
      <c r="J647" s="1073"/>
      <c r="K647" s="1234"/>
      <c r="L647" s="960"/>
      <c r="M647" s="960"/>
      <c r="N647" s="960"/>
      <c r="O647" s="960"/>
      <c r="P647" s="960"/>
      <c r="Q647" s="960"/>
      <c r="R647" s="960"/>
      <c r="S647" s="960"/>
      <c r="T647" s="960"/>
      <c r="U647" s="960"/>
      <c r="V647" s="960"/>
      <c r="W647" s="1233"/>
      <c r="AB647" s="63"/>
      <c r="AC647" s="63"/>
      <c r="AD647" s="63"/>
      <c r="AE647" s="63"/>
      <c r="AF647" s="63"/>
      <c r="AG647" s="63"/>
      <c r="AH647" s="63"/>
      <c r="AI647" s="63"/>
    </row>
    <row r="648" spans="1:35" ht="12.6" customHeight="1" x14ac:dyDescent="0.2">
      <c r="A648" s="944"/>
      <c r="B648" s="948" t="s">
        <v>684</v>
      </c>
      <c r="C648" s="949"/>
      <c r="D648" s="949"/>
      <c r="E648" s="949"/>
      <c r="F648" s="949"/>
      <c r="G648" s="950"/>
      <c r="H648" s="355">
        <v>510</v>
      </c>
      <c r="I648" s="460">
        <f>+H648*$X$1</f>
        <v>510</v>
      </c>
      <c r="J648" s="93">
        <v>410</v>
      </c>
      <c r="K648" s="460">
        <f>+J648*$X$1</f>
        <v>410</v>
      </c>
      <c r="L648" s="507">
        <v>360</v>
      </c>
      <c r="M648" s="456">
        <f>+L648*$X$1</f>
        <v>360</v>
      </c>
      <c r="N648" s="507">
        <v>320</v>
      </c>
      <c r="O648" s="456">
        <f>+N648*$X$1</f>
        <v>320</v>
      </c>
      <c r="P648" s="507">
        <v>270</v>
      </c>
      <c r="Q648" s="456">
        <f>+P648*$X$1</f>
        <v>270</v>
      </c>
      <c r="R648" s="507">
        <v>250</v>
      </c>
      <c r="S648" s="456">
        <f>+R648*$X$1</f>
        <v>250</v>
      </c>
      <c r="T648" s="507">
        <v>230</v>
      </c>
      <c r="U648" s="456">
        <f>+T648*$X$1</f>
        <v>230</v>
      </c>
      <c r="V648" s="507">
        <v>220</v>
      </c>
      <c r="W648" s="458">
        <f>+V648*$X$1</f>
        <v>220</v>
      </c>
    </row>
    <row r="649" spans="1:35" ht="12.6" customHeight="1" x14ac:dyDescent="0.2">
      <c r="A649" s="944"/>
      <c r="B649" s="945" t="s">
        <v>681</v>
      </c>
      <c r="C649" s="946"/>
      <c r="D649" s="946"/>
      <c r="E649" s="946"/>
      <c r="F649" s="946"/>
      <c r="G649" s="947"/>
      <c r="H649" s="96">
        <v>570</v>
      </c>
      <c r="I649" s="518">
        <f>+H649*$X$1</f>
        <v>570</v>
      </c>
      <c r="J649" s="75">
        <v>480</v>
      </c>
      <c r="K649" s="518">
        <f>+J649*$X$1</f>
        <v>480</v>
      </c>
      <c r="L649" s="383">
        <v>450</v>
      </c>
      <c r="M649" s="459">
        <f>+L649*$X$1</f>
        <v>450</v>
      </c>
      <c r="N649" s="383">
        <v>410</v>
      </c>
      <c r="O649" s="459">
        <f>+N649*$X$1</f>
        <v>410</v>
      </c>
      <c r="P649" s="383">
        <v>380</v>
      </c>
      <c r="Q649" s="459">
        <f>+P649*$X$1</f>
        <v>380</v>
      </c>
      <c r="R649" s="383">
        <v>350</v>
      </c>
      <c r="S649" s="459">
        <f>+R649*$X$1</f>
        <v>350</v>
      </c>
      <c r="T649" s="383">
        <v>330</v>
      </c>
      <c r="U649" s="459">
        <f>+T649*$X$1</f>
        <v>330</v>
      </c>
      <c r="V649" s="383">
        <v>310</v>
      </c>
      <c r="W649" s="516">
        <f>+V649*$X$1</f>
        <v>310</v>
      </c>
    </row>
    <row r="650" spans="1:35" ht="12.6" customHeight="1" x14ac:dyDescent="0.2">
      <c r="A650" s="944"/>
      <c r="B650" s="948" t="s">
        <v>683</v>
      </c>
      <c r="C650" s="949"/>
      <c r="D650" s="949"/>
      <c r="E650" s="949"/>
      <c r="F650" s="949"/>
      <c r="G650" s="950"/>
      <c r="H650" s="355">
        <v>780</v>
      </c>
      <c r="I650" s="460">
        <f>+H650*$X$1</f>
        <v>780</v>
      </c>
      <c r="J650" s="93">
        <v>700</v>
      </c>
      <c r="K650" s="460">
        <f>+J650*$X$1</f>
        <v>700</v>
      </c>
      <c r="L650" s="507">
        <v>600</v>
      </c>
      <c r="M650" s="456">
        <f>+L650*$X$1</f>
        <v>600</v>
      </c>
      <c r="N650" s="507">
        <v>550</v>
      </c>
      <c r="O650" s="456">
        <f>+N650*$X$1</f>
        <v>550</v>
      </c>
      <c r="P650" s="507">
        <v>510</v>
      </c>
      <c r="Q650" s="456">
        <f>+P650*$X$1</f>
        <v>510</v>
      </c>
      <c r="R650" s="507">
        <v>490</v>
      </c>
      <c r="S650" s="456">
        <f>+R650*$X$1</f>
        <v>490</v>
      </c>
      <c r="T650" s="507">
        <v>480</v>
      </c>
      <c r="U650" s="456">
        <f>+T650*$X$1</f>
        <v>480</v>
      </c>
      <c r="V650" s="507">
        <v>460</v>
      </c>
      <c r="W650" s="458">
        <f>+V650*$X$1</f>
        <v>460</v>
      </c>
    </row>
    <row r="651" spans="1:35" ht="12.6" customHeight="1" thickBot="1" x14ac:dyDescent="0.25">
      <c r="A651" s="944"/>
      <c r="B651" s="953" t="s">
        <v>682</v>
      </c>
      <c r="C651" s="954"/>
      <c r="D651" s="954"/>
      <c r="E651" s="954"/>
      <c r="F651" s="954"/>
      <c r="G651" s="955"/>
      <c r="H651" s="517">
        <v>1060</v>
      </c>
      <c r="I651" s="519">
        <f>+H651*$X$1</f>
        <v>1060</v>
      </c>
      <c r="J651" s="520">
        <v>920</v>
      </c>
      <c r="K651" s="521">
        <f>+J651*$X$1</f>
        <v>920</v>
      </c>
      <c r="L651" s="522">
        <v>800</v>
      </c>
      <c r="M651" s="523">
        <f>+L651*$X$1</f>
        <v>800</v>
      </c>
      <c r="N651" s="522">
        <v>740</v>
      </c>
      <c r="O651" s="523">
        <f>+N651*$X$1</f>
        <v>740</v>
      </c>
      <c r="P651" s="522">
        <v>710</v>
      </c>
      <c r="Q651" s="523">
        <f>+P651*$X$1</f>
        <v>710</v>
      </c>
      <c r="R651" s="522">
        <v>690</v>
      </c>
      <c r="S651" s="523">
        <f>+R651*$X$1</f>
        <v>690</v>
      </c>
      <c r="T651" s="522">
        <v>670</v>
      </c>
      <c r="U651" s="523">
        <f>+T651*$X$1</f>
        <v>670</v>
      </c>
      <c r="V651" s="522">
        <v>650</v>
      </c>
      <c r="W651" s="524">
        <f>+V651*$X$1</f>
        <v>650</v>
      </c>
    </row>
    <row r="652" spans="1:35" ht="8.25" customHeight="1" x14ac:dyDescent="0.2">
      <c r="A652" s="219"/>
      <c r="B652" s="220"/>
      <c r="C652" s="220"/>
      <c r="D652" s="220"/>
      <c r="E652" s="220"/>
      <c r="F652" s="221"/>
      <c r="G652" s="221"/>
      <c r="H652" s="79"/>
      <c r="I652" s="222"/>
      <c r="J652" s="222"/>
      <c r="K652" s="222"/>
      <c r="L652" s="222"/>
      <c r="M652" s="222"/>
      <c r="N652" s="222"/>
      <c r="O652" s="222"/>
      <c r="P652" s="222"/>
      <c r="Q652" s="222"/>
      <c r="R652" s="222"/>
      <c r="S652" s="222"/>
      <c r="T652" s="222"/>
      <c r="U652" s="222"/>
      <c r="V652" s="79"/>
      <c r="W652" s="214"/>
      <c r="X652" s="213"/>
      <c r="Y652" s="213"/>
      <c r="Z652" s="213"/>
      <c r="AA652" s="213"/>
      <c r="AB652" s="223"/>
    </row>
    <row r="653" spans="1:35" ht="13.5" customHeight="1" x14ac:dyDescent="0.2">
      <c r="B653" s="1067" t="s">
        <v>614</v>
      </c>
      <c r="C653" s="1068"/>
      <c r="D653" s="1068"/>
      <c r="E653" s="1068"/>
      <c r="F653" s="1068"/>
      <c r="G653" s="1068"/>
      <c r="H653" s="1068"/>
      <c r="I653" s="1068"/>
      <c r="J653" s="1068"/>
      <c r="K653" s="73" t="s">
        <v>607</v>
      </c>
      <c r="L653" s="74">
        <v>22</v>
      </c>
      <c r="M653" s="455">
        <f>+L653*$X$1</f>
        <v>22</v>
      </c>
      <c r="N653" s="72"/>
      <c r="O653" s="73" t="s">
        <v>608</v>
      </c>
      <c r="P653" s="74">
        <v>20</v>
      </c>
      <c r="Q653" s="455">
        <f>+P653*$X$1</f>
        <v>20</v>
      </c>
      <c r="R653" s="50"/>
      <c r="S653" s="50"/>
      <c r="T653" s="50"/>
      <c r="U653" s="50"/>
      <c r="V653" s="50"/>
      <c r="W653" s="50"/>
    </row>
    <row r="654" spans="1:35" ht="9.75" customHeight="1" x14ac:dyDescent="0.2">
      <c r="B654" s="53"/>
      <c r="C654" s="187"/>
      <c r="D654" s="187"/>
      <c r="E654" s="187"/>
      <c r="F654" s="187"/>
      <c r="G654" s="187"/>
      <c r="H654" s="187"/>
      <c r="I654" s="187"/>
      <c r="J654" s="187"/>
      <c r="K654" s="54"/>
      <c r="L654" s="55"/>
      <c r="M654" s="56"/>
      <c r="N654" s="50"/>
      <c r="O654" s="54"/>
      <c r="P654" s="55"/>
      <c r="Q654" s="56"/>
      <c r="R654" s="50"/>
      <c r="S654" s="50"/>
      <c r="T654" s="50"/>
      <c r="U654" s="50"/>
      <c r="V654" s="50"/>
      <c r="W654" s="50"/>
    </row>
    <row r="655" spans="1:35" x14ac:dyDescent="0.2">
      <c r="B655" s="3"/>
      <c r="C655" s="1065" t="s">
        <v>360</v>
      </c>
      <c r="D655" s="1066"/>
      <c r="E655" s="1066"/>
      <c r="F655" s="1066"/>
      <c r="G655" s="1066"/>
      <c r="H655" s="1066"/>
      <c r="I655" s="1066"/>
      <c r="J655" s="4"/>
      <c r="K655" s="4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8"/>
      <c r="W655" s="8"/>
    </row>
    <row r="656" spans="1:35" ht="12.6" customHeight="1" x14ac:dyDescent="0.2">
      <c r="B656" s="3"/>
      <c r="C656" s="1036" t="s">
        <v>361</v>
      </c>
      <c r="D656" s="1037"/>
      <c r="E656" s="1037"/>
      <c r="F656" s="1037"/>
      <c r="G656" s="1038"/>
      <c r="H656" s="572"/>
      <c r="I656" s="566"/>
      <c r="J656" s="4"/>
      <c r="K656" s="4"/>
      <c r="L656" s="39"/>
      <c r="M656" s="3"/>
      <c r="N656" s="3"/>
      <c r="O656" s="3"/>
      <c r="P656" s="3"/>
      <c r="Q656" s="3"/>
      <c r="R656" s="3"/>
      <c r="S656" s="3"/>
      <c r="T656" s="3"/>
      <c r="U656" s="3"/>
      <c r="V656" s="8"/>
      <c r="W656" s="8"/>
    </row>
    <row r="657" spans="2:34" ht="12.6" customHeight="1" x14ac:dyDescent="0.2">
      <c r="B657" s="3"/>
      <c r="C657" s="1062" t="s">
        <v>362</v>
      </c>
      <c r="D657" s="1063"/>
      <c r="E657" s="1063"/>
      <c r="F657" s="1063"/>
      <c r="G657" s="1064"/>
      <c r="H657" s="45"/>
      <c r="I657" s="573"/>
      <c r="J657" s="4"/>
      <c r="K657" s="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8"/>
      <c r="W657" s="8"/>
    </row>
    <row r="658" spans="2:34" ht="12.6" customHeight="1" x14ac:dyDescent="0.2">
      <c r="B658" s="3"/>
      <c r="C658" s="1062" t="s">
        <v>363</v>
      </c>
      <c r="D658" s="1063"/>
      <c r="E658" s="1063"/>
      <c r="F658" s="1063"/>
      <c r="G658" s="1064"/>
      <c r="H658" s="47"/>
      <c r="I658" s="454"/>
      <c r="J658" s="4"/>
      <c r="K658" s="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8"/>
      <c r="W658" s="8"/>
    </row>
    <row r="659" spans="2:34" ht="15.95" customHeight="1" x14ac:dyDescent="0.2">
      <c r="B659" s="3"/>
      <c r="C659" s="1048" t="s">
        <v>679</v>
      </c>
      <c r="D659" s="1049"/>
      <c r="E659" s="1049"/>
      <c r="F659" s="1049"/>
      <c r="G659" s="1049"/>
      <c r="H659" s="1050"/>
      <c r="I659" s="1051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8"/>
      <c r="W659" s="8"/>
    </row>
    <row r="660" spans="2:34" ht="15.75" customHeight="1" x14ac:dyDescent="0.2">
      <c r="B660" s="3"/>
      <c r="C660" s="1052"/>
      <c r="D660" s="1053"/>
      <c r="E660" s="1053"/>
      <c r="F660" s="1053"/>
      <c r="G660" s="1053"/>
      <c r="H660" s="1054"/>
      <c r="I660" s="1055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8"/>
      <c r="W660" s="8"/>
    </row>
    <row r="661" spans="2:34" ht="12.6" customHeight="1" thickBot="1" x14ac:dyDescent="0.25">
      <c r="B661" s="4"/>
      <c r="C661" s="52"/>
      <c r="D661" s="52"/>
      <c r="E661" s="52"/>
      <c r="F661" s="52"/>
      <c r="G661" s="52"/>
      <c r="H661" s="46"/>
      <c r="I661" s="416"/>
      <c r="J661" s="4"/>
      <c r="K661" s="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8"/>
      <c r="W661" s="8"/>
    </row>
    <row r="662" spans="2:34" ht="13.5" customHeight="1" x14ac:dyDescent="0.2">
      <c r="B662" s="1203" t="s">
        <v>662</v>
      </c>
      <c r="C662" s="1204"/>
      <c r="D662" s="1204"/>
      <c r="E662" s="1204"/>
      <c r="F662" s="1204"/>
      <c r="G662" s="1204"/>
      <c r="H662" s="1204"/>
      <c r="I662" s="1204"/>
      <c r="J662" s="1204"/>
      <c r="K662" s="1204"/>
      <c r="L662" s="1204"/>
      <c r="M662" s="1204"/>
      <c r="N662" s="1204"/>
      <c r="O662" s="1204"/>
      <c r="P662" s="1204"/>
      <c r="Q662" s="1204"/>
      <c r="R662" s="1204"/>
      <c r="S662" s="1204"/>
      <c r="T662" s="1204"/>
      <c r="U662" s="1204"/>
      <c r="V662" s="1204"/>
      <c r="W662" s="1205"/>
    </row>
    <row r="663" spans="2:34" ht="13.5" customHeight="1" x14ac:dyDescent="0.2">
      <c r="B663" s="1206"/>
      <c r="C663" s="1207"/>
      <c r="D663" s="1207"/>
      <c r="E663" s="1207"/>
      <c r="F663" s="1207"/>
      <c r="G663" s="1207"/>
      <c r="H663" s="1207"/>
      <c r="I663" s="1207"/>
      <c r="J663" s="1207"/>
      <c r="K663" s="1207"/>
      <c r="L663" s="1207"/>
      <c r="M663" s="1207"/>
      <c r="N663" s="1207"/>
      <c r="O663" s="1207"/>
      <c r="P663" s="1207"/>
      <c r="Q663" s="1207"/>
      <c r="R663" s="1207"/>
      <c r="S663" s="1207"/>
      <c r="T663" s="1207"/>
      <c r="U663" s="1207"/>
      <c r="V663" s="1207"/>
      <c r="W663" s="1208"/>
    </row>
    <row r="664" spans="2:34" ht="13.5" customHeight="1" thickBot="1" x14ac:dyDescent="0.25">
      <c r="B664" s="1209"/>
      <c r="C664" s="1210"/>
      <c r="D664" s="1210"/>
      <c r="E664" s="1210"/>
      <c r="F664" s="1210"/>
      <c r="G664" s="1210"/>
      <c r="H664" s="1210"/>
      <c r="I664" s="1210"/>
      <c r="J664" s="1210"/>
      <c r="K664" s="1210"/>
      <c r="L664" s="1210"/>
      <c r="M664" s="1210"/>
      <c r="N664" s="1210"/>
      <c r="O664" s="1210"/>
      <c r="P664" s="1210"/>
      <c r="Q664" s="1210"/>
      <c r="R664" s="1210"/>
      <c r="S664" s="1210"/>
      <c r="T664" s="1210"/>
      <c r="U664" s="1210"/>
      <c r="V664" s="1210"/>
      <c r="W664" s="1211"/>
    </row>
    <row r="665" spans="2:34" ht="12.6" customHeight="1" x14ac:dyDescent="0.2">
      <c r="B665" s="4"/>
      <c r="C665" s="44"/>
      <c r="D665" s="44"/>
      <c r="E665" s="44"/>
      <c r="F665" s="44"/>
      <c r="G665" s="44"/>
      <c r="H665" s="46"/>
      <c r="I665" s="46"/>
      <c r="J665" s="4"/>
      <c r="K665" s="4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8"/>
      <c r="W665" s="8"/>
    </row>
    <row r="666" spans="2:34" ht="23.25" customHeight="1" x14ac:dyDescent="0.2">
      <c r="B666" s="3"/>
      <c r="C666" s="1212" t="s">
        <v>800</v>
      </c>
      <c r="D666" s="1213"/>
      <c r="E666" s="1213"/>
      <c r="F666" s="1213"/>
      <c r="G666" s="1213"/>
      <c r="H666" s="1213"/>
      <c r="I666" s="1214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AF666" s="752" t="s">
        <v>3</v>
      </c>
      <c r="AG666" s="753"/>
      <c r="AH666" s="753"/>
    </row>
    <row r="667" spans="2:34" ht="12.95" customHeight="1" x14ac:dyDescent="0.2">
      <c r="B667" s="3"/>
      <c r="C667" s="1039"/>
      <c r="D667" s="1040"/>
      <c r="E667" s="1040"/>
      <c r="F667" s="1040"/>
      <c r="G667" s="1040"/>
      <c r="H667" s="1040"/>
      <c r="I667" s="1041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8"/>
      <c r="W667" s="8"/>
    </row>
    <row r="668" spans="2:34" ht="12.95" customHeight="1" x14ac:dyDescent="0.2">
      <c r="B668" s="3"/>
      <c r="C668" s="1042"/>
      <c r="D668" s="1043"/>
      <c r="E668" s="1043"/>
      <c r="F668" s="1043"/>
      <c r="G668" s="1043"/>
      <c r="H668" s="1043"/>
      <c r="I668" s="1044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8"/>
      <c r="W668" s="8"/>
    </row>
    <row r="669" spans="2:34" ht="12.95" customHeight="1" x14ac:dyDescent="0.2">
      <c r="B669" s="3"/>
      <c r="C669" s="1042"/>
      <c r="D669" s="1043"/>
      <c r="E669" s="1043"/>
      <c r="F669" s="1043"/>
      <c r="G669" s="1043"/>
      <c r="H669" s="1043"/>
      <c r="I669" s="1044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8"/>
      <c r="W669" s="8"/>
    </row>
    <row r="670" spans="2:34" ht="12.95" customHeight="1" x14ac:dyDescent="0.2">
      <c r="B670" s="3"/>
      <c r="C670" s="1042"/>
      <c r="D670" s="1043"/>
      <c r="E670" s="1043"/>
      <c r="F670" s="1043"/>
      <c r="G670" s="1043"/>
      <c r="H670" s="1043"/>
      <c r="I670" s="1044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8"/>
      <c r="W670" s="8"/>
    </row>
    <row r="671" spans="2:34" ht="12.95" customHeight="1" x14ac:dyDescent="0.2">
      <c r="B671" s="3"/>
      <c r="C671" s="1042"/>
      <c r="D671" s="1043"/>
      <c r="E671" s="1043"/>
      <c r="F671" s="1043"/>
      <c r="G671" s="1043"/>
      <c r="H671" s="1043"/>
      <c r="I671" s="1044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8"/>
      <c r="W671" s="8"/>
    </row>
    <row r="672" spans="2:34" ht="12.95" customHeight="1" x14ac:dyDescent="0.2">
      <c r="B672" s="3"/>
      <c r="C672" s="1042"/>
      <c r="D672" s="1043"/>
      <c r="E672" s="1043"/>
      <c r="F672" s="1043"/>
      <c r="G672" s="1043"/>
      <c r="H672" s="1043"/>
      <c r="I672" s="1044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8"/>
      <c r="W672" s="8"/>
    </row>
    <row r="673" spans="2:34" ht="10.5" customHeight="1" x14ac:dyDescent="0.2">
      <c r="B673" s="3"/>
      <c r="C673" s="1045"/>
      <c r="D673" s="1046"/>
      <c r="E673" s="1046"/>
      <c r="F673" s="1046"/>
      <c r="G673" s="1046"/>
      <c r="H673" s="1046"/>
      <c r="I673" s="1047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8"/>
      <c r="W673" s="8"/>
    </row>
    <row r="674" spans="2:34" ht="12.6" customHeight="1" x14ac:dyDescent="0.2">
      <c r="B674" s="3"/>
      <c r="C674" s="1215" t="s">
        <v>485</v>
      </c>
      <c r="D674" s="1215"/>
      <c r="E674" s="1216"/>
      <c r="F674" s="1216"/>
      <c r="G674" s="1217"/>
      <c r="H674" s="47">
        <v>1100</v>
      </c>
      <c r="I674" s="459">
        <f>+H674*$X$1</f>
        <v>1100</v>
      </c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8"/>
      <c r="W674" s="8"/>
    </row>
    <row r="675" spans="2:34" ht="12.6" customHeight="1" x14ac:dyDescent="0.2">
      <c r="B675" s="3"/>
      <c r="C675" s="1215" t="s">
        <v>801</v>
      </c>
      <c r="D675" s="1215"/>
      <c r="E675" s="1216"/>
      <c r="F675" s="1216"/>
      <c r="G675" s="1217"/>
      <c r="H675" s="47">
        <v>1000</v>
      </c>
      <c r="I675" s="459">
        <f>+H675*$X$1</f>
        <v>1000</v>
      </c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8"/>
      <c r="W675" s="8"/>
    </row>
    <row r="676" spans="2:34" ht="12.6" customHeight="1" thickBot="1" x14ac:dyDescent="0.25">
      <c r="B676" s="3"/>
      <c r="C676" s="51"/>
      <c r="D676" s="49"/>
      <c r="E676" s="49"/>
      <c r="F676" s="49"/>
      <c r="G676" s="44"/>
      <c r="H676" s="46"/>
      <c r="I676" s="46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8"/>
      <c r="W676" s="8"/>
    </row>
    <row r="677" spans="2:34" ht="18" customHeight="1" thickBot="1" x14ac:dyDescent="0.25">
      <c r="B677" s="986" t="s">
        <v>680</v>
      </c>
      <c r="C677" s="987"/>
      <c r="D677" s="987"/>
      <c r="E677" s="987"/>
      <c r="F677" s="987"/>
      <c r="G677" s="987"/>
      <c r="H677" s="987"/>
      <c r="I677" s="987"/>
      <c r="J677" s="987"/>
      <c r="K677" s="987"/>
      <c r="L677" s="987"/>
      <c r="M677" s="987"/>
      <c r="N677" s="987"/>
      <c r="O677" s="987"/>
      <c r="P677" s="987"/>
      <c r="Q677" s="987"/>
      <c r="R677" s="987"/>
      <c r="S677" s="987"/>
      <c r="T677" s="987"/>
      <c r="U677" s="987"/>
      <c r="V677" s="987"/>
      <c r="W677" s="988"/>
    </row>
    <row r="678" spans="2:34" ht="12.6" customHeight="1" thickBot="1" x14ac:dyDescent="0.25">
      <c r="B678" s="28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</row>
    <row r="679" spans="2:34" ht="15.75" customHeight="1" x14ac:dyDescent="0.2">
      <c r="B679" s="983" t="s">
        <v>364</v>
      </c>
      <c r="C679" s="984"/>
      <c r="D679" s="984"/>
      <c r="E679" s="984"/>
      <c r="F679" s="984"/>
      <c r="G679" s="984"/>
      <c r="H679" s="984"/>
      <c r="I679" s="984"/>
      <c r="J679" s="984"/>
      <c r="K679" s="984"/>
      <c r="L679" s="984"/>
      <c r="M679" s="984"/>
      <c r="N679" s="984"/>
      <c r="O679" s="984"/>
      <c r="P679" s="984"/>
      <c r="Q679" s="984"/>
      <c r="R679" s="984"/>
      <c r="S679" s="984"/>
      <c r="T679" s="984"/>
      <c r="U679" s="984"/>
      <c r="V679" s="984"/>
      <c r="W679" s="985"/>
    </row>
    <row r="680" spans="2:34" ht="15.75" customHeight="1" x14ac:dyDescent="0.2">
      <c r="B680" s="1005" t="s">
        <v>365</v>
      </c>
      <c r="C680" s="1006"/>
      <c r="D680" s="1006"/>
      <c r="E680" s="1006"/>
      <c r="F680" s="1006"/>
      <c r="G680" s="1006"/>
      <c r="H680" s="1006"/>
      <c r="I680" s="1006"/>
      <c r="J680" s="1006"/>
      <c r="K680" s="1006"/>
      <c r="L680" s="1006"/>
      <c r="M680" s="1006"/>
      <c r="N680" s="1006"/>
      <c r="O680" s="1006"/>
      <c r="P680" s="1006"/>
      <c r="Q680" s="1006"/>
      <c r="R680" s="1006"/>
      <c r="S680" s="1006"/>
      <c r="T680" s="1006"/>
      <c r="U680" s="1006"/>
      <c r="V680" s="1006"/>
      <c r="W680" s="1007"/>
      <c r="AF680" s="752"/>
      <c r="AG680" s="753"/>
      <c r="AH680" s="753"/>
    </row>
    <row r="681" spans="2:34" ht="15.75" customHeight="1" thickBot="1" x14ac:dyDescent="0.25">
      <c r="B681" s="1033" t="s">
        <v>366</v>
      </c>
      <c r="C681" s="1034"/>
      <c r="D681" s="1034"/>
      <c r="E681" s="1034"/>
      <c r="F681" s="1034"/>
      <c r="G681" s="1034"/>
      <c r="H681" s="1034"/>
      <c r="I681" s="1034"/>
      <c r="J681" s="1034"/>
      <c r="K681" s="1034"/>
      <c r="L681" s="1034"/>
      <c r="M681" s="1034"/>
      <c r="N681" s="1034"/>
      <c r="O681" s="1034"/>
      <c r="P681" s="1034"/>
      <c r="Q681" s="1034"/>
      <c r="R681" s="1034"/>
      <c r="S681" s="1034"/>
      <c r="T681" s="1034"/>
      <c r="U681" s="1034"/>
      <c r="V681" s="1034"/>
      <c r="W681" s="1035"/>
    </row>
    <row r="682" spans="2:34" ht="12.6" customHeight="1" thickBot="1" x14ac:dyDescent="0.25">
      <c r="B682" s="13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</row>
    <row r="683" spans="2:34" ht="18" customHeight="1" thickBot="1" x14ac:dyDescent="0.25">
      <c r="B683" s="1030" t="s">
        <v>367</v>
      </c>
      <c r="C683" s="1031"/>
      <c r="D683" s="1031"/>
      <c r="E683" s="1031"/>
      <c r="F683" s="1031"/>
      <c r="G683" s="1031"/>
      <c r="H683" s="1031"/>
      <c r="I683" s="1031"/>
      <c r="J683" s="1031"/>
      <c r="K683" s="1031"/>
      <c r="L683" s="1031"/>
      <c r="M683" s="1031"/>
      <c r="N683" s="1031"/>
      <c r="O683" s="1031"/>
      <c r="P683" s="1031"/>
      <c r="Q683" s="1031"/>
      <c r="R683" s="1031"/>
      <c r="S683" s="1031"/>
      <c r="T683" s="1031"/>
      <c r="U683" s="1031"/>
      <c r="V683" s="1031"/>
      <c r="W683" s="1032"/>
    </row>
    <row r="684" spans="2:34" x14ac:dyDescent="0.2">
      <c r="B684" s="1015" t="s">
        <v>368</v>
      </c>
      <c r="C684" s="1016"/>
      <c r="D684" s="1016"/>
      <c r="E684" s="1016"/>
      <c r="F684" s="1016"/>
      <c r="G684" s="1016"/>
      <c r="H684" s="1016"/>
      <c r="I684" s="1016"/>
      <c r="J684" s="1016"/>
      <c r="K684" s="1016"/>
      <c r="L684" s="1016"/>
      <c r="M684" s="1016"/>
      <c r="N684" s="1017"/>
      <c r="O684" s="1017"/>
      <c r="P684" s="1017"/>
      <c r="Q684" s="1017"/>
      <c r="R684" s="1017"/>
      <c r="S684" s="1017"/>
      <c r="T684" s="1017"/>
      <c r="U684" s="1017"/>
      <c r="V684" s="1017"/>
      <c r="W684" s="1018"/>
    </row>
    <row r="685" spans="2:34" ht="12.75" customHeight="1" x14ac:dyDescent="0.2">
      <c r="B685" s="1019"/>
      <c r="C685" s="1016"/>
      <c r="D685" s="1016"/>
      <c r="E685" s="1016"/>
      <c r="F685" s="1016"/>
      <c r="G685" s="1016"/>
      <c r="H685" s="1016"/>
      <c r="I685" s="1016"/>
      <c r="J685" s="1016"/>
      <c r="K685" s="1016"/>
      <c r="L685" s="1016"/>
      <c r="M685" s="1016"/>
      <c r="N685" s="1017"/>
      <c r="O685" s="1017"/>
      <c r="P685" s="1017"/>
      <c r="Q685" s="1017"/>
      <c r="R685" s="1017"/>
      <c r="S685" s="1017"/>
      <c r="T685" s="1017"/>
      <c r="U685" s="1017"/>
      <c r="V685" s="1017"/>
      <c r="W685" s="1018"/>
    </row>
    <row r="686" spans="2:34" x14ac:dyDescent="0.2">
      <c r="B686" s="1019"/>
      <c r="C686" s="1016"/>
      <c r="D686" s="1016"/>
      <c r="E686" s="1016"/>
      <c r="F686" s="1016"/>
      <c r="G686" s="1016"/>
      <c r="H686" s="1016"/>
      <c r="I686" s="1016"/>
      <c r="J686" s="1016"/>
      <c r="K686" s="1016"/>
      <c r="L686" s="1016"/>
      <c r="M686" s="1016"/>
      <c r="N686" s="1017"/>
      <c r="O686" s="1017"/>
      <c r="P686" s="1017"/>
      <c r="Q686" s="1017"/>
      <c r="R686" s="1017"/>
      <c r="S686" s="1017"/>
      <c r="T686" s="1017"/>
      <c r="U686" s="1017"/>
      <c r="V686" s="1017"/>
      <c r="W686" s="1018"/>
    </row>
    <row r="687" spans="2:34" ht="13.5" thickBot="1" x14ac:dyDescent="0.25">
      <c r="B687" s="1020"/>
      <c r="C687" s="1021"/>
      <c r="D687" s="1021"/>
      <c r="E687" s="1021"/>
      <c r="F687" s="1021"/>
      <c r="G687" s="1021"/>
      <c r="H687" s="1021"/>
      <c r="I687" s="1021"/>
      <c r="J687" s="1021"/>
      <c r="K687" s="1021"/>
      <c r="L687" s="1021"/>
      <c r="M687" s="1021"/>
      <c r="N687" s="1022"/>
      <c r="O687" s="1022"/>
      <c r="P687" s="1022"/>
      <c r="Q687" s="1022"/>
      <c r="R687" s="1022"/>
      <c r="S687" s="1022"/>
      <c r="T687" s="1022"/>
      <c r="U687" s="1022"/>
      <c r="V687" s="1022"/>
      <c r="W687" s="1023"/>
    </row>
    <row r="688" spans="2:34" ht="12.6" customHeight="1" thickBot="1" x14ac:dyDescent="0.25">
      <c r="B688" s="226"/>
      <c r="C688" s="226"/>
      <c r="D688" s="226"/>
      <c r="E688" s="226"/>
      <c r="F688" s="226"/>
      <c r="G688" s="226"/>
      <c r="H688" s="226"/>
      <c r="I688" s="226"/>
      <c r="J688" s="226"/>
      <c r="K688" s="226"/>
      <c r="L688" s="226"/>
      <c r="M688" s="227"/>
      <c r="N688" s="66"/>
      <c r="O688" s="66"/>
      <c r="P688" s="66"/>
      <c r="Q688" s="66"/>
      <c r="R688" s="66"/>
      <c r="S688" s="66"/>
      <c r="T688" s="66"/>
      <c r="U688" s="66"/>
      <c r="V688" s="66"/>
      <c r="W688" s="66"/>
    </row>
    <row r="689" spans="2:26" x14ac:dyDescent="0.2">
      <c r="B689" s="1024" t="s">
        <v>369</v>
      </c>
      <c r="C689" s="1025"/>
      <c r="D689" s="1025"/>
      <c r="E689" s="1025"/>
      <c r="F689" s="1025"/>
      <c r="G689" s="1025"/>
      <c r="H689" s="1025"/>
      <c r="I689" s="1025"/>
      <c r="J689" s="1025"/>
      <c r="K689" s="1025"/>
      <c r="L689" s="1025"/>
      <c r="M689" s="1025"/>
      <c r="N689" s="1025"/>
      <c r="O689" s="1025"/>
      <c r="P689" s="1025"/>
      <c r="Q689" s="1025"/>
      <c r="R689" s="1025"/>
      <c r="S689" s="1025"/>
      <c r="T689" s="1025"/>
      <c r="U689" s="1025"/>
      <c r="V689" s="1025"/>
      <c r="W689" s="1026"/>
    </row>
    <row r="690" spans="2:26" ht="13.5" thickBot="1" x14ac:dyDescent="0.25">
      <c r="B690" s="1027"/>
      <c r="C690" s="1028"/>
      <c r="D690" s="1028"/>
      <c r="E690" s="1028"/>
      <c r="F690" s="1028"/>
      <c r="G690" s="1028"/>
      <c r="H690" s="1028"/>
      <c r="I690" s="1028"/>
      <c r="J690" s="1028"/>
      <c r="K690" s="1028"/>
      <c r="L690" s="1028"/>
      <c r="M690" s="1028"/>
      <c r="N690" s="1028"/>
      <c r="O690" s="1028"/>
      <c r="P690" s="1028"/>
      <c r="Q690" s="1028"/>
      <c r="R690" s="1028"/>
      <c r="S690" s="1028"/>
      <c r="T690" s="1028"/>
      <c r="U690" s="1028"/>
      <c r="V690" s="1028"/>
      <c r="W690" s="1029"/>
    </row>
    <row r="691" spans="2:26" ht="13.5" thickBot="1" x14ac:dyDescent="0.25">
      <c r="B691" s="1008" t="s">
        <v>370</v>
      </c>
      <c r="C691" s="1009"/>
      <c r="D691" s="1009"/>
      <c r="E691" s="1009"/>
      <c r="F691" s="1009"/>
      <c r="G691" s="1009"/>
      <c r="H691" s="1009"/>
      <c r="I691" s="1009"/>
      <c r="J691" s="1009"/>
      <c r="K691" s="1009"/>
      <c r="L691" s="1009"/>
      <c r="M691" s="1009"/>
      <c r="N691" s="1009"/>
      <c r="O691" s="1009"/>
      <c r="P691" s="1009"/>
      <c r="Q691" s="1009"/>
      <c r="R691" s="1009"/>
      <c r="S691" s="1009"/>
      <c r="T691" s="1009"/>
      <c r="U691" s="1009"/>
      <c r="V691" s="1009"/>
      <c r="W691" s="1010"/>
    </row>
    <row r="692" spans="2:26" ht="12.6" customHeight="1" thickBot="1" x14ac:dyDescent="0.25">
      <c r="B692" s="263"/>
      <c r="C692" s="263"/>
      <c r="D692" s="263"/>
      <c r="E692" s="263"/>
      <c r="F692" s="263"/>
      <c r="G692" s="263"/>
      <c r="H692" s="263"/>
      <c r="I692" s="263"/>
      <c r="J692" s="263"/>
      <c r="K692" s="263"/>
      <c r="L692" s="263"/>
      <c r="M692" s="263"/>
      <c r="N692" s="263"/>
      <c r="O692" s="263"/>
      <c r="P692" s="263"/>
      <c r="Q692" s="263"/>
      <c r="R692" s="263"/>
      <c r="S692" s="263"/>
      <c r="T692" s="263"/>
      <c r="U692" s="263"/>
      <c r="V692" s="263"/>
      <c r="W692" s="263"/>
      <c r="X692" s="69"/>
    </row>
    <row r="693" spans="2:26" ht="12.75" customHeight="1" thickBot="1" x14ac:dyDescent="0.25">
      <c r="B693" s="980" t="s">
        <v>371</v>
      </c>
      <c r="C693" s="981"/>
      <c r="D693" s="981"/>
      <c r="E693" s="981"/>
      <c r="F693" s="981"/>
      <c r="G693" s="981"/>
      <c r="H693" s="981"/>
      <c r="I693" s="981"/>
      <c r="J693" s="981"/>
      <c r="K693" s="981"/>
      <c r="L693" s="981"/>
      <c r="M693" s="981"/>
      <c r="N693" s="981"/>
      <c r="O693" s="981"/>
      <c r="P693" s="981"/>
      <c r="Q693" s="981"/>
      <c r="R693" s="981"/>
      <c r="S693" s="981"/>
      <c r="T693" s="981"/>
      <c r="U693" s="981"/>
      <c r="V693" s="981"/>
      <c r="W693" s="982"/>
    </row>
    <row r="694" spans="2:26" ht="15" customHeight="1" thickBot="1" x14ac:dyDescent="0.25">
      <c r="B694" s="980" t="s">
        <v>442</v>
      </c>
      <c r="C694" s="981"/>
      <c r="D694" s="981"/>
      <c r="E694" s="981"/>
      <c r="F694" s="981"/>
      <c r="G694" s="981"/>
      <c r="H694" s="981"/>
      <c r="I694" s="981"/>
      <c r="J694" s="981"/>
      <c r="K694" s="981"/>
      <c r="L694" s="981"/>
      <c r="M694" s="981"/>
      <c r="N694" s="981"/>
      <c r="O694" s="981"/>
      <c r="P694" s="981"/>
      <c r="Q694" s="981"/>
      <c r="R694" s="981"/>
      <c r="S694" s="981"/>
      <c r="T694" s="981"/>
      <c r="U694" s="981"/>
      <c r="V694" s="981"/>
      <c r="W694" s="982"/>
    </row>
    <row r="695" spans="2:26" ht="90" customHeight="1" thickBot="1" x14ac:dyDescent="0.25">
      <c r="B695" s="1011"/>
      <c r="C695" s="1012"/>
      <c r="D695" s="1012"/>
      <c r="E695" s="1012"/>
      <c r="F695" s="1012"/>
      <c r="G695" s="1012"/>
      <c r="H695" s="1012"/>
      <c r="I695" s="1012"/>
      <c r="J695" s="1012"/>
      <c r="K695" s="1013"/>
      <c r="L695" s="1013"/>
      <c r="M695" s="1013"/>
      <c r="N695" s="1013"/>
      <c r="O695" s="1013"/>
      <c r="P695" s="1013"/>
      <c r="Q695" s="1013"/>
      <c r="R695" s="1013"/>
      <c r="S695" s="1013"/>
      <c r="T695" s="1013"/>
      <c r="U695" s="1013"/>
      <c r="V695" s="1013"/>
      <c r="W695" s="1014"/>
    </row>
    <row r="696" spans="2:26" ht="12.6" customHeight="1" thickBot="1" x14ac:dyDescent="0.3"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Z696" s="36"/>
    </row>
    <row r="697" spans="2:26" ht="8.25" customHeight="1" x14ac:dyDescent="0.2">
      <c r="B697" s="989" t="s">
        <v>372</v>
      </c>
      <c r="C697" s="990"/>
      <c r="D697" s="990"/>
      <c r="E697" s="990"/>
      <c r="F697" s="990"/>
      <c r="G697" s="990"/>
      <c r="H697" s="990"/>
      <c r="I697" s="990"/>
      <c r="J697" s="990"/>
      <c r="K697" s="991"/>
      <c r="L697" s="991"/>
      <c r="M697" s="991"/>
      <c r="N697" s="991"/>
      <c r="O697" s="991"/>
      <c r="P697" s="991"/>
      <c r="Q697" s="991"/>
      <c r="R697" s="991"/>
      <c r="S697" s="991"/>
      <c r="T697" s="991"/>
      <c r="U697" s="991"/>
      <c r="V697" s="991"/>
      <c r="W697" s="992"/>
    </row>
    <row r="698" spans="2:26" ht="12.75" customHeight="1" x14ac:dyDescent="0.2">
      <c r="B698" s="993"/>
      <c r="C698" s="994"/>
      <c r="D698" s="994"/>
      <c r="E698" s="994"/>
      <c r="F698" s="994"/>
      <c r="G698" s="994"/>
      <c r="H698" s="994"/>
      <c r="I698" s="994"/>
      <c r="J698" s="994"/>
      <c r="K698" s="995"/>
      <c r="L698" s="995"/>
      <c r="M698" s="995"/>
      <c r="N698" s="995"/>
      <c r="O698" s="995"/>
      <c r="P698" s="995"/>
      <c r="Q698" s="995"/>
      <c r="R698" s="995"/>
      <c r="S698" s="995"/>
      <c r="T698" s="995"/>
      <c r="U698" s="995"/>
      <c r="V698" s="995"/>
      <c r="W698" s="996"/>
    </row>
    <row r="699" spans="2:26" x14ac:dyDescent="0.2">
      <c r="B699" s="997"/>
      <c r="C699" s="998"/>
      <c r="D699" s="998"/>
      <c r="E699" s="998"/>
      <c r="F699" s="998"/>
      <c r="G699" s="998"/>
      <c r="H699" s="998"/>
      <c r="I699" s="998"/>
      <c r="J699" s="998"/>
      <c r="K699" s="995"/>
      <c r="L699" s="995"/>
      <c r="M699" s="995"/>
      <c r="N699" s="995"/>
      <c r="O699" s="995"/>
      <c r="P699" s="995"/>
      <c r="Q699" s="995"/>
      <c r="R699" s="995"/>
      <c r="S699" s="995"/>
      <c r="T699" s="995"/>
      <c r="U699" s="995"/>
      <c r="V699" s="995"/>
      <c r="W699" s="996"/>
    </row>
    <row r="700" spans="2:26" x14ac:dyDescent="0.2">
      <c r="B700" s="997"/>
      <c r="C700" s="998"/>
      <c r="D700" s="998"/>
      <c r="E700" s="998"/>
      <c r="F700" s="998"/>
      <c r="G700" s="998"/>
      <c r="H700" s="998"/>
      <c r="I700" s="998"/>
      <c r="J700" s="998"/>
      <c r="K700" s="995"/>
      <c r="L700" s="995"/>
      <c r="M700" s="995"/>
      <c r="N700" s="995"/>
      <c r="O700" s="995"/>
      <c r="P700" s="995"/>
      <c r="Q700" s="995"/>
      <c r="R700" s="995"/>
      <c r="S700" s="995"/>
      <c r="T700" s="995"/>
      <c r="U700" s="995"/>
      <c r="V700" s="995"/>
      <c r="W700" s="996"/>
    </row>
    <row r="701" spans="2:26" x14ac:dyDescent="0.2">
      <c r="B701" s="997"/>
      <c r="C701" s="998"/>
      <c r="D701" s="998"/>
      <c r="E701" s="998"/>
      <c r="F701" s="998"/>
      <c r="G701" s="998"/>
      <c r="H701" s="998"/>
      <c r="I701" s="998"/>
      <c r="J701" s="998"/>
      <c r="K701" s="995"/>
      <c r="L701" s="995"/>
      <c r="M701" s="995"/>
      <c r="N701" s="995"/>
      <c r="O701" s="995"/>
      <c r="P701" s="995"/>
      <c r="Q701" s="995"/>
      <c r="R701" s="995"/>
      <c r="S701" s="995"/>
      <c r="T701" s="995"/>
      <c r="U701" s="995"/>
      <c r="V701" s="995"/>
      <c r="W701" s="996"/>
    </row>
    <row r="702" spans="2:26" x14ac:dyDescent="0.2">
      <c r="B702" s="997"/>
      <c r="C702" s="998"/>
      <c r="D702" s="998"/>
      <c r="E702" s="998"/>
      <c r="F702" s="998"/>
      <c r="G702" s="998"/>
      <c r="H702" s="998"/>
      <c r="I702" s="998"/>
      <c r="J702" s="998"/>
      <c r="K702" s="995"/>
      <c r="L702" s="995"/>
      <c r="M702" s="995"/>
      <c r="N702" s="995"/>
      <c r="O702" s="995"/>
      <c r="P702" s="995"/>
      <c r="Q702" s="995"/>
      <c r="R702" s="995"/>
      <c r="S702" s="995"/>
      <c r="T702" s="995"/>
      <c r="U702" s="995"/>
      <c r="V702" s="995"/>
      <c r="W702" s="996"/>
    </row>
    <row r="703" spans="2:26" x14ac:dyDescent="0.2">
      <c r="B703" s="999"/>
      <c r="C703" s="1000"/>
      <c r="D703" s="1000"/>
      <c r="E703" s="1000"/>
      <c r="F703" s="1000"/>
      <c r="G703" s="1000"/>
      <c r="H703" s="1000"/>
      <c r="I703" s="1000"/>
      <c r="J703" s="1000"/>
      <c r="K703" s="1000"/>
      <c r="L703" s="1000"/>
      <c r="M703" s="1000"/>
      <c r="N703" s="1000"/>
      <c r="O703" s="1000"/>
      <c r="P703" s="1000"/>
      <c r="Q703" s="1000"/>
      <c r="R703" s="1000"/>
      <c r="S703" s="1000"/>
      <c r="T703" s="1000"/>
      <c r="U703" s="1000"/>
      <c r="V703" s="1000"/>
      <c r="W703" s="1001"/>
    </row>
    <row r="704" spans="2:26" ht="13.5" thickBot="1" x14ac:dyDescent="0.25">
      <c r="B704" s="1002"/>
      <c r="C704" s="1003"/>
      <c r="D704" s="1003"/>
      <c r="E704" s="1003"/>
      <c r="F704" s="1003"/>
      <c r="G704" s="1003"/>
      <c r="H704" s="1003"/>
      <c r="I704" s="1003"/>
      <c r="J704" s="1003"/>
      <c r="K704" s="1003"/>
      <c r="L704" s="1003"/>
      <c r="M704" s="1003"/>
      <c r="N704" s="1003"/>
      <c r="O704" s="1003"/>
      <c r="P704" s="1003"/>
      <c r="Q704" s="1003"/>
      <c r="R704" s="1003"/>
      <c r="S704" s="1003"/>
      <c r="T704" s="1003"/>
      <c r="U704" s="1003"/>
      <c r="V704" s="1003"/>
      <c r="W704" s="1004"/>
    </row>
    <row r="705" spans="2:23" ht="12.6" customHeight="1" x14ac:dyDescent="0.2">
      <c r="B705" s="3"/>
      <c r="C705" s="3"/>
      <c r="D705" s="3"/>
      <c r="E705" s="4"/>
      <c r="F705" s="4"/>
      <c r="G705" s="4"/>
      <c r="H705" s="4"/>
      <c r="I705" s="4"/>
      <c r="J705" s="4"/>
      <c r="K705" s="4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8"/>
      <c r="W705" s="8"/>
    </row>
    <row r="706" spans="2:23" ht="18.75" customHeight="1" x14ac:dyDescent="0.2">
      <c r="B706" s="977" t="s">
        <v>373</v>
      </c>
      <c r="C706" s="978"/>
      <c r="D706" s="978"/>
      <c r="E706" s="978"/>
      <c r="F706" s="978"/>
      <c r="G706" s="978"/>
      <c r="H706" s="978"/>
      <c r="I706" s="978"/>
      <c r="J706" s="978"/>
      <c r="K706" s="978"/>
      <c r="L706" s="978"/>
      <c r="M706" s="978"/>
      <c r="N706" s="978"/>
      <c r="O706" s="978"/>
      <c r="P706" s="978"/>
      <c r="Q706" s="978"/>
      <c r="R706" s="978"/>
      <c r="S706" s="978"/>
      <c r="T706" s="978"/>
      <c r="U706" s="978"/>
      <c r="V706" s="978"/>
      <c r="W706" s="979"/>
    </row>
    <row r="707" spans="2:23" x14ac:dyDescent="0.2"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8"/>
      <c r="W707" s="8"/>
    </row>
    <row r="708" spans="2:23" x14ac:dyDescent="0.2"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8"/>
      <c r="W708" s="8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8"/>
      <c r="W709" s="8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8"/>
      <c r="W710" s="8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8"/>
      <c r="W711" s="8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8"/>
      <c r="W712" s="8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8"/>
      <c r="W713" s="8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8"/>
      <c r="W714" s="8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8"/>
      <c r="W715" s="8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8"/>
      <c r="W716" s="8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8"/>
      <c r="W717" s="8"/>
    </row>
    <row r="718" spans="2:23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8"/>
      <c r="W718" s="8"/>
    </row>
    <row r="719" spans="2:23" ht="12.75" customHeight="1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8"/>
      <c r="W719" s="8"/>
    </row>
    <row r="720" spans="2:23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8"/>
      <c r="W720" s="8"/>
    </row>
    <row r="721" spans="2:23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8"/>
      <c r="W721" s="8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8"/>
      <c r="W722" s="8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8"/>
      <c r="W723" s="8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8"/>
      <c r="W724" s="8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8"/>
      <c r="W725" s="8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8"/>
      <c r="W726" s="8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8"/>
      <c r="W727" s="8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8"/>
      <c r="W728" s="8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8"/>
      <c r="W729" s="8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8"/>
      <c r="W730" s="8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8"/>
      <c r="W731" s="8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8"/>
      <c r="W732" s="8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8"/>
      <c r="W733" s="8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8"/>
      <c r="W734" s="8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8"/>
      <c r="W735" s="8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8"/>
      <c r="W736" s="8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8"/>
      <c r="W737" s="8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8"/>
      <c r="W738" s="8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8"/>
      <c r="W739" s="8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8"/>
      <c r="W740" s="8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8"/>
      <c r="W741" s="8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8"/>
      <c r="W742" s="8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8"/>
      <c r="W743" s="8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8"/>
      <c r="W744" s="8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8"/>
      <c r="W745" s="8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8"/>
      <c r="W746" s="8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8"/>
      <c r="W747" s="8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8"/>
      <c r="W748" s="8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8"/>
      <c r="W749" s="8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8"/>
      <c r="W750" s="8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8"/>
      <c r="W751" s="8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8"/>
      <c r="W752" s="8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8"/>
      <c r="W753" s="8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8"/>
      <c r="W754" s="8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8"/>
      <c r="W755" s="8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8"/>
      <c r="W756" s="8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8"/>
      <c r="W757" s="8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8"/>
      <c r="W758" s="8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8"/>
      <c r="W759" s="8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8"/>
      <c r="W760" s="8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8"/>
      <c r="W761" s="8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8"/>
      <c r="W762" s="8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8"/>
      <c r="W763" s="8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8"/>
      <c r="W764" s="8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8"/>
      <c r="W765" s="8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8"/>
      <c r="W766" s="8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8"/>
      <c r="W767" s="8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8"/>
      <c r="W768" s="8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8"/>
      <c r="W769" s="8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8"/>
      <c r="W770" s="8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8"/>
      <c r="W771" s="8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8"/>
      <c r="W772" s="8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8"/>
      <c r="W773" s="8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8"/>
      <c r="W774" s="8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8"/>
      <c r="W775" s="8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8"/>
      <c r="W776" s="8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8"/>
      <c r="W777" s="8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8"/>
      <c r="W778" s="8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8"/>
      <c r="W779" s="8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8"/>
      <c r="W780" s="8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8"/>
      <c r="W781" s="8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8"/>
      <c r="W782" s="8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8"/>
      <c r="W783" s="8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8"/>
      <c r="W784" s="8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8"/>
      <c r="W785" s="8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8"/>
      <c r="W786" s="8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8"/>
      <c r="W787" s="8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8"/>
      <c r="W788" s="8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8"/>
      <c r="W789" s="8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8"/>
      <c r="W790" s="8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8"/>
      <c r="W791" s="8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8"/>
      <c r="W792" s="8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8"/>
      <c r="W793" s="8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8"/>
      <c r="W794" s="8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8"/>
      <c r="W795" s="8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8"/>
      <c r="W796" s="8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8"/>
      <c r="W797" s="8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8"/>
      <c r="W798" s="8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8"/>
      <c r="W799" s="8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8"/>
      <c r="W800" s="8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8"/>
      <c r="W801" s="8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8"/>
      <c r="W802" s="8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8"/>
      <c r="W803" s="8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8"/>
      <c r="W804" s="8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8"/>
      <c r="W805" s="8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8"/>
      <c r="W806" s="8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8"/>
      <c r="W807" s="8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8"/>
      <c r="W808" s="8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8"/>
      <c r="W809" s="8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8"/>
      <c r="W810" s="8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8"/>
      <c r="W811" s="8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8"/>
      <c r="W812" s="8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8"/>
      <c r="W813" s="8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8"/>
      <c r="W814" s="8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8"/>
      <c r="W815" s="8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8"/>
      <c r="W816" s="8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8"/>
      <c r="W817" s="8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8"/>
      <c r="W818" s="8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8"/>
      <c r="W819" s="8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8"/>
      <c r="W820" s="8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8"/>
      <c r="W821" s="8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8"/>
      <c r="W822" s="8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8"/>
      <c r="W823" s="8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8"/>
      <c r="W824" s="8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8"/>
      <c r="W825" s="8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8"/>
      <c r="W826" s="8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8"/>
      <c r="W827" s="8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8"/>
      <c r="W828" s="8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8"/>
      <c r="W829" s="8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8"/>
      <c r="W830" s="8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8"/>
      <c r="W831" s="8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8"/>
      <c r="W832" s="8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8"/>
      <c r="W833" s="8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8"/>
      <c r="W834" s="8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8"/>
      <c r="W835" s="8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8"/>
      <c r="W836" s="8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8"/>
      <c r="W837" s="8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8"/>
      <c r="W838" s="8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8"/>
      <c r="W839" s="8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8"/>
      <c r="W840" s="8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8"/>
      <c r="W841" s="8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8"/>
      <c r="W842" s="8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8"/>
      <c r="W843" s="8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8"/>
      <c r="W844" s="8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8"/>
      <c r="W845" s="8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8"/>
      <c r="W846" s="8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8"/>
      <c r="W847" s="8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8"/>
      <c r="W848" s="8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8"/>
      <c r="W849" s="8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8"/>
      <c r="W850" s="8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8"/>
      <c r="W851" s="8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8"/>
      <c r="W852" s="8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8"/>
      <c r="W853" s="8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8"/>
      <c r="W854" s="8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8"/>
      <c r="W855" s="8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8"/>
      <c r="W856" s="8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8"/>
      <c r="W857" s="8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8"/>
      <c r="W858" s="8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8"/>
      <c r="W859" s="8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8"/>
      <c r="W860" s="8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8"/>
      <c r="W861" s="8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8"/>
      <c r="W862" s="8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8"/>
      <c r="W863" s="8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8"/>
      <c r="W864" s="8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8"/>
      <c r="W865" s="8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8"/>
      <c r="W866" s="8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8"/>
      <c r="W867" s="8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8"/>
      <c r="W868" s="8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8"/>
      <c r="W869" s="8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8"/>
      <c r="W870" s="8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8"/>
      <c r="W871" s="8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8"/>
      <c r="W872" s="8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8"/>
      <c r="W873" s="8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8"/>
      <c r="W874" s="8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8"/>
      <c r="W875" s="8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8"/>
      <c r="W876" s="8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8"/>
      <c r="W877" s="8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8"/>
      <c r="W878" s="8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8"/>
      <c r="W879" s="8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8"/>
      <c r="W880" s="8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8"/>
      <c r="W881" s="8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8"/>
      <c r="W882" s="8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8"/>
      <c r="W883" s="8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8"/>
      <c r="W884" s="8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8"/>
      <c r="W885" s="8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8"/>
      <c r="W886" s="8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8"/>
      <c r="W887" s="8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8"/>
      <c r="W888" s="8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8"/>
      <c r="W889" s="8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8"/>
      <c r="W890" s="8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8"/>
      <c r="W891" s="8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8"/>
      <c r="W892" s="8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8"/>
      <c r="W893" s="8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8"/>
      <c r="W894" s="8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8"/>
      <c r="W895" s="8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8"/>
      <c r="W896" s="8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8"/>
      <c r="W897" s="8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8"/>
      <c r="W898" s="8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8"/>
      <c r="W899" s="8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8"/>
      <c r="W900" s="8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8"/>
      <c r="W901" s="8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8"/>
      <c r="W902" s="8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8"/>
      <c r="W903" s="8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8"/>
      <c r="W904" s="8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8"/>
      <c r="W905" s="8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8"/>
      <c r="W906" s="8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8"/>
      <c r="W907" s="8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8"/>
      <c r="W908" s="8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8"/>
      <c r="W909" s="8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8"/>
      <c r="W910" s="8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8"/>
      <c r="W911" s="8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8"/>
      <c r="W912" s="8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8"/>
      <c r="W913" s="8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8"/>
      <c r="W914" s="8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8"/>
      <c r="W915" s="8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8"/>
      <c r="W916" s="8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8"/>
      <c r="W917" s="8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8"/>
      <c r="W918" s="8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8"/>
      <c r="W919" s="8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8"/>
      <c r="W920" s="8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8"/>
      <c r="W921" s="8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8"/>
      <c r="W922" s="8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8"/>
      <c r="W923" s="8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8"/>
      <c r="W924" s="8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8"/>
      <c r="W925" s="8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8"/>
      <c r="W926" s="8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8"/>
      <c r="W927" s="8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8"/>
      <c r="W928" s="8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8"/>
      <c r="W929" s="8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8"/>
      <c r="W930" s="8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8"/>
      <c r="W931" s="8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8"/>
      <c r="W932" s="8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8"/>
      <c r="W933" s="8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8"/>
      <c r="W934" s="8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8"/>
      <c r="W935" s="8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8"/>
      <c r="W936" s="8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8"/>
      <c r="W937" s="8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8"/>
      <c r="W938" s="8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8"/>
      <c r="W939" s="8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8"/>
      <c r="W940" s="8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8"/>
      <c r="W941" s="8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8"/>
      <c r="W942" s="8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8"/>
      <c r="W943" s="8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8"/>
      <c r="W944" s="8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8"/>
      <c r="W945" s="8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8"/>
      <c r="W946" s="8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8"/>
      <c r="W947" s="8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8"/>
      <c r="W948" s="8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8"/>
      <c r="W949" s="8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8"/>
      <c r="W950" s="8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8"/>
      <c r="W951" s="8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8"/>
      <c r="W952" s="8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8"/>
      <c r="W953" s="8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8"/>
      <c r="W954" s="8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8"/>
      <c r="W955" s="8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8"/>
      <c r="W956" s="8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8"/>
      <c r="W957" s="8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8"/>
      <c r="W958" s="8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8"/>
      <c r="W959" s="8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8"/>
      <c r="W960" s="8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8"/>
      <c r="W961" s="8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8"/>
      <c r="W962" s="8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8"/>
      <c r="W963" s="8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8"/>
      <c r="W964" s="8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8"/>
      <c r="W965" s="8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8"/>
      <c r="W966" s="8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8"/>
      <c r="W967" s="8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8"/>
      <c r="W968" s="8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8"/>
      <c r="W969" s="8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8"/>
      <c r="W970" s="8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8"/>
      <c r="W971" s="8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8"/>
      <c r="W972" s="8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8"/>
      <c r="W973" s="8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8"/>
      <c r="W974" s="8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8"/>
      <c r="W975" s="8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8"/>
      <c r="W976" s="8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8"/>
      <c r="W977" s="8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8"/>
      <c r="W978" s="8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8"/>
      <c r="W979" s="8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8"/>
      <c r="W980" s="8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8"/>
      <c r="W981" s="8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8"/>
      <c r="W982" s="8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8"/>
      <c r="W983" s="8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8"/>
      <c r="W984" s="8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8"/>
      <c r="W985" s="8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8"/>
      <c r="W986" s="8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8"/>
      <c r="W987" s="8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8"/>
      <c r="W988" s="8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8"/>
      <c r="W989" s="8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8"/>
      <c r="W990" s="8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8"/>
      <c r="W991" s="8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8"/>
      <c r="W992" s="8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8"/>
      <c r="W993" s="8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8"/>
      <c r="W994" s="8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8"/>
      <c r="W995" s="8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8"/>
      <c r="W996" s="8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8"/>
      <c r="W997" s="8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8"/>
      <c r="W998" s="8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8"/>
      <c r="W999" s="8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8"/>
      <c r="W1000" s="8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8"/>
      <c r="W1001" s="8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8"/>
      <c r="W1002" s="8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8"/>
      <c r="W1003" s="8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8"/>
      <c r="W1004" s="8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8"/>
      <c r="W1005" s="8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8"/>
      <c r="W1006" s="8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8"/>
      <c r="W1007" s="8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8"/>
      <c r="W1008" s="8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8"/>
      <c r="W1009" s="8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8"/>
      <c r="W1010" s="8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8"/>
      <c r="W1011" s="8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8"/>
      <c r="W1012" s="8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8"/>
      <c r="W1013" s="8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8"/>
      <c r="W1014" s="8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8"/>
      <c r="W1015" s="8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8"/>
      <c r="W1016" s="8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8"/>
      <c r="W1017" s="8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8"/>
      <c r="W1018" s="8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8"/>
      <c r="W1019" s="8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8"/>
      <c r="W1020" s="8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8"/>
      <c r="W1021" s="8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8"/>
      <c r="W1022" s="8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8"/>
      <c r="W1023" s="8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8"/>
      <c r="W1024" s="8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8"/>
      <c r="W1025" s="8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8"/>
      <c r="W1026" s="8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8"/>
      <c r="W1027" s="8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8"/>
      <c r="W1028" s="8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8"/>
      <c r="W1029" s="8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8"/>
      <c r="W1030" s="8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8"/>
      <c r="W1031" s="8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8"/>
      <c r="W1032" s="8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8"/>
      <c r="W1033" s="8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8"/>
      <c r="W1034" s="8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8"/>
      <c r="W1035" s="8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8"/>
      <c r="W1036" s="8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8"/>
      <c r="W1037" s="8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8"/>
      <c r="W1038" s="8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8"/>
      <c r="W1039" s="8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8"/>
      <c r="W1040" s="8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8"/>
      <c r="W1041" s="8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8"/>
      <c r="W1042" s="8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8"/>
      <c r="W1043" s="8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8"/>
      <c r="W1044" s="8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8"/>
      <c r="W1045" s="8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8"/>
      <c r="W1046" s="8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8"/>
      <c r="W1047" s="8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8"/>
      <c r="W1048" s="8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8"/>
      <c r="W1049" s="8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8"/>
      <c r="W1050" s="8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8"/>
      <c r="W1051" s="8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8"/>
      <c r="W1052" s="8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8"/>
      <c r="W1053" s="8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8"/>
      <c r="W1054" s="8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8"/>
      <c r="W1055" s="8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8"/>
      <c r="W1056" s="8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8"/>
      <c r="W1057" s="8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8"/>
      <c r="W1058" s="8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8"/>
      <c r="W1059" s="8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8"/>
      <c r="W1060" s="8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8"/>
      <c r="W1061" s="8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8"/>
      <c r="W1062" s="8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8"/>
      <c r="W1063" s="8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8"/>
      <c r="W1064" s="8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8"/>
      <c r="W1065" s="8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8"/>
      <c r="W1066" s="8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8"/>
      <c r="W1067" s="8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8"/>
      <c r="W1068" s="8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8"/>
      <c r="W1069" s="8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8"/>
      <c r="W1070" s="8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8"/>
      <c r="W1071" s="8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8"/>
      <c r="W1072" s="8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8"/>
      <c r="W1073" s="8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8"/>
      <c r="W1074" s="8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8"/>
      <c r="W1075" s="8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8"/>
      <c r="W1076" s="8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8"/>
      <c r="W1077" s="8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8"/>
      <c r="W1078" s="8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8"/>
      <c r="W1079" s="8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8"/>
      <c r="W1080" s="8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8"/>
      <c r="W1081" s="8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8"/>
      <c r="W1082" s="8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8"/>
      <c r="W1083" s="8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8"/>
      <c r="W1084" s="8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8"/>
      <c r="W1085" s="8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8"/>
      <c r="W1086" s="8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8"/>
      <c r="W1087" s="8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8"/>
      <c r="W1088" s="8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8"/>
      <c r="W1089" s="8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8"/>
      <c r="W1090" s="8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8"/>
      <c r="W1091" s="8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8"/>
      <c r="W1092" s="8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8"/>
      <c r="W1093" s="8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8"/>
      <c r="W1094" s="8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8"/>
      <c r="W1095" s="8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8"/>
      <c r="W1096" s="8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8"/>
      <c r="W1097" s="8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8"/>
      <c r="W1098" s="8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8"/>
      <c r="W1099" s="8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8"/>
      <c r="W1100" s="8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8"/>
      <c r="W1101" s="8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8"/>
      <c r="W1102" s="8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8"/>
      <c r="W1103" s="8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8"/>
      <c r="W1104" s="8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8"/>
      <c r="W1105" s="8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8"/>
      <c r="W1106" s="8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8"/>
      <c r="W1107" s="8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8"/>
      <c r="W1108" s="8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8"/>
      <c r="W1109" s="8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8"/>
      <c r="W1110" s="8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8"/>
      <c r="W1111" s="8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8"/>
      <c r="W1112" s="8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8"/>
      <c r="W1113" s="8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8"/>
      <c r="W1114" s="8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8"/>
      <c r="W1115" s="8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8"/>
      <c r="W1116" s="8"/>
    </row>
    <row r="1117" spans="2:23" x14ac:dyDescent="0.2">
      <c r="E1117" s="1"/>
      <c r="F1117" s="1"/>
      <c r="H1117" s="1"/>
      <c r="I1117" s="1"/>
      <c r="J1117" s="1"/>
      <c r="K1117" s="1"/>
    </row>
    <row r="1118" spans="2:23" x14ac:dyDescent="0.2">
      <c r="E1118" s="1"/>
      <c r="F1118" s="1"/>
      <c r="H1118" s="1"/>
      <c r="I1118" s="1"/>
      <c r="J1118" s="1"/>
      <c r="K1118" s="1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</sheetData>
  <mergeCells count="1032">
    <mergeCell ref="B629:E629"/>
    <mergeCell ref="B591:E591"/>
    <mergeCell ref="B482:E482"/>
    <mergeCell ref="B483:E483"/>
    <mergeCell ref="B588:W588"/>
    <mergeCell ref="B610:E610"/>
    <mergeCell ref="B285:E285"/>
    <mergeCell ref="B406:E406"/>
    <mergeCell ref="B407:E407"/>
    <mergeCell ref="B336:E336"/>
    <mergeCell ref="B484:E484"/>
    <mergeCell ref="B391:E391"/>
    <mergeCell ref="X391:AA391"/>
    <mergeCell ref="B261:E261"/>
    <mergeCell ref="X444:AA444"/>
    <mergeCell ref="B446:E446"/>
    <mergeCell ref="X446:AA446"/>
    <mergeCell ref="B447:E447"/>
    <mergeCell ref="X447:AA447"/>
    <mergeCell ref="B360:E360"/>
    <mergeCell ref="B368:E368"/>
    <mergeCell ref="B333:E333"/>
    <mergeCell ref="B371:E371"/>
    <mergeCell ref="B355:E355"/>
    <mergeCell ref="B342:E342"/>
    <mergeCell ref="B373:E373"/>
    <mergeCell ref="B385:E385"/>
    <mergeCell ref="B354:E354"/>
    <mergeCell ref="B350:E350"/>
    <mergeCell ref="B357:E357"/>
    <mergeCell ref="B327:E327"/>
    <mergeCell ref="B339:E339"/>
    <mergeCell ref="X395:AA395"/>
    <mergeCell ref="B402:E402"/>
    <mergeCell ref="B295:E295"/>
    <mergeCell ref="B345:E345"/>
    <mergeCell ref="B395:E395"/>
    <mergeCell ref="B288:E288"/>
    <mergeCell ref="B348:E348"/>
    <mergeCell ref="B413:E413"/>
    <mergeCell ref="B328:E328"/>
    <mergeCell ref="B313:E313"/>
    <mergeCell ref="B321:E321"/>
    <mergeCell ref="B332:E332"/>
    <mergeCell ref="B323:E323"/>
    <mergeCell ref="B281:E281"/>
    <mergeCell ref="B303:E303"/>
    <mergeCell ref="B335:E335"/>
    <mergeCell ref="B343:E343"/>
    <mergeCell ref="B329:E329"/>
    <mergeCell ref="B307:E307"/>
    <mergeCell ref="B299:E299"/>
    <mergeCell ref="B341:E341"/>
    <mergeCell ref="B338:E338"/>
    <mergeCell ref="B334:E334"/>
    <mergeCell ref="B311:E311"/>
    <mergeCell ref="C319:E320"/>
    <mergeCell ref="B306:E306"/>
    <mergeCell ref="B301:E301"/>
    <mergeCell ref="B331:E331"/>
    <mergeCell ref="B322:E322"/>
    <mergeCell ref="B330:E330"/>
    <mergeCell ref="B337:E337"/>
    <mergeCell ref="B296:E296"/>
    <mergeCell ref="B363:E363"/>
    <mergeCell ref="B365:E365"/>
    <mergeCell ref="B374:E374"/>
    <mergeCell ref="B393:E393"/>
    <mergeCell ref="B418:E418"/>
    <mergeCell ref="B361:E361"/>
    <mergeCell ref="B419:E419"/>
    <mergeCell ref="B364:E364"/>
    <mergeCell ref="B412:E412"/>
    <mergeCell ref="B379:E379"/>
    <mergeCell ref="B370:E370"/>
    <mergeCell ref="B388:E388"/>
    <mergeCell ref="B349:E349"/>
    <mergeCell ref="B410:E410"/>
    <mergeCell ref="B409:E409"/>
    <mergeCell ref="B417:E417"/>
    <mergeCell ref="B394:E394"/>
    <mergeCell ref="B401:E401"/>
    <mergeCell ref="B359:E359"/>
    <mergeCell ref="B352:E352"/>
    <mergeCell ref="B390:E390"/>
    <mergeCell ref="B399:B400"/>
    <mergeCell ref="B405:E405"/>
    <mergeCell ref="B353:E353"/>
    <mergeCell ref="B372:E372"/>
    <mergeCell ref="B346:E346"/>
    <mergeCell ref="B347:E347"/>
    <mergeCell ref="B326:E326"/>
    <mergeCell ref="B351:E351"/>
    <mergeCell ref="B340:E340"/>
    <mergeCell ref="X480:AA481"/>
    <mergeCell ref="X363:AA363"/>
    <mergeCell ref="B500:E500"/>
    <mergeCell ref="B498:E498"/>
    <mergeCell ref="B453:E453"/>
    <mergeCell ref="B381:E381"/>
    <mergeCell ref="X394:AA394"/>
    <mergeCell ref="B380:E380"/>
    <mergeCell ref="X390:AA390"/>
    <mergeCell ref="B386:E386"/>
    <mergeCell ref="X389:AA389"/>
    <mergeCell ref="B389:E389"/>
    <mergeCell ref="B382:E382"/>
    <mergeCell ref="X392:AA392"/>
    <mergeCell ref="B384:E384"/>
    <mergeCell ref="G399:G400"/>
    <mergeCell ref="B457:E457"/>
    <mergeCell ref="B414:E414"/>
    <mergeCell ref="B366:E366"/>
    <mergeCell ref="X412:AA412"/>
    <mergeCell ref="B452:E452"/>
    <mergeCell ref="X420:AA420"/>
    <mergeCell ref="X399:AA400"/>
    <mergeCell ref="B369:E369"/>
    <mergeCell ref="B375:E375"/>
    <mergeCell ref="B376:E376"/>
    <mergeCell ref="B425:E425"/>
    <mergeCell ref="B435:E435"/>
    <mergeCell ref="B487:E487"/>
    <mergeCell ref="B471:E471"/>
    <mergeCell ref="X461:AA461"/>
    <mergeCell ref="B423:E423"/>
    <mergeCell ref="B495:E495"/>
    <mergeCell ref="B466:E466"/>
    <mergeCell ref="B501:E501"/>
    <mergeCell ref="B502:E502"/>
    <mergeCell ref="B458:E458"/>
    <mergeCell ref="X471:AA471"/>
    <mergeCell ref="X469:AA469"/>
    <mergeCell ref="X411:AA411"/>
    <mergeCell ref="X416:AA416"/>
    <mergeCell ref="B416:E416"/>
    <mergeCell ref="I425:M427"/>
    <mergeCell ref="B450:W450"/>
    <mergeCell ref="B428:E428"/>
    <mergeCell ref="B430:E430"/>
    <mergeCell ref="X429:AA429"/>
    <mergeCell ref="X417:AA417"/>
    <mergeCell ref="B421:E421"/>
    <mergeCell ref="B479:W479"/>
    <mergeCell ref="B434:E434"/>
    <mergeCell ref="B444:E444"/>
    <mergeCell ref="X428:AA428"/>
    <mergeCell ref="X450:AA450"/>
    <mergeCell ref="X439:AA439"/>
    <mergeCell ref="X443:AA443"/>
    <mergeCell ref="X437:AA437"/>
    <mergeCell ref="X419:AA419"/>
    <mergeCell ref="X436:AA436"/>
    <mergeCell ref="X422:AA422"/>
    <mergeCell ref="X418:AA418"/>
    <mergeCell ref="X421:AA421"/>
    <mergeCell ref="B480:B481"/>
    <mergeCell ref="C480:E481"/>
    <mergeCell ref="AF559:AH559"/>
    <mergeCell ref="B508:E508"/>
    <mergeCell ref="AF479:AH479"/>
    <mergeCell ref="B455:E455"/>
    <mergeCell ref="B459:E459"/>
    <mergeCell ref="X440:AA440"/>
    <mergeCell ref="X460:AA460"/>
    <mergeCell ref="X462:AA462"/>
    <mergeCell ref="B490:E490"/>
    <mergeCell ref="B504:E504"/>
    <mergeCell ref="B505:E505"/>
    <mergeCell ref="B488:E488"/>
    <mergeCell ref="B454:E454"/>
    <mergeCell ref="B470:E470"/>
    <mergeCell ref="B456:E456"/>
    <mergeCell ref="B451:E451"/>
    <mergeCell ref="X470:AA470"/>
    <mergeCell ref="B503:E503"/>
    <mergeCell ref="B496:E496"/>
    <mergeCell ref="F480:F481"/>
    <mergeCell ref="B463:E463"/>
    <mergeCell ref="B465:E465"/>
    <mergeCell ref="B464:E464"/>
    <mergeCell ref="H480:W480"/>
    <mergeCell ref="B506:E506"/>
    <mergeCell ref="AB480:AB481"/>
    <mergeCell ref="AF480:AH480"/>
    <mergeCell ref="B440:E440"/>
    <mergeCell ref="B540:E540"/>
    <mergeCell ref="B510:E510"/>
    <mergeCell ref="B511:E511"/>
    <mergeCell ref="AF560:AH560"/>
    <mergeCell ref="B559:W559"/>
    <mergeCell ref="B516:W516"/>
    <mergeCell ref="AF516:AH516"/>
    <mergeCell ref="B517:B518"/>
    <mergeCell ref="AB517:AB518"/>
    <mergeCell ref="AF517:AH517"/>
    <mergeCell ref="B541:E541"/>
    <mergeCell ref="B519:E519"/>
    <mergeCell ref="B546:E546"/>
    <mergeCell ref="B544:E544"/>
    <mergeCell ref="B547:E547"/>
    <mergeCell ref="B514:E514"/>
    <mergeCell ref="B557:E557"/>
    <mergeCell ref="B513:E513"/>
    <mergeCell ref="B532:E532"/>
    <mergeCell ref="B533:E533"/>
    <mergeCell ref="B531:E531"/>
    <mergeCell ref="B527:E527"/>
    <mergeCell ref="B535:E535"/>
    <mergeCell ref="B536:E536"/>
    <mergeCell ref="F517:F518"/>
    <mergeCell ref="G517:G518"/>
    <mergeCell ref="H517:W517"/>
    <mergeCell ref="B524:E524"/>
    <mergeCell ref="B522:E522"/>
    <mergeCell ref="B521:E521"/>
    <mergeCell ref="B528:E528"/>
    <mergeCell ref="C517:E518"/>
    <mergeCell ref="X517:AA518"/>
    <mergeCell ref="B554:E554"/>
    <mergeCell ref="B555:E555"/>
    <mergeCell ref="AB560:AB561"/>
    <mergeCell ref="B586:E586"/>
    <mergeCell ref="B567:E567"/>
    <mergeCell ref="B641:G641"/>
    <mergeCell ref="R646:R647"/>
    <mergeCell ref="B562:E562"/>
    <mergeCell ref="B633:E633"/>
    <mergeCell ref="X560:AA561"/>
    <mergeCell ref="B560:B561"/>
    <mergeCell ref="F560:F561"/>
    <mergeCell ref="G560:G561"/>
    <mergeCell ref="B624:E624"/>
    <mergeCell ref="B565:E565"/>
    <mergeCell ref="B589:B590"/>
    <mergeCell ref="B579:E579"/>
    <mergeCell ref="B604:E604"/>
    <mergeCell ref="B599:E599"/>
    <mergeCell ref="B622:E622"/>
    <mergeCell ref="B594:E594"/>
    <mergeCell ref="B607:E607"/>
    <mergeCell ref="J646:J647"/>
    <mergeCell ref="B593:E593"/>
    <mergeCell ref="W646:W647"/>
    <mergeCell ref="K646:K647"/>
    <mergeCell ref="B630:E630"/>
    <mergeCell ref="I646:I647"/>
    <mergeCell ref="B643:G643"/>
    <mergeCell ref="B644:G644"/>
    <mergeCell ref="H560:W560"/>
    <mergeCell ref="B621:E621"/>
    <mergeCell ref="B625:E625"/>
    <mergeCell ref="X615:AA615"/>
    <mergeCell ref="AF666:AH666"/>
    <mergeCell ref="B639:W639"/>
    <mergeCell ref="B646:G647"/>
    <mergeCell ref="B662:W664"/>
    <mergeCell ref="T646:T647"/>
    <mergeCell ref="B571:E571"/>
    <mergeCell ref="U646:U647"/>
    <mergeCell ref="AF680:AH680"/>
    <mergeCell ref="O646:O647"/>
    <mergeCell ref="L646:L647"/>
    <mergeCell ref="P646:P647"/>
    <mergeCell ref="C666:I666"/>
    <mergeCell ref="C674:G674"/>
    <mergeCell ref="C675:G675"/>
    <mergeCell ref="M646:M647"/>
    <mergeCell ref="B634:E634"/>
    <mergeCell ref="B632:E632"/>
    <mergeCell ref="B645:W645"/>
    <mergeCell ref="B616:E616"/>
    <mergeCell ref="B617:E617"/>
    <mergeCell ref="B595:E595"/>
    <mergeCell ref="AF594:AJ594"/>
    <mergeCell ref="AF589:AH589"/>
    <mergeCell ref="X589:AA590"/>
    <mergeCell ref="AB589:AB590"/>
    <mergeCell ref="B608:E608"/>
    <mergeCell ref="B597:E597"/>
    <mergeCell ref="AF639:AH639"/>
    <mergeCell ref="B575:E575"/>
    <mergeCell ref="B596:E596"/>
    <mergeCell ref="B598:E598"/>
    <mergeCell ref="X458:AA458"/>
    <mergeCell ref="X361:AA361"/>
    <mergeCell ref="B356:E356"/>
    <mergeCell ref="B377:E377"/>
    <mergeCell ref="B367:E367"/>
    <mergeCell ref="X388:AA388"/>
    <mergeCell ref="B436:E436"/>
    <mergeCell ref="B433:E433"/>
    <mergeCell ref="B462:E462"/>
    <mergeCell ref="B432:E432"/>
    <mergeCell ref="B420:E420"/>
    <mergeCell ref="B392:E392"/>
    <mergeCell ref="X393:AA393"/>
    <mergeCell ref="B426:E426"/>
    <mergeCell ref="B411:E411"/>
    <mergeCell ref="B408:E408"/>
    <mergeCell ref="B358:E358"/>
    <mergeCell ref="X364:AA364"/>
    <mergeCell ref="B427:E427"/>
    <mergeCell ref="B404:E404"/>
    <mergeCell ref="B403:E403"/>
    <mergeCell ref="B424:E424"/>
    <mergeCell ref="B448:E448"/>
    <mergeCell ref="X448:AA448"/>
    <mergeCell ref="B449:E449"/>
    <mergeCell ref="X449:AA449"/>
    <mergeCell ref="X442:AA442"/>
    <mergeCell ref="X441:AA441"/>
    <mergeCell ref="B445:E445"/>
    <mergeCell ref="X445:AA445"/>
    <mergeCell ref="B442:E442"/>
    <mergeCell ref="Q344:W344"/>
    <mergeCell ref="B439:E439"/>
    <mergeCell ref="X438:AA438"/>
    <mergeCell ref="B422:E422"/>
    <mergeCell ref="X457:AA457"/>
    <mergeCell ref="B437:E437"/>
    <mergeCell ref="B438:E438"/>
    <mergeCell ref="B378:E378"/>
    <mergeCell ref="B141:E141"/>
    <mergeCell ref="B223:E223"/>
    <mergeCell ref="Q206:W206"/>
    <mergeCell ref="X242:AA242"/>
    <mergeCell ref="X141:AA141"/>
    <mergeCell ref="B182:E182"/>
    <mergeCell ref="B159:B160"/>
    <mergeCell ref="B198:E198"/>
    <mergeCell ref="X186:AA186"/>
    <mergeCell ref="X144:AA144"/>
    <mergeCell ref="H181:K186"/>
    <mergeCell ref="B164:E164"/>
    <mergeCell ref="B199:E199"/>
    <mergeCell ref="B235:E235"/>
    <mergeCell ref="B221:E221"/>
    <mergeCell ref="X234:AA234"/>
    <mergeCell ref="X228:AA228"/>
    <mergeCell ref="B279:E279"/>
    <mergeCell ref="B293:E293"/>
    <mergeCell ref="B443:E443"/>
    <mergeCell ref="X367:AA367"/>
    <mergeCell ref="G319:G320"/>
    <mergeCell ref="F319:F320"/>
    <mergeCell ref="I430:M435"/>
    <mergeCell ref="B383:E383"/>
    <mergeCell ref="X275:AA275"/>
    <mergeCell ref="X254:AA254"/>
    <mergeCell ref="B186:E186"/>
    <mergeCell ref="X184:AA184"/>
    <mergeCell ref="X343:AA343"/>
    <mergeCell ref="X255:AA255"/>
    <mergeCell ref="B309:E309"/>
    <mergeCell ref="B308:E308"/>
    <mergeCell ref="X239:AA240"/>
    <mergeCell ref="B315:E315"/>
    <mergeCell ref="X292:AA292"/>
    <mergeCell ref="X614:AA614"/>
    <mergeCell ref="F239:F240"/>
    <mergeCell ref="X296:AA296"/>
    <mergeCell ref="X293:AA293"/>
    <mergeCell ref="X308:AA308"/>
    <mergeCell ref="X270:AA270"/>
    <mergeCell ref="X307:AA307"/>
    <mergeCell ref="B304:E304"/>
    <mergeCell ref="X276:AA276"/>
    <mergeCell ref="B282:E282"/>
    <mergeCell ref="B319:B320"/>
    <mergeCell ref="X266:AA266"/>
    <mergeCell ref="X337:AA337"/>
    <mergeCell ref="B324:E324"/>
    <mergeCell ref="B325:E325"/>
    <mergeCell ref="B441:E441"/>
    <mergeCell ref="X243:AA243"/>
    <mergeCell ref="X288:AA288"/>
    <mergeCell ref="X247:AA247"/>
    <mergeCell ref="B251:E251"/>
    <mergeCell ref="B278:E278"/>
    <mergeCell ref="B255:E255"/>
    <mergeCell ref="B244:E244"/>
    <mergeCell ref="B252:E252"/>
    <mergeCell ref="B170:E170"/>
    <mergeCell ref="F159:F160"/>
    <mergeCell ref="X167:AA167"/>
    <mergeCell ref="B173:E173"/>
    <mergeCell ref="X226:AA226"/>
    <mergeCell ref="B249:E249"/>
    <mergeCell ref="F238:J238"/>
    <mergeCell ref="B211:E211"/>
    <mergeCell ref="B189:E189"/>
    <mergeCell ref="B228:E228"/>
    <mergeCell ref="B191:E191"/>
    <mergeCell ref="X246:AA246"/>
    <mergeCell ref="X225:AA225"/>
    <mergeCell ref="G191:S196"/>
    <mergeCell ref="X182:AA182"/>
    <mergeCell ref="G239:G240"/>
    <mergeCell ref="B229:E229"/>
    <mergeCell ref="X229:AA229"/>
    <mergeCell ref="B253:E253"/>
    <mergeCell ref="B277:E277"/>
    <mergeCell ref="B272:E272"/>
    <mergeCell ref="X268:AA268"/>
    <mergeCell ref="B201:E201"/>
    <mergeCell ref="X241:AA241"/>
    <mergeCell ref="B241:E241"/>
    <mergeCell ref="X249:AA249"/>
    <mergeCell ref="X235:AA235"/>
    <mergeCell ref="B234:E234"/>
    <mergeCell ref="B143:E143"/>
    <mergeCell ref="C159:E160"/>
    <mergeCell ref="B177:E177"/>
    <mergeCell ref="B185:E185"/>
    <mergeCell ref="B180:E180"/>
    <mergeCell ref="X164:AA164"/>
    <mergeCell ref="X166:AA166"/>
    <mergeCell ref="X146:AA146"/>
    <mergeCell ref="B218:E218"/>
    <mergeCell ref="X161:AA161"/>
    <mergeCell ref="X173:AA173"/>
    <mergeCell ref="X137:AA137"/>
    <mergeCell ref="B188:E188"/>
    <mergeCell ref="B190:E190"/>
    <mergeCell ref="B138:E138"/>
    <mergeCell ref="B233:E233"/>
    <mergeCell ref="B219:E219"/>
    <mergeCell ref="B215:E215"/>
    <mergeCell ref="B142:E142"/>
    <mergeCell ref="B150:E150"/>
    <mergeCell ref="B183:E183"/>
    <mergeCell ref="B195:E195"/>
    <mergeCell ref="B176:E176"/>
    <mergeCell ref="X165:AA165"/>
    <mergeCell ref="B196:E196"/>
    <mergeCell ref="B181:E181"/>
    <mergeCell ref="X181:AA181"/>
    <mergeCell ref="I176:M179"/>
    <mergeCell ref="Q216:W216"/>
    <mergeCell ref="B179:E179"/>
    <mergeCell ref="AK13:AM13"/>
    <mergeCell ref="B25:E25"/>
    <mergeCell ref="AF31:AJ31"/>
    <mergeCell ref="X43:AA43"/>
    <mergeCell ref="X36:AA36"/>
    <mergeCell ref="X38:AA38"/>
    <mergeCell ref="X39:AA39"/>
    <mergeCell ref="X34:AA34"/>
    <mergeCell ref="AF29:AJ29"/>
    <mergeCell ref="AF28:AI28"/>
    <mergeCell ref="AF25:AI25"/>
    <mergeCell ref="B41:E41"/>
    <mergeCell ref="B30:E30"/>
    <mergeCell ref="B16:E16"/>
    <mergeCell ref="B40:E40"/>
    <mergeCell ref="B43:E43"/>
    <mergeCell ref="X119:AA119"/>
    <mergeCell ref="H50:K50"/>
    <mergeCell ref="B49:E49"/>
    <mergeCell ref="B33:E33"/>
    <mergeCell ref="X49:AA49"/>
    <mergeCell ref="X33:AA33"/>
    <mergeCell ref="H35:K35"/>
    <mergeCell ref="B26:E26"/>
    <mergeCell ref="B23:E23"/>
    <mergeCell ref="AF19:AJ19"/>
    <mergeCell ref="B36:E36"/>
    <mergeCell ref="X42:AA42"/>
    <mergeCell ref="B46:E46"/>
    <mergeCell ref="H46:K46"/>
    <mergeCell ref="X46:AA46"/>
    <mergeCell ref="H44:K44"/>
    <mergeCell ref="X232:AA232"/>
    <mergeCell ref="B127:E127"/>
    <mergeCell ref="B134:E134"/>
    <mergeCell ref="X131:AA131"/>
    <mergeCell ref="B174:E174"/>
    <mergeCell ref="X130:AA130"/>
    <mergeCell ref="B217:E217"/>
    <mergeCell ref="X183:AA183"/>
    <mergeCell ref="X159:AA160"/>
    <mergeCell ref="B152:E152"/>
    <mergeCell ref="G159:G160"/>
    <mergeCell ref="B172:E172"/>
    <mergeCell ref="B205:E205"/>
    <mergeCell ref="X163:AA163"/>
    <mergeCell ref="B209:E209"/>
    <mergeCell ref="B222:E222"/>
    <mergeCell ref="B166:E166"/>
    <mergeCell ref="B165:E165"/>
    <mergeCell ref="B193:E193"/>
    <mergeCell ref="X227:AA227"/>
    <mergeCell ref="B147:E147"/>
    <mergeCell ref="H201:M201"/>
    <mergeCell ref="X170:AA170"/>
    <mergeCell ref="X145:AA145"/>
    <mergeCell ref="B129:E129"/>
    <mergeCell ref="X185:AA185"/>
    <mergeCell ref="X133:AA133"/>
    <mergeCell ref="B130:E130"/>
    <mergeCell ref="B187:E187"/>
    <mergeCell ref="H37:K37"/>
    <mergeCell ref="X40:AA40"/>
    <mergeCell ref="B53:E53"/>
    <mergeCell ref="B67:E67"/>
    <mergeCell ref="AF23:AI23"/>
    <mergeCell ref="AF26:AI26"/>
    <mergeCell ref="H32:K32"/>
    <mergeCell ref="AF30:AJ30"/>
    <mergeCell ref="I71:M71"/>
    <mergeCell ref="B52:E52"/>
    <mergeCell ref="H33:K33"/>
    <mergeCell ref="AF24:AI24"/>
    <mergeCell ref="AF27:AJ27"/>
    <mergeCell ref="X32:AA32"/>
    <mergeCell ref="B32:E32"/>
    <mergeCell ref="B29:E29"/>
    <mergeCell ref="B28:E28"/>
    <mergeCell ref="H39:K39"/>
    <mergeCell ref="AF32:AJ32"/>
    <mergeCell ref="X35:AA35"/>
    <mergeCell ref="H47:K47"/>
    <mergeCell ref="B60:E60"/>
    <mergeCell ref="H43:K43"/>
    <mergeCell ref="B34:E34"/>
    <mergeCell ref="X29:AA29"/>
    <mergeCell ref="B27:E27"/>
    <mergeCell ref="B35:E35"/>
    <mergeCell ref="H51:K51"/>
    <mergeCell ref="B37:E37"/>
    <mergeCell ref="B47:E47"/>
    <mergeCell ref="X70:AA70"/>
    <mergeCell ref="H42:K42"/>
    <mergeCell ref="H41:K41"/>
    <mergeCell ref="B66:E66"/>
    <mergeCell ref="B62:E62"/>
    <mergeCell ref="B50:E50"/>
    <mergeCell ref="B45:E45"/>
    <mergeCell ref="H49:K49"/>
    <mergeCell ref="X44:AA44"/>
    <mergeCell ref="X51:AA51"/>
    <mergeCell ref="B51:E51"/>
    <mergeCell ref="B54:E54"/>
    <mergeCell ref="H45:K45"/>
    <mergeCell ref="B38:E38"/>
    <mergeCell ref="B55:E55"/>
    <mergeCell ref="F52:I55"/>
    <mergeCell ref="H40:K40"/>
    <mergeCell ref="H38:K38"/>
    <mergeCell ref="B39:E39"/>
    <mergeCell ref="X41:AA41"/>
    <mergeCell ref="B44:E44"/>
    <mergeCell ref="C239:E240"/>
    <mergeCell ref="X75:AA75"/>
    <mergeCell ref="B57:E57"/>
    <mergeCell ref="X47:AA47"/>
    <mergeCell ref="B48:E48"/>
    <mergeCell ref="H48:K48"/>
    <mergeCell ref="X48:AA48"/>
    <mergeCell ref="B132:E132"/>
    <mergeCell ref="X117:AA117"/>
    <mergeCell ref="X162:AA162"/>
    <mergeCell ref="X140:AA140"/>
    <mergeCell ref="H159:W159"/>
    <mergeCell ref="B148:E148"/>
    <mergeCell ref="B85:E85"/>
    <mergeCell ref="X134:AA134"/>
    <mergeCell ref="X124:AA124"/>
    <mergeCell ref="X126:AA126"/>
    <mergeCell ref="X135:AA135"/>
    <mergeCell ref="B115:E115"/>
    <mergeCell ref="G121:K121"/>
    <mergeCell ref="B96:E96"/>
    <mergeCell ref="B68:E68"/>
    <mergeCell ref="B63:E63"/>
    <mergeCell ref="B61:E61"/>
    <mergeCell ref="B70:E70"/>
    <mergeCell ref="H79:W79"/>
    <mergeCell ref="B106:E106"/>
    <mergeCell ref="B151:E151"/>
    <mergeCell ref="B175:E175"/>
    <mergeCell ref="B144:E144"/>
    <mergeCell ref="B128:E128"/>
    <mergeCell ref="X129:AA129"/>
    <mergeCell ref="B549:E549"/>
    <mergeCell ref="B550:E550"/>
    <mergeCell ref="X73:AA73"/>
    <mergeCell ref="I73:K73"/>
    <mergeCell ref="B620:E620"/>
    <mergeCell ref="B124:E124"/>
    <mergeCell ref="B126:E126"/>
    <mergeCell ref="B136:E136"/>
    <mergeCell ref="B213:E213"/>
    <mergeCell ref="B243:E243"/>
    <mergeCell ref="B225:E225"/>
    <mergeCell ref="B276:E276"/>
    <mergeCell ref="B246:E246"/>
    <mergeCell ref="B254:E254"/>
    <mergeCell ref="B224:E224"/>
    <mergeCell ref="B216:E216"/>
    <mergeCell ref="B154:E154"/>
    <mergeCell ref="B155:E155"/>
    <mergeCell ref="B135:E135"/>
    <mergeCell ref="B168:E168"/>
    <mergeCell ref="B149:E149"/>
    <mergeCell ref="B171:E171"/>
    <mergeCell ref="B260:E260"/>
    <mergeCell ref="B146:E146"/>
    <mergeCell ref="B247:E247"/>
    <mergeCell ref="B227:E227"/>
    <mergeCell ref="B169:E169"/>
    <mergeCell ref="B208:E208"/>
    <mergeCell ref="B242:E242"/>
    <mergeCell ref="B275:E275"/>
    <mergeCell ref="B214:E214"/>
    <mergeCell ref="X168:AA168"/>
    <mergeCell ref="C667:I673"/>
    <mergeCell ref="C659:I660"/>
    <mergeCell ref="B543:E543"/>
    <mergeCell ref="B577:E577"/>
    <mergeCell ref="B585:E585"/>
    <mergeCell ref="B553:E553"/>
    <mergeCell ref="B509:E509"/>
    <mergeCell ref="B497:E497"/>
    <mergeCell ref="B534:E534"/>
    <mergeCell ref="B569:E569"/>
    <mergeCell ref="B576:E576"/>
    <mergeCell ref="B573:E573"/>
    <mergeCell ref="B584:E584"/>
    <mergeCell ref="B580:E580"/>
    <mergeCell ref="C658:G658"/>
    <mergeCell ref="C657:G657"/>
    <mergeCell ref="C655:I655"/>
    <mergeCell ref="B653:J653"/>
    <mergeCell ref="B648:G648"/>
    <mergeCell ref="B581:E581"/>
    <mergeCell ref="B609:E609"/>
    <mergeCell ref="B582:E582"/>
    <mergeCell ref="B592:E592"/>
    <mergeCell ref="B619:E619"/>
    <mergeCell ref="B606:E606"/>
    <mergeCell ref="B642:G642"/>
    <mergeCell ref="B605:E605"/>
    <mergeCell ref="H646:H647"/>
    <mergeCell ref="B574:E574"/>
    <mergeCell ref="B556:E556"/>
    <mergeCell ref="B542:E542"/>
    <mergeCell ref="B507:E507"/>
    <mergeCell ref="B545:E545"/>
    <mergeCell ref="B600:E600"/>
    <mergeCell ref="B601:E601"/>
    <mergeCell ref="B602:E602"/>
    <mergeCell ref="B611:E611"/>
    <mergeCell ref="B612:E612"/>
    <mergeCell ref="B613:E613"/>
    <mergeCell ref="H589:W589"/>
    <mergeCell ref="B512:E512"/>
    <mergeCell ref="V646:V647"/>
    <mergeCell ref="B618:E618"/>
    <mergeCell ref="B603:E603"/>
    <mergeCell ref="Q646:Q647"/>
    <mergeCell ref="B300:E300"/>
    <mergeCell ref="B706:W706"/>
    <mergeCell ref="B694:W694"/>
    <mergeCell ref="B679:W679"/>
    <mergeCell ref="B677:W677"/>
    <mergeCell ref="B697:W704"/>
    <mergeCell ref="B680:W680"/>
    <mergeCell ref="B693:W693"/>
    <mergeCell ref="B691:W691"/>
    <mergeCell ref="B695:W695"/>
    <mergeCell ref="B684:W687"/>
    <mergeCell ref="B689:W690"/>
    <mergeCell ref="B683:W683"/>
    <mergeCell ref="B681:W681"/>
    <mergeCell ref="S646:S647"/>
    <mergeCell ref="C656:G656"/>
    <mergeCell ref="B623:E623"/>
    <mergeCell ref="B626:E626"/>
    <mergeCell ref="H399:W399"/>
    <mergeCell ref="N646:N647"/>
    <mergeCell ref="X344:AA344"/>
    <mergeCell ref="B489:E489"/>
    <mergeCell ref="B494:E494"/>
    <mergeCell ref="B523:E523"/>
    <mergeCell ref="G480:G481"/>
    <mergeCell ref="B429:E429"/>
    <mergeCell ref="B431:E431"/>
    <mergeCell ref="C399:E400"/>
    <mergeCell ref="B538:E538"/>
    <mergeCell ref="B537:E537"/>
    <mergeCell ref="B529:E529"/>
    <mergeCell ref="B525:E525"/>
    <mergeCell ref="B460:E460"/>
    <mergeCell ref="F589:F590"/>
    <mergeCell ref="G589:G590"/>
    <mergeCell ref="B539:E539"/>
    <mergeCell ref="B551:E551"/>
    <mergeCell ref="C560:E561"/>
    <mergeCell ref="B570:E570"/>
    <mergeCell ref="B564:E564"/>
    <mergeCell ref="B566:E566"/>
    <mergeCell ref="B492:E492"/>
    <mergeCell ref="B530:E530"/>
    <mergeCell ref="B493:E493"/>
    <mergeCell ref="B552:E552"/>
    <mergeCell ref="B548:E548"/>
    <mergeCell ref="B572:E572"/>
    <mergeCell ref="B578:E578"/>
    <mergeCell ref="B583:E583"/>
    <mergeCell ref="C589:E590"/>
    <mergeCell ref="X362:AA362"/>
    <mergeCell ref="B259:E259"/>
    <mergeCell ref="B24:E24"/>
    <mergeCell ref="X88:Z88"/>
    <mergeCell ref="B91:E91"/>
    <mergeCell ref="B98:E98"/>
    <mergeCell ref="B90:E90"/>
    <mergeCell ref="B125:E125"/>
    <mergeCell ref="A641:A651"/>
    <mergeCell ref="B649:G649"/>
    <mergeCell ref="B627:E627"/>
    <mergeCell ref="B650:G650"/>
    <mergeCell ref="B628:E628"/>
    <mergeCell ref="B631:E631"/>
    <mergeCell ref="B651:G651"/>
    <mergeCell ref="B640:G640"/>
    <mergeCell ref="B563:E563"/>
    <mergeCell ref="B568:E568"/>
    <mergeCell ref="X299:AA299"/>
    <mergeCell ref="B294:E294"/>
    <mergeCell ref="B297:E297"/>
    <mergeCell ref="X290:AA290"/>
    <mergeCell ref="X303:AA303"/>
    <mergeCell ref="X300:AA300"/>
    <mergeCell ref="B286:E286"/>
    <mergeCell ref="B289:E289"/>
    <mergeCell ref="X291:AA291"/>
    <mergeCell ref="X289:AA289"/>
    <mergeCell ref="B344:E344"/>
    <mergeCell ref="B305:E305"/>
    <mergeCell ref="X459:AA459"/>
    <mergeCell ref="B267:E267"/>
    <mergeCell ref="F399:F400"/>
    <mergeCell ref="AF20:AJ20"/>
    <mergeCell ref="B21:E21"/>
    <mergeCell ref="B7:W7"/>
    <mergeCell ref="AE5:AI7"/>
    <mergeCell ref="AF13:AH13"/>
    <mergeCell ref="AC8:AI9"/>
    <mergeCell ref="B11:E11"/>
    <mergeCell ref="B12:E12"/>
    <mergeCell ref="AF16:AH16"/>
    <mergeCell ref="B17:E17"/>
    <mergeCell ref="H34:K34"/>
    <mergeCell ref="X138:AA138"/>
    <mergeCell ref="X139:AA139"/>
    <mergeCell ref="B220:E220"/>
    <mergeCell ref="B203:E203"/>
    <mergeCell ref="B212:E212"/>
    <mergeCell ref="B140:E140"/>
    <mergeCell ref="X175:AA175"/>
    <mergeCell ref="B178:E178"/>
    <mergeCell ref="X172:AA172"/>
    <mergeCell ref="B184:E184"/>
    <mergeCell ref="AB79:AB80"/>
    <mergeCell ref="F79:F80"/>
    <mergeCell ref="X45:AA45"/>
    <mergeCell ref="AF159:AH159"/>
    <mergeCell ref="B121:E121"/>
    <mergeCell ref="B69:E69"/>
    <mergeCell ref="X37:AA37"/>
    <mergeCell ref="B58:E58"/>
    <mergeCell ref="B79:B80"/>
    <mergeCell ref="B6:W6"/>
    <mergeCell ref="AF21:AI21"/>
    <mergeCell ref="X305:AA305"/>
    <mergeCell ref="X304:AA304"/>
    <mergeCell ref="X302:AA302"/>
    <mergeCell ref="X295:AA295"/>
    <mergeCell ref="X259:AA259"/>
    <mergeCell ref="X256:AA256"/>
    <mergeCell ref="X87:Z87"/>
    <mergeCell ref="X109:AA109"/>
    <mergeCell ref="B284:E284"/>
    <mergeCell ref="B615:E615"/>
    <mergeCell ref="B280:E280"/>
    <mergeCell ref="B291:E291"/>
    <mergeCell ref="B302:E302"/>
    <mergeCell ref="B257:E257"/>
    <mergeCell ref="B110:E110"/>
    <mergeCell ref="B269:E269"/>
    <mergeCell ref="B248:E248"/>
    <mergeCell ref="G108:O108"/>
    <mergeCell ref="G109:O109"/>
    <mergeCell ref="B292:E292"/>
    <mergeCell ref="B290:E290"/>
    <mergeCell ref="B314:E314"/>
    <mergeCell ref="B415:E415"/>
    <mergeCell ref="B485:E485"/>
    <mergeCell ref="B273:E273"/>
    <mergeCell ref="B262:E262"/>
    <mergeCell ref="B270:E270"/>
    <mergeCell ref="B264:E264"/>
    <mergeCell ref="B116:E116"/>
    <mergeCell ref="B104:E104"/>
    <mergeCell ref="B265:E265"/>
    <mergeCell ref="B131:E131"/>
    <mergeCell ref="AF22:AJ22"/>
    <mergeCell ref="B491:E491"/>
    <mergeCell ref="H8:W8"/>
    <mergeCell ref="B10:E10"/>
    <mergeCell ref="B8:B9"/>
    <mergeCell ref="G111:M111"/>
    <mergeCell ref="B137:E137"/>
    <mergeCell ref="B97:E97"/>
    <mergeCell ref="B87:E87"/>
    <mergeCell ref="B64:E64"/>
    <mergeCell ref="B20:E20"/>
    <mergeCell ref="B59:E59"/>
    <mergeCell ref="B287:E287"/>
    <mergeCell ref="X260:AA260"/>
    <mergeCell ref="X272:AA272"/>
    <mergeCell ref="X273:AA273"/>
    <mergeCell ref="X269:AA269"/>
    <mergeCell ref="B263:E263"/>
    <mergeCell ref="B271:E271"/>
    <mergeCell ref="B298:E298"/>
    <mergeCell ref="B310:E310"/>
    <mergeCell ref="B362:E362"/>
    <mergeCell ref="B461:E461"/>
    <mergeCell ref="B469:E469"/>
    <mergeCell ref="B467:E467"/>
    <mergeCell ref="B468:E468"/>
    <mergeCell ref="B145:E145"/>
    <mergeCell ref="H319:W319"/>
    <mergeCell ref="X294:AA294"/>
    <mergeCell ref="X262:AA262"/>
    <mergeCell ref="B100:E100"/>
    <mergeCell ref="X468:AA468"/>
    <mergeCell ref="AJ1:AJ2"/>
    <mergeCell ref="AE1:AI1"/>
    <mergeCell ref="Y1:AD1"/>
    <mergeCell ref="AF11:AH11"/>
    <mergeCell ref="AE3:AI4"/>
    <mergeCell ref="AE2:AG2"/>
    <mergeCell ref="AF14:AH14"/>
    <mergeCell ref="X5:AD7"/>
    <mergeCell ref="AB8:AB9"/>
    <mergeCell ref="AF12:AH12"/>
    <mergeCell ref="AF10:AH10"/>
    <mergeCell ref="B1:W1"/>
    <mergeCell ref="B3:D5"/>
    <mergeCell ref="E5:W5"/>
    <mergeCell ref="X3:AD4"/>
    <mergeCell ref="X22:AA22"/>
    <mergeCell ref="B22:E22"/>
    <mergeCell ref="X20:AA20"/>
    <mergeCell ref="X16:AA16"/>
    <mergeCell ref="X8:AA9"/>
    <mergeCell ref="B14:E14"/>
    <mergeCell ref="Q18:W18"/>
    <mergeCell ref="E3:W3"/>
    <mergeCell ref="E4:W4"/>
    <mergeCell ref="Y2:AD2"/>
    <mergeCell ref="G8:G9"/>
    <mergeCell ref="B19:E19"/>
    <mergeCell ref="B2:W2"/>
    <mergeCell ref="X17:AA17"/>
    <mergeCell ref="Q17:W17"/>
    <mergeCell ref="F8:F9"/>
    <mergeCell ref="X21:AA21"/>
    <mergeCell ref="X15:AA15"/>
    <mergeCell ref="G120:K120"/>
    <mergeCell ref="I70:M70"/>
    <mergeCell ref="X125:AA125"/>
    <mergeCell ref="X112:AA112"/>
    <mergeCell ref="B93:E93"/>
    <mergeCell ref="B103:E103"/>
    <mergeCell ref="B83:E83"/>
    <mergeCell ref="B120:E120"/>
    <mergeCell ref="X79:AA80"/>
    <mergeCell ref="I114:W115"/>
    <mergeCell ref="B112:E112"/>
    <mergeCell ref="X123:AA123"/>
    <mergeCell ref="X121:AA121"/>
    <mergeCell ref="X118:AA118"/>
    <mergeCell ref="X114:AA114"/>
    <mergeCell ref="B117:E117"/>
    <mergeCell ref="B122:E122"/>
    <mergeCell ref="B119:E119"/>
    <mergeCell ref="G117:K117"/>
    <mergeCell ref="X115:AA115"/>
    <mergeCell ref="B101:E101"/>
    <mergeCell ref="X122:AA122"/>
    <mergeCell ref="X120:AA120"/>
    <mergeCell ref="G116:K116"/>
    <mergeCell ref="G118:K118"/>
    <mergeCell ref="G110:M110"/>
    <mergeCell ref="B105:E105"/>
    <mergeCell ref="O96:W96"/>
    <mergeCell ref="B118:E118"/>
    <mergeCell ref="B109:E109"/>
    <mergeCell ref="H36:K36"/>
    <mergeCell ref="B113:E113"/>
    <mergeCell ref="B99:E99"/>
    <mergeCell ref="B95:E95"/>
    <mergeCell ref="B162:E162"/>
    <mergeCell ref="B161:E161"/>
    <mergeCell ref="X50:AA50"/>
    <mergeCell ref="B56:E56"/>
    <mergeCell ref="B153:E153"/>
    <mergeCell ref="B75:E75"/>
    <mergeCell ref="X72:AA72"/>
    <mergeCell ref="X155:AA155"/>
    <mergeCell ref="X174:AA174"/>
    <mergeCell ref="X143:AA143"/>
    <mergeCell ref="B167:E167"/>
    <mergeCell ref="B111:E111"/>
    <mergeCell ref="X83:Z83"/>
    <mergeCell ref="X108:AA108"/>
    <mergeCell ref="G79:G80"/>
    <mergeCell ref="B82:E82"/>
    <mergeCell ref="G122:K122"/>
    <mergeCell ref="G119:K119"/>
    <mergeCell ref="B89:E89"/>
    <mergeCell ref="B73:E73"/>
    <mergeCell ref="X71:AA71"/>
    <mergeCell ref="I72:M72"/>
    <mergeCell ref="B65:E65"/>
    <mergeCell ref="X169:AA169"/>
    <mergeCell ref="B71:E71"/>
    <mergeCell ref="X136:AA136"/>
    <mergeCell ref="X132:AA132"/>
    <mergeCell ref="X142:AA142"/>
    <mergeCell ref="B614:E614"/>
    <mergeCell ref="X365:AA365"/>
    <mergeCell ref="X338:AA338"/>
    <mergeCell ref="B15:E15"/>
    <mergeCell ref="AF79:AH79"/>
    <mergeCell ref="B250:E250"/>
    <mergeCell ref="X274:AA274"/>
    <mergeCell ref="B72:E72"/>
    <mergeCell ref="X128:AA128"/>
    <mergeCell ref="F81:I91"/>
    <mergeCell ref="B256:E256"/>
    <mergeCell ref="X27:AA27"/>
    <mergeCell ref="X84:Z84"/>
    <mergeCell ref="B84:E84"/>
    <mergeCell ref="AC135:AF135"/>
    <mergeCell ref="AB159:AB160"/>
    <mergeCell ref="H112:M113"/>
    <mergeCell ref="X111:AA111"/>
    <mergeCell ref="X110:AA110"/>
    <mergeCell ref="B107:E107"/>
    <mergeCell ref="B108:E108"/>
    <mergeCell ref="X113:AA113"/>
    <mergeCell ref="B88:E88"/>
    <mergeCell ref="B114:E114"/>
    <mergeCell ref="B94:E94"/>
    <mergeCell ref="B92:E92"/>
    <mergeCell ref="B139:E139"/>
    <mergeCell ref="B163:E163"/>
    <mergeCell ref="X127:AA127"/>
    <mergeCell ref="B230:E230"/>
    <mergeCell ref="X230:AA230"/>
    <mergeCell ref="H272:M277"/>
    <mergeCell ref="B18:E18"/>
    <mergeCell ref="C8:E9"/>
    <mergeCell ref="B13:E13"/>
    <mergeCell ref="B42:E42"/>
    <mergeCell ref="X116:AA116"/>
    <mergeCell ref="X245:AA245"/>
    <mergeCell ref="AF399:AH399"/>
    <mergeCell ref="AB399:AB400"/>
    <mergeCell ref="AF319:AH319"/>
    <mergeCell ref="AF239:AH239"/>
    <mergeCell ref="AB319:AB320"/>
    <mergeCell ref="X319:AA320"/>
    <mergeCell ref="X297:AA297"/>
    <mergeCell ref="B268:E268"/>
    <mergeCell ref="B258:E258"/>
    <mergeCell ref="X267:AA267"/>
    <mergeCell ref="B266:E266"/>
    <mergeCell ref="X265:AA265"/>
    <mergeCell ref="X263:AA263"/>
    <mergeCell ref="AB239:AB240"/>
    <mergeCell ref="B274:E274"/>
    <mergeCell ref="B312:E312"/>
    <mergeCell ref="H239:W239"/>
    <mergeCell ref="B387:E387"/>
    <mergeCell ref="B81:E81"/>
    <mergeCell ref="B86:E86"/>
    <mergeCell ref="C79:E80"/>
    <mergeCell ref="B74:E74"/>
    <mergeCell ref="B123:E123"/>
    <mergeCell ref="B102:E102"/>
    <mergeCell ref="B283:E283"/>
    <mergeCell ref="B133:E133"/>
    <mergeCell ref="B520:E520"/>
    <mergeCell ref="B526:E526"/>
    <mergeCell ref="AF15:AI15"/>
    <mergeCell ref="B486:E486"/>
    <mergeCell ref="B31:E31"/>
    <mergeCell ref="B499:E499"/>
    <mergeCell ref="X366:AA366"/>
    <mergeCell ref="X180:AA180"/>
    <mergeCell ref="X306:AA306"/>
    <mergeCell ref="B197:E197"/>
    <mergeCell ref="B207:E207"/>
    <mergeCell ref="B204:E204"/>
    <mergeCell ref="B194:E194"/>
    <mergeCell ref="B200:E200"/>
    <mergeCell ref="X257:AA257"/>
    <mergeCell ref="B192:E192"/>
    <mergeCell ref="B232:E232"/>
    <mergeCell ref="B206:E206"/>
    <mergeCell ref="X253:AA253"/>
    <mergeCell ref="X277:AA277"/>
    <mergeCell ref="B226:E226"/>
    <mergeCell ref="B202:E202"/>
    <mergeCell ref="B210:E210"/>
    <mergeCell ref="X224:AA224"/>
    <mergeCell ref="X244:AA244"/>
    <mergeCell ref="X233:AA233"/>
    <mergeCell ref="X231:AA231"/>
    <mergeCell ref="B239:B240"/>
    <mergeCell ref="B231:E231"/>
    <mergeCell ref="B472:E472"/>
    <mergeCell ref="X472:AA472"/>
    <mergeCell ref="B245:E245"/>
  </mergeCells>
  <phoneticPr fontId="0" type="noConversion"/>
  <hyperlinks>
    <hyperlink ref="AB10" r:id="rId1" display="https://www.jivi.com.ar/ficha.php?id=25"/>
    <hyperlink ref="AB13" r:id="rId2" display="https://www.jivi.com.ar/ficha.php?id=27"/>
    <hyperlink ref="AB29" r:id="rId3" display="https://www.jivi.com.ar/ficha.php?id=660"/>
    <hyperlink ref="AB36" r:id="rId4"/>
    <hyperlink ref="AB35" r:id="rId5"/>
    <hyperlink ref="AB34" r:id="rId6"/>
    <hyperlink ref="AB33" r:id="rId7"/>
    <hyperlink ref="AB32" r:id="rId8"/>
    <hyperlink ref="AB52" r:id="rId9"/>
    <hyperlink ref="AB53" r:id="rId10"/>
    <hyperlink ref="AB56" r:id="rId11" display="https://www.jivi.com.ar/ficha.php?id=41"/>
    <hyperlink ref="AB57" r:id="rId12" display="https://www.jivi.com.ar/ficha.php?id=42"/>
    <hyperlink ref="AB58" r:id="rId13" display="https://www.jivi.com.ar/ficha.php?id=649"/>
    <hyperlink ref="AB59" r:id="rId14" display="https://www.jivi.com.ar/ficha.php?id=650"/>
    <hyperlink ref="AB65" r:id="rId15" display="https://www.jivi.com.ar/ficha.php?id=164"/>
    <hyperlink ref="AB69" r:id="rId16" display="https://www.jivi.com.ar/ficha.php?id=77"/>
    <hyperlink ref="AB71" r:id="rId17"/>
    <hyperlink ref="AB73" r:id="rId18"/>
    <hyperlink ref="AB74" r:id="rId19"/>
    <hyperlink ref="AC81" r:id="rId20"/>
    <hyperlink ref="AD81" r:id="rId21"/>
    <hyperlink ref="AE81" r:id="rId22"/>
    <hyperlink ref="AF81" r:id="rId23"/>
    <hyperlink ref="AG81" r:id="rId24"/>
    <hyperlink ref="AC82" r:id="rId25"/>
    <hyperlink ref="AD82" r:id="rId26"/>
    <hyperlink ref="AE82" r:id="rId27"/>
    <hyperlink ref="AF82" r:id="rId28"/>
    <hyperlink ref="AG82" r:id="rId29"/>
    <hyperlink ref="AH82" r:id="rId30"/>
    <hyperlink ref="AC83" r:id="rId31"/>
    <hyperlink ref="AD83" r:id="rId32"/>
    <hyperlink ref="AE83" r:id="rId33"/>
    <hyperlink ref="AF83" r:id="rId34"/>
    <hyperlink ref="AH83" r:id="rId35"/>
    <hyperlink ref="AG83" r:id="rId36"/>
    <hyperlink ref="AC84" r:id="rId37"/>
    <hyperlink ref="AD84" r:id="rId38"/>
    <hyperlink ref="AE84" r:id="rId39"/>
    <hyperlink ref="AF84" r:id="rId40"/>
    <hyperlink ref="AC85" r:id="rId41"/>
    <hyperlink ref="AD85" r:id="rId42"/>
    <hyperlink ref="AE85" r:id="rId43"/>
    <hyperlink ref="AF85" r:id="rId44"/>
    <hyperlink ref="AG85" r:id="rId45"/>
    <hyperlink ref="AC86" r:id="rId46"/>
    <hyperlink ref="AD86" r:id="rId47"/>
    <hyperlink ref="AE86" r:id="rId48"/>
    <hyperlink ref="AC87" r:id="rId49"/>
    <hyperlink ref="AD87" r:id="rId50"/>
    <hyperlink ref="AE87" r:id="rId51"/>
    <hyperlink ref="AF87" r:id="rId52"/>
    <hyperlink ref="AG87" r:id="rId53"/>
    <hyperlink ref="AH87" r:id="rId54"/>
    <hyperlink ref="AB88" r:id="rId55"/>
    <hyperlink ref="AB89" r:id="rId56"/>
    <hyperlink ref="AB90" r:id="rId57"/>
    <hyperlink ref="AC91" r:id="rId58"/>
    <hyperlink ref="AD91" r:id="rId59"/>
    <hyperlink ref="AE91" r:id="rId60"/>
    <hyperlink ref="AF91" r:id="rId61"/>
    <hyperlink ref="AG91" r:id="rId62"/>
    <hyperlink ref="AB312" r:id="rId63" display="https://www.jivi.com.ar/ficha.php?id=187"/>
    <hyperlink ref="AB314" r:id="rId64" display="https://www.jivi.com.ar/ficha.php?id=4"/>
    <hyperlink ref="AB331" r:id="rId65" display="https://www.jivi.com.ar/ficha.php?id=55"/>
    <hyperlink ref="AB334" r:id="rId66" display="https://www.jivi.com.ar/ficha.php?id=209"/>
    <hyperlink ref="AB335" r:id="rId67"/>
    <hyperlink ref="AB342" r:id="rId68" display="https://www.jivi.com.ar/ficha.php?id=60"/>
    <hyperlink ref="AB344" r:id="rId69" display="https://www.jivi.com.ar/ficha.php?id=380"/>
    <hyperlink ref="AB348" r:id="rId70" display="https://www.jivi.com.ar/ficha.php?id=548"/>
    <hyperlink ref="AB349" r:id="rId71"/>
    <hyperlink ref="AB350" r:id="rId72" display="https://www.jivi.com.ar/ficha.php?id=719"/>
    <hyperlink ref="AB102" r:id="rId73" display="https://www.jivi.com.ar/ficha.php?id=326"/>
    <hyperlink ref="AB105" r:id="rId74" display="https://www.jivi.com.ar/ficha.php?id=211"/>
    <hyperlink ref="AB107" r:id="rId75" display="https://www.jivi.com.ar/ficha.php?id=134"/>
    <hyperlink ref="AB112" r:id="rId76" display="https://www.jivi.com.ar/ficha.php?id=10"/>
    <hyperlink ref="AB113" r:id="rId77" display="https://www.jivi.com.ar/ficha.php?id=11"/>
    <hyperlink ref="AB133" r:id="rId78" display="https://www.jivi.com.ar/ficha.php?id=394"/>
    <hyperlink ref="AB134" r:id="rId79" display="https://www.jivi.com.ar/ficha.php?id=145"/>
    <hyperlink ref="AB137" r:id="rId80" display="https://www.jivi.com.ar/ficha.php?id=18"/>
    <hyperlink ref="AB141" r:id="rId81" display="https://www.jivi.com.ar/ficha.php?id=19"/>
    <hyperlink ref="AB148" r:id="rId82" display="https://www.jivi.com.ar/ficha.php?id=140"/>
    <hyperlink ref="AB149" r:id="rId83" display="https://www.jivi.com.ar/ficha.php?id=142"/>
    <hyperlink ref="AB150" r:id="rId84" display="https://www.jivi.com.ar/ficha.php?id=392"/>
    <hyperlink ref="AB151" r:id="rId85" display="https://www.jivi.com.ar/ficha.php?id=393"/>
    <hyperlink ref="AB176" r:id="rId86" display="https://www.jivi.com.ar/ficha.php?id=135"/>
    <hyperlink ref="AB177" r:id="rId87" display="https://www.jivi.com.ar/ficha.php?id=136"/>
    <hyperlink ref="AB178" r:id="rId88" display="https://www.jivi.com.ar/ficha.php?id=137"/>
    <hyperlink ref="AB179" r:id="rId89" display="https://www.jivi.com.ar/ficha.php?id=138"/>
    <hyperlink ref="AB187" r:id="rId90" display="https://www.jivi.com.ar/ficha.php?id=245"/>
    <hyperlink ref="AB201" r:id="rId91" display="https://www.jivi.com.ar/ficha.php?id=166"/>
    <hyperlink ref="AB202" r:id="rId92" display="https://www.jivi.com.ar/ficha.php?id=171"/>
    <hyperlink ref="AB206" r:id="rId93" display="https://www.jivi.com.ar/ficha.php?id=168"/>
    <hyperlink ref="AB212" r:id="rId94" display="https://www.jivi.com.ar/ficha.php?id=169"/>
    <hyperlink ref="AB215" r:id="rId95" display="https://www.jivi.com.ar/ficha.php?id=148"/>
    <hyperlink ref="AB216" r:id="rId96" display="https://www.jivi.com.ar/ficha.php?id=158"/>
    <hyperlink ref="AB265" r:id="rId97" display="https://www.jivi.com.ar/ficha.php?id=621"/>
    <hyperlink ref="AB266" r:id="rId98" display="https://www.jivi.com.ar/ficha.php?id=622"/>
    <hyperlink ref="AB96" r:id="rId99" display="https://www.jivi.com.ar/ficha.php?id=456"/>
    <hyperlink ref="AB271" r:id="rId100" display="https://www.jivi.com.ar/ficha.php?id=246"/>
    <hyperlink ref="AB420" r:id="rId101" display="https://www.jivi.com.ar/ficha.php?id=431"/>
    <hyperlink ref="AB424" r:id="rId102" display="https://www.jivi.com.ar/ficha.php?id=728"/>
    <hyperlink ref="AB430" r:id="rId103"/>
    <hyperlink ref="AB432" r:id="rId104"/>
    <hyperlink ref="AB451" r:id="rId105"/>
    <hyperlink ref="AB453" r:id="rId106"/>
    <hyperlink ref="AB455" r:id="rId107"/>
    <hyperlink ref="AB456" r:id="rId108"/>
    <hyperlink ref="AB457" r:id="rId109"/>
    <hyperlink ref="AB459" r:id="rId110"/>
    <hyperlink ref="AB460" r:id="rId111"/>
    <hyperlink ref="AB462" r:id="rId112"/>
    <hyperlink ref="AB465" r:id="rId113"/>
    <hyperlink ref="AB466" r:id="rId114"/>
    <hyperlink ref="AB467" r:id="rId115"/>
    <hyperlink ref="AB593" r:id="rId116"/>
    <hyperlink ref="AB594" r:id="rId117"/>
    <hyperlink ref="AB595" r:id="rId118"/>
    <hyperlink ref="AB598" r:id="rId119"/>
    <hyperlink ref="AB603" r:id="rId120"/>
    <hyperlink ref="AB604" r:id="rId121"/>
    <hyperlink ref="AB606" r:id="rId122"/>
    <hyperlink ref="AB607" r:id="rId123"/>
    <hyperlink ref="AB608" r:id="rId124"/>
    <hyperlink ref="AB98" r:id="rId125" display="https://www.jivi.com.ar/ficha.php?id=234"/>
    <hyperlink ref="AB325" r:id="rId126" display="https://www.jivi.com.ar/ficha.php?id=51"/>
    <hyperlink ref="AB336" r:id="rId127"/>
    <hyperlink ref="AB254" r:id="rId128" display="https://www.jivi.com.ar/ficha.php?id=783"/>
    <hyperlink ref="B7:V7" location="'Artículos Publicitarios'!A686" display="PARA IR A LOS RECARGOS POR IMPRESIONES ADICIONALES CLICK AQUÍ"/>
    <hyperlink ref="AB434" r:id="rId129"/>
    <hyperlink ref="AB64" r:id="rId130" display="https://www.jivi.com.ar/ficha.php?id=76"/>
    <hyperlink ref="AC54" r:id="rId131"/>
    <hyperlink ref="AD54" r:id="rId132"/>
    <hyperlink ref="AE54" r:id="rId133"/>
    <hyperlink ref="B7:W7" location="'Artículos Publicitarios'!A661" display="PARA IR A LOS RECARGOS POR IMPRESIONES ADICIONALES CLICK AQUÍ"/>
    <hyperlink ref="AB224" r:id="rId134" display="https://www.jivi.com.ar/ficha.php?id=840"/>
    <hyperlink ref="AE2:AF2" location="'Artículos Publicitarios'!A839" display="CLICK AQUÍ"/>
    <hyperlink ref="AE2" location="'Artículos Publicitarios'!A833" display="CLICK AQUÍ"/>
    <hyperlink ref="AB506" r:id="rId135" display="https://www.jivi.com.ar/ficha.php?id=846"/>
    <hyperlink ref="AB27" r:id="rId136" display="https://www.jivi.com.ar/ficha.php?id=848"/>
    <hyperlink ref="AB75" r:id="rId137"/>
    <hyperlink ref="AE2:AG2" location="'Artículos Publicitarios'!A707" display="CLICK AQUÍ"/>
    <hyperlink ref="B706:W706" location="'Artículos Publicitarios'!A3" display="PARA SUBIR AL PRINCIPIO DE LA LISTA CLICK AQUÍ"/>
    <hyperlink ref="AB251" r:id="rId138" display="https://www.jivi.com.ar/ficha.php?id=862"/>
    <hyperlink ref="AB45" r:id="rId139"/>
    <hyperlink ref="AB152" r:id="rId140" display="https://www.jivi.com.ar/ficha.php?id=882"/>
    <hyperlink ref="AB103" r:id="rId141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269" r:id="rId142" display="https://www.jivi.com.ar/ficha.php?id=903"/>
    <hyperlink ref="AB22" r:id="rId143"/>
    <hyperlink ref="AB330" r:id="rId144" display="https://www.jivi.com.ar/ficha.php?id=916"/>
    <hyperlink ref="AB262" r:id="rId145" display="https://www.jivi.com.ar/ficha.php?id=918"/>
    <hyperlink ref="AB315" r:id="rId146" display="https://www.jivi.com.ar/ficha.php?id=926"/>
    <hyperlink ref="AB66" r:id="rId147"/>
    <hyperlink ref="AB428" r:id="rId148"/>
    <hyperlink ref="AB180" r:id="rId149" display="https://www.jivi.com.ar/ficha.php?id=948"/>
    <hyperlink ref="AB332" r:id="rId150" display="https://www.jivi.com.ar/ficha.php?id=954"/>
    <hyperlink ref="AB128" r:id="rId151"/>
    <hyperlink ref="AB130" r:id="rId152"/>
    <hyperlink ref="AB129" r:id="rId153"/>
    <hyperlink ref="AB435" r:id="rId154"/>
    <hyperlink ref="AB28" r:id="rId155"/>
    <hyperlink ref="AB326" r:id="rId156" display="https://www.jivi.com.ar/ficha.php?id=850"/>
    <hyperlink ref="AB131" r:id="rId157"/>
    <hyperlink ref="AB463" r:id="rId158"/>
    <hyperlink ref="AB464" r:id="rId159"/>
    <hyperlink ref="AB609" r:id="rId160"/>
    <hyperlink ref="AB351" r:id="rId161" display="https://www.jivi.com.ar/ficha.php?id=1023"/>
    <hyperlink ref="AB324" r:id="rId162" display="https://www.jivi.com.ar/ficha.php?id=1024"/>
    <hyperlink ref="AB321" r:id="rId163" display="https://www.jivi.com.ar/ficha.php?id=1025"/>
    <hyperlink ref="AF26" location="'Artículos Publicitarios'!A122" display="IR A PINES"/>
    <hyperlink ref="AB328" r:id="rId164" display="https://www.jivi.com.ar/ficha.php?id=647"/>
    <hyperlink ref="AB311" r:id="rId165" display="https://www.jivi.com.ar/ficha.php?id=1049"/>
    <hyperlink ref="AB439" r:id="rId166"/>
    <hyperlink ref="AB169" r:id="rId167"/>
    <hyperlink ref="AB191" r:id="rId168" display="https://www.jivi.com.ar/ficha.php?id=1059"/>
    <hyperlink ref="AB193" r:id="rId169" display="https://www.jivi.com.ar/ficha.php?id=1061"/>
    <hyperlink ref="AB194" r:id="rId170" display="https://www.jivi.com.ar/ficha.php?id=1062"/>
    <hyperlink ref="AB24" r:id="rId171" display="https://www.jivi.com.ar/ficha.php?id=364"/>
    <hyperlink ref="AF28:AI28" location="'Artículos Publicitarios'!A479" display="IR A GORROS"/>
    <hyperlink ref="AB26" r:id="rId172"/>
    <hyperlink ref="AB25" r:id="rId173"/>
    <hyperlink ref="AF24:AI24" location="'Artículos Publicitarios'!A567" display="IR A PROD. SUBLIMADOS"/>
    <hyperlink ref="AB576" r:id="rId174" display="https://www.jivi.com.ar/ficha.php?id=1088"/>
    <hyperlink ref="AB577" r:id="rId175" display="https://www.jivi.com.ar/ficha.php?id=1089"/>
    <hyperlink ref="AB578" r:id="rId176" display="https://www.jivi.com.ar/ficha.php?id=1090"/>
    <hyperlink ref="AB579" r:id="rId177" display="https://www.jivi.com.ar/ficha.php?id=1091"/>
    <hyperlink ref="AB340" r:id="rId178" display="https://www.jivi.com.ar/ficha.php?id=1095"/>
    <hyperlink ref="AB322" r:id="rId179" display="https://www.jivi.com.ar/ficha.php?id=1094"/>
    <hyperlink ref="AB313" r:id="rId180" display="https://www.jivi.com.ar/ficha.php?id=297"/>
    <hyperlink ref="AB353" r:id="rId181" display="https://www.jivi.com.ar/ficha.php?id=1097"/>
    <hyperlink ref="AB100" r:id="rId182" display="https://www.jivi.com.ar/ficha.php?id=1098"/>
    <hyperlink ref="AB21" r:id="rId183"/>
    <hyperlink ref="AB218" r:id="rId184"/>
    <hyperlink ref="AB310" r:id="rId185" display="https://www.jivi.com.ar/ficha.php?id=1108"/>
    <hyperlink ref="AB343" r:id="rId186" display="https://www.jivi.com.ar/ficha.php?id=1116"/>
    <hyperlink ref="AF589:AH589" location="'Artículos Publicitarios'!A3" display="IR A PAGINA 1"/>
    <hyperlink ref="AF26:AI26" location="'Artículos Publicitarios'!A91" display="IR A PINES"/>
    <hyperlink ref="AF25:AI25" location="'Artículos Publicitarios'!A159" display="IR A CARPITAS"/>
    <hyperlink ref="AF21:AI21" location="'Artículos Publicitarios'!A132" display="IR A CINTAS COLGANTES"/>
    <hyperlink ref="AF29:AI29" location="'Artículos Publicitarios'!A264" display="IR A PORTADOCUMENTOS"/>
    <hyperlink ref="AB173" r:id="rId187" display="https://www.jivi.com.ar/ficha.php?id=1119"/>
    <hyperlink ref="AB174" r:id="rId188"/>
    <hyperlink ref="AB256" r:id="rId189" display="https://www.jivi.com.ar/ficha.php?id=1154"/>
    <hyperlink ref="AB267" r:id="rId190" display="https://www.jivi.com.ar/ficha.php?id=1157"/>
    <hyperlink ref="AB268" r:id="rId191" display="https://www.jivi.com.ar/ficha.php?id=1158"/>
    <hyperlink ref="AB574" r:id="rId192"/>
    <hyperlink ref="AB580" r:id="rId193" display="hhttps://www.jivi.com.ar/ficha.php?id=1155"/>
    <hyperlink ref="AB582" r:id="rId194" display="https://www.jivi.com.ar/ficha.php?id=1156"/>
    <hyperlink ref="AB585" r:id="rId195"/>
    <hyperlink ref="AB592" r:id="rId196"/>
    <hyperlink ref="AB323" r:id="rId197"/>
    <hyperlink ref="AB55" r:id="rId198" display="https://www.jivi.com.ar/ficha.php?id=1172"/>
    <hyperlink ref="AB327" r:id="rId199"/>
    <hyperlink ref="AB99" r:id="rId200"/>
    <hyperlink ref="AB120" r:id="rId201"/>
    <hyperlink ref="AB329" r:id="rId202" display="https://www.jivi.com.ar/ficha.php?id=915"/>
    <hyperlink ref="AB110" r:id="rId203" display="https://www.jivi.com.ar/ficha.php?id=1182"/>
    <hyperlink ref="AB119" r:id="rId204" display="https://www.jivi.com.ar/ficha.php?id=1183"/>
    <hyperlink ref="AB121" r:id="rId205"/>
    <hyperlink ref="AB333" r:id="rId206" display="https://www.jivi.com.ar/ficha.php?id=349"/>
    <hyperlink ref="AB389" r:id="rId207" display="https://www.jivi.com.ar/ficha.php?id=1190"/>
    <hyperlink ref="AB388" r:id="rId208" display="https://www.jivi.com.ar/ficha.php?id=1192"/>
    <hyperlink ref="AB108" r:id="rId209" display="https://www.jivi.com.ar/ficha.php?id=1181"/>
    <hyperlink ref="AB338" r:id="rId210"/>
    <hyperlink ref="AB436" r:id="rId211"/>
    <hyperlink ref="AB390" r:id="rId212" display="https://www.jivi.com.ar/ficha.php?id=1219"/>
    <hyperlink ref="AB50" r:id="rId213"/>
    <hyperlink ref="AB49" r:id="rId214"/>
    <hyperlink ref="AB51" r:id="rId215"/>
    <hyperlink ref="AB270" r:id="rId216" display="https://www.jivi.com.ar/ficha.php?id=904"/>
    <hyperlink ref="AB62" r:id="rId217"/>
    <hyperlink ref="AB416" r:id="rId218" display="https://www.jivi.com.ar/ficha.php?id=1225"/>
    <hyperlink ref="AB44" r:id="rId219"/>
    <hyperlink ref="AB263" r:id="rId220" display="https://www.jivi.com.ar/ficha.php?id=919"/>
    <hyperlink ref="AB192" r:id="rId221" display="https://www.jivi.com.ar/ficha.php?id=1060"/>
    <hyperlink ref="AB43" r:id="rId222"/>
    <hyperlink ref="AB153" r:id="rId223" display="https://www.jivi.com.ar/ficha.php?id=883"/>
    <hyperlink ref="AB469" r:id="rId224"/>
    <hyperlink ref="AB125" r:id="rId225" display="https://www.jivi.com.ar/ficha.php?id=1055"/>
    <hyperlink ref="AB508" r:id="rId226" display="https://www.jivi.com.ar/ficha.php?id=1248"/>
    <hyperlink ref="AB341" r:id="rId227" display="https://www.jivi.com.ar/ficha.php?id=1253"/>
    <hyperlink ref="AF559:AH559" location="'Artículos Publicitarios'!A3" display="IR A PAGINA 1"/>
    <hyperlink ref="AB252" r:id="rId228" display="https://www.jivi.com.ar/ficha.php?id=1124"/>
    <hyperlink ref="AB154" r:id="rId229" display="https://www.jivi.com.ar/ficha.php?id=1261"/>
    <hyperlink ref="AB367" r:id="rId230" display="https://www.jivi.com.ar/ficha.php?id=1267"/>
    <hyperlink ref="AB417" r:id="rId231" display="https://www.jivi.com.ar/ficha.php?id=1268"/>
    <hyperlink ref="AB368" r:id="rId232" display="https://www.jivi.com.ar/ficha.php?id=1277"/>
    <hyperlink ref="AB369" r:id="rId233" display="https://www.jivi.com.ar/ficha.php?id=1278"/>
    <hyperlink ref="AB370" r:id="rId234" display="https://www.jivi.com.ar/ficha.php?id=1280"/>
    <hyperlink ref="AB624" r:id="rId235"/>
    <hyperlink ref="AB97" r:id="rId236" display="https://www.jivi.com.ar/ficha.php?id=378"/>
    <hyperlink ref="AB171" r:id="rId237"/>
    <hyperlink ref="AB109" r:id="rId238"/>
    <hyperlink ref="AB111" r:id="rId239"/>
    <hyperlink ref="AB116" r:id="rId240" display="https://www.jivi.com.ar/ficha.php?id=1305"/>
    <hyperlink ref="AB117" r:id="rId241"/>
    <hyperlink ref="AB217" r:id="rId242" display="https://www.jivi.com.ar/ficha.php?id=1287"/>
    <hyperlink ref="AB584" r:id="rId243" display="https://www.jivi.com.ar/ficha.php?id=1290"/>
    <hyperlink ref="AB164" r:id="rId244" display="https://www.jivi.com.ar/ficha.php?id=1316"/>
    <hyperlink ref="AB104" r:id="rId245" display="https://www.jivi.com.ar/ficha.php?id=1314"/>
    <hyperlink ref="AJ1:AJ2" location="'Artículos Publicitarios'!A3" display="IR A PAGINA 1"/>
    <hyperlink ref="AB170" r:id="rId246"/>
    <hyperlink ref="AB355" r:id="rId247" display="https://www.jivi.com.ar/ficha.php?id=1344"/>
    <hyperlink ref="AB118" r:id="rId248"/>
    <hyperlink ref="AF666:AH666" location="'Artículos Publicitarios'!A3" display="IR A PAGINA 1"/>
    <hyperlink ref="AB162" r:id="rId249" display="https://www.jivi.com.ar/ficha.php?id=1346"/>
    <hyperlink ref="AB163" r:id="rId250" display="https://www.jivi.com.ar/ficha.php?id=1347"/>
    <hyperlink ref="AB190" r:id="rId251" display="https://www.jivi.com.ar/ficha.php?id=1348"/>
    <hyperlink ref="AB356" r:id="rId252" display="https://www.jivi.com.ar/ficha.php?id=1359"/>
    <hyperlink ref="AB371" r:id="rId253" display="https://www.jivi.com.ar/ficha.php?id=1360"/>
    <hyperlink ref="AB172" r:id="rId254"/>
    <hyperlink ref="AB106" r:id="rId255" display="https://www.jivi.com.ar/ficha.php?id=1366"/>
    <hyperlink ref="AC8:AI9" r:id="rId256" display="REGISTRATE EN NUESTRA WEB PARA BAJAR LISTA DE PRECIOS DESDE CUALQUIER PC"/>
    <hyperlink ref="AB253" r:id="rId257" display="https://www.jivi.com.ar/ficha.php?id=864"/>
    <hyperlink ref="AB375" r:id="rId258" display="https://www.jivi.com.ar/ficha.php?id=1372"/>
    <hyperlink ref="AB374" r:id="rId259" display="https://www.jivi.com.ar/ficha.php?id=1378"/>
    <hyperlink ref="AB376" r:id="rId260" display="https://www.jivi.com.ar/ficha.php?id=1382"/>
    <hyperlink ref="AB373" r:id="rId261" display="https://www.jivi.com.ar/ficha.php?id=1383"/>
    <hyperlink ref="AB394" r:id="rId262" display="https://www.jivi.com.ar/ficha.php?id=1384"/>
    <hyperlink ref="AB123" r:id="rId263" display="https://www.jivi.com.ar/ficha.php?id=1428"/>
    <hyperlink ref="AB395" r:id="rId264" display="https://www.jivi.com.ar/ficha.php?id=1385"/>
    <hyperlink ref="AB393" r:id="rId265" display="https://www.jivi.com.ar/ficha.php?id=1387"/>
    <hyperlink ref="AB401" r:id="rId266" display="https://www.jivi.com.ar/ficha.php?id=1389"/>
    <hyperlink ref="AB402" r:id="rId267" display="https://www.jivi.com.ar/ficha.php?id=1390"/>
    <hyperlink ref="AB146" r:id="rId268" display="https://www.jivi.com.ar/ficha.php?id=1391"/>
    <hyperlink ref="AB23" r:id="rId269" display="https://www.jivi.com.ar/ficha.php?id=363"/>
    <hyperlink ref="AF23" location="'Artículos Publicitarios'!A582" display="IR A REMERAS"/>
    <hyperlink ref="AF23:AI23" location="'Artículos Publicitarios'!A472" display="IR A REMERAS"/>
    <hyperlink ref="AF29:AJ29" location="'Artículos Publicitarios'!A223" display="IR A PORTADOCUMENTOS"/>
    <hyperlink ref="AF27:AH27" location="'Artículos Publicitarios'!A427" display="IR A BOLIGRAFOS"/>
    <hyperlink ref="AF27:AI27" location="'Artículos Publicitarios'!A128" display="IR A LLAVEROS DE CUERO"/>
    <hyperlink ref="AF27:AJ27" location="'Artículos Publicitarios'!A612" display="IR A ART. DE CUERO - CUCHILLERIA"/>
    <hyperlink ref="AB61" r:id="rId270" display="https://www.jivi.com.ar/ficha.php?id=236"/>
    <hyperlink ref="AB165" r:id="rId271" display="https://www.jivi.com.ar/ficha.php?id=1343"/>
    <hyperlink ref="AF13:AH13" location="'Artículos Publicitarios'!A342" display="IR A PAGINA 5"/>
    <hyperlink ref="AF14:AH14" location="'Artículos Publicitarios'!A421" display="IR A PAGINA 6"/>
    <hyperlink ref="AB377" r:id="rId272" display="https://www.jivi.com.ar/ficha.php?id=1394"/>
    <hyperlink ref="AB219" r:id="rId273" display="https://www.jivi.com.ar/ficha.php?id=872"/>
    <hyperlink ref="AB144" r:id="rId274" display="https://www.jivi.com.ar/ficha.php?id=1398"/>
    <hyperlink ref="AB143" r:id="rId275" display="https://www.jivi.com.ar/ficha.php?id=1399"/>
    <hyperlink ref="AF20:AH20" location="'Artículos Publicitarios'!A427" display="IR A BOLIGRAFOS"/>
    <hyperlink ref="AF20:AI20" location="'Artículos Publicitarios'!A128" display="IR A LLAVEROS DE CUERO"/>
    <hyperlink ref="AF20:AJ20" location="'Artículos Publicitarios'!A331" display="IR A BOLIGRAFOS"/>
    <hyperlink ref="AB392" r:id="rId276" display="https://www.jivi.com.ar/ficha.php?id=1262"/>
    <hyperlink ref="AB372" r:id="rId277" display="https://www.jivi.com.ar/ficha.php?id=1400"/>
    <hyperlink ref="AB378" r:id="rId278" display="https://www.jivi.com.ar/ficha.php?id=1401"/>
    <hyperlink ref="AB155" r:id="rId279" display="https://www.jivi.com.ar/ficha.php?id=1392"/>
    <hyperlink ref="AB247" r:id="rId280" display="https://www.jivi.com.ar/ficha.php?id=1230"/>
    <hyperlink ref="AB357" r:id="rId281" display="https://www.jivi.com.ar/ficha.php?id=1110"/>
    <hyperlink ref="AB360" r:id="rId282" display="https://www.jivi.com.ar/ficha.php?id=1111"/>
    <hyperlink ref="AF22:AI22" location="'Artículos Publicitarios'!A325" display="IR A SET DE NOTAS"/>
    <hyperlink ref="AF22:AJ22" location="'Artículos Publicitarios'!A502" display="IR A PARAGUAS"/>
    <hyperlink ref="AB93" r:id="rId283" display="https://www.jivi.com.ar/ficha.php?id=477"/>
    <hyperlink ref="AB95" r:id="rId284" display="https://www.jivi.com.ar/ficha.php?id=376"/>
    <hyperlink ref="AB14" r:id="rId285" display="https://www.jivi.com.ar/ficha.php?id=1402"/>
    <hyperlink ref="AB502" r:id="rId286" display="https://www.jivi.com.ar/ficha.php?id=1393"/>
    <hyperlink ref="AB17" r:id="rId287" display="https://www.jivi.com.ar/ficha.php?id=1405"/>
    <hyperlink ref="AB122" r:id="rId288" display="https://www.jivi.com.ar/ficha.php?id=1413"/>
    <hyperlink ref="AB167" r:id="rId289" display="https://www.jivi.com.ar/ficha.php?id=1416"/>
    <hyperlink ref="AB168" r:id="rId290" display="https://www.jivi.com.ar/ficha.php?id=1415"/>
    <hyperlink ref="AF12:AH12" location="'Artículos Publicitarios'!A260" display="IR A PAGINA 4"/>
    <hyperlink ref="AF10:AH10" location="'Artículos Publicitarios'!A102" display="IR A PAGINA 2"/>
    <hyperlink ref="AB307" r:id="rId291" display="https://www.jivi.com.ar/ficha.php?id=1356"/>
    <hyperlink ref="AB205" r:id="rId292" display="https://www.jivi.com.ar/ficha.php?id=1084"/>
    <hyperlink ref="AB304" r:id="rId293" display="https://www.jivi.com.ar/ficha.php?id=1353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651" display="IR A DELANTALES"/>
    <hyperlink ref="AB627" r:id="rId294"/>
    <hyperlink ref="AB630" r:id="rId295"/>
    <hyperlink ref="AB264" r:id="rId296" display="https://www.jivi.com.ar/ficha.php?id=1281"/>
    <hyperlink ref="AB622" r:id="rId297"/>
    <hyperlink ref="AB288" r:id="rId298" display="https://www.jivi.com.ar/ficha.php?id=1421"/>
    <hyperlink ref="AB291" r:id="rId299" display="https://www.jivi.com.ar/ficha.php?id=1422"/>
    <hyperlink ref="AB292" r:id="rId300" display="https://www.jivi.com.ar/ficha.php?id=1423"/>
    <hyperlink ref="AB302" r:id="rId301" display="https://www.jivi.com.ar/ficha.php?id=1425"/>
    <hyperlink ref="AB303" r:id="rId302" display="https://www.jivi.com.ar/ficha.php?id=1426"/>
    <hyperlink ref="AB414" r:id="rId303" display="https://www.jivi.com.ar/ficha.php?id=1429"/>
    <hyperlink ref="AB437" r:id="rId304"/>
    <hyperlink ref="AB438" r:id="rId305"/>
    <hyperlink ref="AB16" r:id="rId306" display="https://www.jivi.com.ar/ficha.php?id=1433"/>
    <hyperlink ref="AB496" r:id="rId307" display="https://www.jivi.com.ar/ficha.php?id=1436"/>
    <hyperlink ref="AB497" r:id="rId308" display="https://www.jivi.com.ar/ficha.php?id=1437"/>
    <hyperlink ref="AB498" r:id="rId309"/>
    <hyperlink ref="AB500" r:id="rId310" display="https://www.jivi.com.ar/ficha.php?id=1439"/>
    <hyperlink ref="AB290" r:id="rId311" display="https://www.jivi.com.ar/ficha.php?id=1442"/>
    <hyperlink ref="AB301" r:id="rId312" display="https://www.jivi.com.ar/ficha.php?id=1427"/>
    <hyperlink ref="AB605" r:id="rId313"/>
    <hyperlink ref="AB352" r:id="rId314" display="https://www.jivi.com.ar/ficha.php?id=1056"/>
    <hyperlink ref="AB246" r:id="rId315" display="https://www.jivi.com.ar/ficha.php?id=1334"/>
    <hyperlink ref="AB244" r:id="rId316" display="https://www.jivi.com.ar/ficha.php?id=1335"/>
    <hyperlink ref="AB298" r:id="rId317" display="https://www.jivi.com.ar/ficha.php?id=1443"/>
    <hyperlink ref="AB305" r:id="rId318" display="https://www.jivi.com.ar/ficha.php?id=1354"/>
    <hyperlink ref="AB297" r:id="rId319" display="https://www.jivi.com.ar/ficha.php?id=1446"/>
    <hyperlink ref="AB296" r:id="rId320" display="https://www.jivi.com.ar/ficha.php?id=1447"/>
    <hyperlink ref="AB300" r:id="rId321" display="https://www.jivi.com.ar/ficha.php?id=1448"/>
    <hyperlink ref="AB309" r:id="rId322" display="https://www.jivi.com.ar/ficha.php?id=1449"/>
    <hyperlink ref="AB308" r:id="rId323" display="https://www.jivi.com.ar/ficha.php?id=1450"/>
    <hyperlink ref="AB126" r:id="rId324" display="https://www.jivi.com.ar/ficha.php?id=1451"/>
    <hyperlink ref="AB188" r:id="rId325"/>
    <hyperlink ref="AB196" r:id="rId326" display="https://www.jivi.com.ar/ficha.php?id=1064"/>
    <hyperlink ref="AB195" r:id="rId327" display="https://www.jivi.com.ar/ficha.php?id=1063"/>
    <hyperlink ref="AB429" r:id="rId328"/>
    <hyperlink ref="AB625" r:id="rId329"/>
    <hyperlink ref="AB384" r:id="rId330" display="https://www.jivi.com.ar/ficha.php?id=1463"/>
    <hyperlink ref="AB385" r:id="rId331" display="https://www.jivi.com.ar/ficha.php?id=1464"/>
    <hyperlink ref="AB386" r:id="rId332" display="https://www.jivi.com.ar/ficha.php?id=1465"/>
    <hyperlink ref="AB405" r:id="rId333" display="https://www.jivi.com.ar/ficha.php?id=1466"/>
    <hyperlink ref="AB503" r:id="rId334" display="https://www.jivi.com.ar/ficha.php?id=1467"/>
    <hyperlink ref="AB501" r:id="rId335" display="https://www.jivi.com.ar/ficha.php?id=1468"/>
    <hyperlink ref="AB507" r:id="rId336" display="https://www.jivi.com.ar/ficha.php?id=1470"/>
    <hyperlink ref="AB511" r:id="rId337"/>
    <hyperlink ref="AB512" r:id="rId338" display="https://www.jivi.com.ar/ficha.php?id=1472"/>
    <hyperlink ref="AB458" r:id="rId339"/>
    <hyperlink ref="AB572" r:id="rId340"/>
    <hyperlink ref="AB573" r:id="rId341"/>
    <hyperlink ref="AB571" r:id="rId342"/>
    <hyperlink ref="AB209" r:id="rId343" display="https://www.jivi.com.ar/ficha.php?id=1478"/>
    <hyperlink ref="AB210" r:id="rId344"/>
    <hyperlink ref="AB211" r:id="rId345"/>
    <hyperlink ref="AB204" r:id="rId346" display="https://www.jivi.com.ar/ficha.php?id=1481"/>
    <hyperlink ref="AB220" r:id="rId347" display="https://www.jivi.com.ar/ficha.php?id=1483"/>
    <hyperlink ref="AB242" r:id="rId348" display="https://www.jivi.com.ar/ficha.php?id=1486"/>
    <hyperlink ref="AB243" r:id="rId349" display="https://www.jivi.com.ar/ficha.php?id=1488"/>
    <hyperlink ref="AB258" r:id="rId350" display="https://www.jivi.com.ar/ficha.php?id=1492"/>
    <hyperlink ref="AB259" r:id="rId351" display="https://www.jivi.com.ar/ficha.php?id=1493"/>
    <hyperlink ref="AB260" r:id="rId352" display="https://www.jivi.com.ar/ficha.php?id=1494"/>
    <hyperlink ref="AB261" r:id="rId353"/>
    <hyperlink ref="AB272" r:id="rId354" display="https://www.jivi.com.ar/ficha.php?id=1496"/>
    <hyperlink ref="AB273" r:id="rId355" display="https://www.jivi.com.ar/ficha.php?id=1497"/>
    <hyperlink ref="AB275" r:id="rId356" display="httphttps://www.jivi.com.ar/ficha.php?id=1498"/>
    <hyperlink ref="AB276" r:id="rId357" display="https://www.jivi.com.ar/ficha.php?id=1499"/>
    <hyperlink ref="AB277" r:id="rId358" display="https://www.jivi.com.ar/ficha.php?id=1500"/>
    <hyperlink ref="AB38" r:id="rId359"/>
    <hyperlink ref="AB286" r:id="rId360" display="https://www.jivi.com.ar/ficha.php?id=1503"/>
    <hyperlink ref="AB40" r:id="rId361"/>
    <hyperlink ref="AB37" r:id="rId362"/>
    <hyperlink ref="AB39" r:id="rId363"/>
    <hyperlink ref="AB41" r:id="rId364"/>
    <hyperlink ref="AB42" r:id="rId365"/>
    <hyperlink ref="AB495" r:id="rId366" display="https://www.jivi.com.ar/ficha.php?id=1509"/>
    <hyperlink ref="AB471" r:id="rId367"/>
    <hyperlink ref="AB468" r:id="rId368"/>
    <hyperlink ref="AB285" r:id="rId369" display="https://www.jivi.com.ar/ficha.php?id=1515"/>
    <hyperlink ref="AB70" r:id="rId370"/>
    <hyperlink ref="AB72" r:id="rId371"/>
    <hyperlink ref="AB380" r:id="rId372" display="https://www.jivi.com.ar/ficha.php?id=1523"/>
    <hyperlink ref="AB623" r:id="rId373"/>
    <hyperlink ref="AB284" r:id="rId374" display="https://www.jivi.com.ar/ficha.php?id=1524"/>
    <hyperlink ref="AB287" r:id="rId375" display="https://www.jivi.com.ar/ficha.php?id=1526"/>
    <hyperlink ref="AB289" r:id="rId376" display="https://www.jivi.com.ar/ficha.php?id=1527"/>
    <hyperlink ref="AB231" r:id="rId377" display="https://www.jivi.com.ar/ficha.php?id=1532"/>
    <hyperlink ref="AB241" r:id="rId378" display="https://www.jivi.com.ar/ficha.php?id=1534"/>
    <hyperlink ref="AB614" r:id="rId379" display="https://www.jivi.com.ar/ficha.php?id=1535"/>
    <hyperlink ref="AB615" r:id="rId380" display="https://www.jivi.com.ar/ficha.php?id=1536"/>
    <hyperlink ref="AB222" r:id="rId381" display="https://www.jivi.com.ar/ficha.php?id=1539"/>
    <hyperlink ref="AB127" r:id="rId382" display="https://www.jivi.com.ar/ficha.php?id=1540"/>
    <hyperlink ref="AB509" r:id="rId383" display="https://www.jivi.com.ar/ficha.php?id=1541"/>
    <hyperlink ref="AB510" r:id="rId384" display="https://www.jivi.com.ar/ficha.php?id=1542"/>
    <hyperlink ref="AB245" r:id="rId385" display="https://www.jivi.com.ar/ficha.php?id=1363"/>
    <hyperlink ref="AB228" r:id="rId386" display="https://www.jivi.com.ar/ficha.php?id=1545"/>
    <hyperlink ref="AB359" r:id="rId387"/>
    <hyperlink ref="AB358" r:id="rId388"/>
    <hyperlink ref="AB339" r:id="rId389" display="https://www.jivi.com.ar/ficha.php?id=981"/>
    <hyperlink ref="AB381" r:id="rId390" display="https://www.jivi.com.ar/ficha.php?id=1548"/>
    <hyperlink ref="AB382" r:id="rId391" display="https://www.jivi.com.ar/ficha.php?id=1549"/>
    <hyperlink ref="AB440" r:id="rId392"/>
    <hyperlink ref="AB413" r:id="rId393" display="https://www.jivi.com.ar/ficha.php?id=1552"/>
    <hyperlink ref="AB354" r:id="rId394" display="https://www.jivi.com.ar/ficha.php?id=1311"/>
    <hyperlink ref="AB142" r:id="rId395" display="https://www.jivi.com.ar/ficha.php?id=1553"/>
    <hyperlink ref="AB138" r:id="rId396" display="https://www.jivi.com.ar/ficha.php?id=1554"/>
    <hyperlink ref="AB223" r:id="rId397" display="https://www.jivi.com.ar/ficha.php?id=1397"/>
    <hyperlink ref="AB541" r:id="rId398" display="https://www.jivi.com.ar/ficha.php?id=1555"/>
    <hyperlink ref="AB60" r:id="rId399" display="https://www.jivi.com.ar/ficha.php?id=1557"/>
    <hyperlink ref="AB628" r:id="rId400"/>
    <hyperlink ref="AB221" r:id="rId401" display="https://www.jivi.com.ar/ficha.php?id=518"/>
    <hyperlink ref="AB189" r:id="rId402" display="https://www.jivi.com.ar/ficha.php?id=1561"/>
    <hyperlink ref="AB11" r:id="rId403" display="https://www.jivi.com.ar/ficha.php?id=26"/>
    <hyperlink ref="AB225" r:id="rId404" display="https://www.jivi.com.ar/ficha.php?id=1066"/>
    <hyperlink ref="AB226" r:id="rId405" display="https://www.jivi.com.ar/ficha.php?id=1562"/>
    <hyperlink ref="AB421" r:id="rId406" display="https://www.jivi.com.ar/ficha.php?id=1563"/>
    <hyperlink ref="AB161" r:id="rId407" display="https://www.jivi.com.ar/ficha.php?id=1414"/>
    <hyperlink ref="AF16:AH16" location="'Artículos Publicitarios'!A578" display="IR A PAGINA 8"/>
    <hyperlink ref="AB18" r:id="rId408" display="https://www.jivi.com.ar/ficha.php?id=790"/>
    <hyperlink ref="AB294" r:id="rId409" display="https://www.jivi.com.ar/ficha.php?id=1407"/>
    <hyperlink ref="AB293" r:id="rId410" display="https://www.jivi.com.ar/ficha.php?id=1409"/>
    <hyperlink ref="AB295" r:id="rId411" display="https://www.jivi.com.ar/ficha.php?id=1408"/>
    <hyperlink ref="AB281" r:id="rId412" display="https://www.jivi.com.ar/ficha.php?id=1564"/>
    <hyperlink ref="AB361" r:id="rId413" display="https://www.jivi.com.ar/ficha.php?id=1565"/>
    <hyperlink ref="AB30" r:id="rId414" display="https://www.jivi.com.ar/ficha.php?id=1434"/>
    <hyperlink ref="AF30:AI30" location="'Artículos Publicitarios'!A280" display="IR A LLAVEROS ALTA FRECUENCIA"/>
    <hyperlink ref="AF30:AJ30" location="'Artículos Publicitarios'!A295" display="IR A TABLAS DE MADERA"/>
    <hyperlink ref="AB387" r:id="rId415" display="https://www.jivi.com.ar/ficha.php?id=1567"/>
    <hyperlink ref="AB46" r:id="rId416"/>
    <hyperlink ref="AB47" r:id="rId417"/>
    <hyperlink ref="AB48" r:id="rId418"/>
    <hyperlink ref="AB124" r:id="rId419" display="https://www.jivi.com.ar/ficha.php?id=1571"/>
    <hyperlink ref="AB203" r:id="rId420"/>
    <hyperlink ref="AB213" r:id="rId421" display="https://www.jivi.com.ar/ficha.php?id=218"/>
    <hyperlink ref="AB383" r:id="rId422" display="https://www.jivi.com.ar/ficha.php?id=1572"/>
    <hyperlink ref="AB282" r:id="rId423" display="https://www.jivi.com.ar/ficha.php?id=1573"/>
    <hyperlink ref="AB519" r:id="rId424" display="https://www.jivi.com.ar/ficha.php?id=1294"/>
    <hyperlink ref="AF31:AJ31" location="'Artículos Publicitarios'!A530" display="IR A MOCHILAS"/>
    <hyperlink ref="AB524" r:id="rId425" display="https://www.jivi.com.ar/ficha.php?id=1271"/>
    <hyperlink ref="AB523" r:id="rId426" display="https://www.jivi.com.ar/ficha.php?id=1296"/>
    <hyperlink ref="AB525" r:id="rId427" display="https://www.jivi.com.ar/ficha.php?id=1139"/>
    <hyperlink ref="AB521" r:id="rId428" display="https://www.jivi.com.ar/ficha.php?id=1249"/>
    <hyperlink ref="AB551" r:id="rId429" display="https://www.jivi.com.ar/ficha.php?id=1574"/>
    <hyperlink ref="AB522" r:id="rId430" display="https://www.jivi.com.ar/ficha.php?id=1576"/>
    <hyperlink ref="AB527" r:id="rId431" display="https://www.jivi.com.ar/ficha.php?id=1577"/>
    <hyperlink ref="AB529" r:id="rId432" display="https://www.jivi.com.ar/ficha.php?id=1580"/>
    <hyperlink ref="AB530" r:id="rId433" display="https://www.jivi.com.ar/ficha.php?id=1581"/>
    <hyperlink ref="AB534" r:id="rId434" display="https://www.jivi.com.ar/ficha.php?id=1583"/>
    <hyperlink ref="AB535" r:id="rId435" display="https://www.jivi.com.ar/ficha.php?id=1584"/>
    <hyperlink ref="AB537" r:id="rId436" display="https://www.jivi.com.ar/ficha.php?id=1586"/>
    <hyperlink ref="AB539" r:id="rId437" display="https://www.jivi.com.ar/ficha.php?id=1587"/>
    <hyperlink ref="AF32:AJ32" location="'Artículos Publicitarios'!A251" display="IR A CUADERNOS"/>
    <hyperlink ref="AB248" r:id="rId438" display="https://www.jivi.com.ar/ficha.php?id=1221"/>
    <hyperlink ref="AB255" r:id="rId439" display="https://www.jivi.com.ar/ficha.php?id=1588"/>
    <hyperlink ref="AB257" r:id="rId440" display="https://www.jivi.com.ar/ficha.php?id=1411"/>
    <hyperlink ref="AB490" r:id="rId441"/>
    <hyperlink ref="AB491" r:id="rId442" display="https://www.jivi.com.ar/ficha.php?id=1590"/>
    <hyperlink ref="AB492" r:id="rId443"/>
    <hyperlink ref="AB493" r:id="rId444" display="https://www.jivi.com.ar/ficha.php?id=1592"/>
    <hyperlink ref="AB542" r:id="rId445" display="https://www.jivi.com.ar/ficha.php?id=1593"/>
    <hyperlink ref="AB280" r:id="rId446" display="https://www.jivi.com.ar/ficha.php?id=1594"/>
    <hyperlink ref="AB279" r:id="rId447" display="https://www.jivi.com.ar/ficha.php?id=1595"/>
    <hyperlink ref="AB408" r:id="rId448" display="https://www.jivi.com.ar/ficha.php?id=1596"/>
    <hyperlink ref="AB543" r:id="rId449" display="https://www.jivi.com.ar/ficha.php?id=1598"/>
    <hyperlink ref="AB536" r:id="rId450" display="https://www.jivi.com.ar/ficha.php?id=1599"/>
    <hyperlink ref="AB544" r:id="rId451" display="https://www.jivi.com.ar/ficha.php?id=1602"/>
    <hyperlink ref="AB545" r:id="rId452" display="https://www.jivi.com.ar/ficha.php?id=1603"/>
    <hyperlink ref="AB63" r:id="rId453"/>
    <hyperlink ref="AB546" r:id="rId454" display="https://www.jivi.com.ar/ficha.php?id=1604"/>
    <hyperlink ref="AB547" r:id="rId455" display="https://www.jivi.com.ar/ficha.php?id=1606"/>
    <hyperlink ref="AB299" r:id="rId456" display="https://www.jivi.com.ar/ficha.php?id=1424"/>
    <hyperlink ref="AB175" r:id="rId457"/>
    <hyperlink ref="AB235" r:id="rId458" display="https://www.jivi.com.ar/ficha.php?id=1520"/>
    <hyperlink ref="AB234" r:id="rId459" display="https://www.jivi.com.ar/ficha.php?id=1459"/>
    <hyperlink ref="AB233" r:id="rId460" display="https://www.jivi.com.ar/ficha.php?id=1608"/>
    <hyperlink ref="AB232" r:id="rId461" display="https://www.jivi.com.ar/ficha.php?id=1609"/>
    <hyperlink ref="AB249" r:id="rId462" display="https://www.jivi.com.ar/ficha.php?id=1274"/>
    <hyperlink ref="AB411" r:id="rId463" display="https://www.jivi.com.ar/ficha.php?id=1610"/>
    <hyperlink ref="AB538" r:id="rId464" display="https://www.jivi.com.ar/ficha.php?id=1396"/>
    <hyperlink ref="AB533" r:id="rId465" display="https://www.jivi.com.ar/ficha.php?id=1611"/>
    <hyperlink ref="AB532" r:id="rId466" display="https://www.jivi.com.ar/ficha.php?id=1612"/>
    <hyperlink ref="AB531" r:id="rId467" display="https://www.jivi.com.ar/ficha.php?id=1613"/>
    <hyperlink ref="AB198" r:id="rId468" display="https://www.jivi.com.ar/ficha.php?id=1614"/>
    <hyperlink ref="AB197" r:id="rId469" display="https://www.jivi.com.ar/ficha.php?id=1452"/>
    <hyperlink ref="AB214" r:id="rId470" display="https://www.jivi.com.ar/ficha.php?id=608"/>
    <hyperlink ref="AB365" r:id="rId471" display="https://www.jivi.com.ar/ficha.php?id=1615"/>
    <hyperlink ref="AB553" r:id="rId472" display="https://www.jivi.com.ar/ficha.php?id=1616"/>
    <hyperlink ref="AB554" r:id="rId473" display="https://www.jivi.com.ar/ficha.php?id=1617"/>
    <hyperlink ref="AB555" r:id="rId474" display="https://www.jivi.com.ar/ficha.php?id=1618"/>
    <hyperlink ref="AB488" r:id="rId475"/>
    <hyperlink ref="AB489" r:id="rId476" display="https://www.jivi.com.ar/ficha.php?id=1620"/>
    <hyperlink ref="AB306" r:id="rId477" display="https://www.jivi.com.ar/ficha.php?id=1355"/>
    <hyperlink ref="AB19" r:id="rId478" display="https://www.jivi.com.ar/ficha.php?id=998"/>
    <hyperlink ref="AB504" r:id="rId479" display="https://www.jivi.com.ar/ficha.php?id=1204"/>
    <hyperlink ref="AB505" r:id="rId480"/>
    <hyperlink ref="AB147" r:id="rId481" display="https://www.jivi.com.ar/ficha.php?id=139"/>
    <hyperlink ref="AB337" r:id="rId482"/>
    <hyperlink ref="AB470" r:id="rId483"/>
    <hyperlink ref="AB596" r:id="rId484"/>
    <hyperlink ref="AB599" r:id="rId485"/>
    <hyperlink ref="AB632" r:id="rId486"/>
    <hyperlink ref="AB633" r:id="rId487"/>
    <hyperlink ref="AB634" r:id="rId488"/>
    <hyperlink ref="AB363" r:id="rId489" display="https://www.jivi.com.ar/ficha.php?id=1641"/>
    <hyperlink ref="AB445" r:id="rId490"/>
    <hyperlink ref="AB444" r:id="rId491"/>
    <hyperlink ref="AB446" r:id="rId492"/>
    <hyperlink ref="AB447" r:id="rId493"/>
    <hyperlink ref="AB448" r:id="rId494"/>
    <hyperlink ref="AB449" r:id="rId495"/>
    <hyperlink ref="AB620" r:id="rId496"/>
    <hyperlink ref="AB442" r:id="rId497"/>
    <hyperlink ref="AB443" r:id="rId498"/>
    <hyperlink ref="AB441" r:id="rId499"/>
    <hyperlink ref="AB166" r:id="rId500" display="https://www.jivi.com.ar/ficha.php?id=1660"/>
    <hyperlink ref="AB145" r:id="rId501" display="https://www.jivi.com.ar/ficha.php?id=1663"/>
    <hyperlink ref="AB101" r:id="rId502" display="https://www.jivi.com.ar/ficha.php?id=440"/>
    <hyperlink ref="AB621" r:id="rId503"/>
    <hyperlink ref="AB626" r:id="rId504"/>
    <hyperlink ref="AB631" r:id="rId505"/>
    <hyperlink ref="AB494" r:id="rId506" display="https://www.jivi.com.ar/ficha.php?id=1684"/>
    <hyperlink ref="AB366" r:id="rId507" display="https://www.jivi.com.ar/ficha.php?id=1272"/>
    <hyperlink ref="AB364" r:id="rId508" display="https://www.jivi.com.ar/ficha.php?id=1687"/>
    <hyperlink ref="AB362" r:id="rId509" display="https://www.jivi.com.ar/ficha.php?id=1672"/>
    <hyperlink ref="AB540" r:id="rId510" display="https://www.jivi.com.ar/ficha.php?id=1690"/>
    <hyperlink ref="AB487" r:id="rId511" display="https://www.jivi.com.ar/ficha.php?id=1691"/>
    <hyperlink ref="AB412" r:id="rId512" display="https://www.jivi.com.ar/ficha.php?id=1692"/>
    <hyperlink ref="AB499" r:id="rId513" display="https://www.jivi.com.ar/ficha.php?id=1438"/>
    <hyperlink ref="AF480:AH480" location="'Artículos Publicitarios'!A3" display="IR A PAGINA 1"/>
    <hyperlink ref="AF517:AH517" location="'Artículos Publicitarios'!A3" display="IR A PAGINA 1"/>
    <hyperlink ref="AB409" r:id="rId514" display="https://www.jivi.com.ar/ficha.php?id=1695"/>
    <hyperlink ref="AB31" r:id="rId515" display="https://www.jivi.com.ar/ficha.php?id=36"/>
    <hyperlink ref="AB485" r:id="rId516"/>
    <hyperlink ref="AB486" r:id="rId517" display="https://www.jivi.com.ar/ficha.php?id=1698"/>
    <hyperlink ref="AB410" r:id="rId518" display="https://www.jivi.com.ar/ficha.php?id=1699"/>
    <hyperlink ref="AB278" r:id="rId519" display="https://www.jivi.com.ar/ficha.php?id=1700"/>
    <hyperlink ref="AB472" r:id="rId520"/>
    <hyperlink ref="AB379" r:id="rId521" display="https://www.jivi.com.ar/ficha.php?id=1462"/>
    <hyperlink ref="AB230" r:id="rId522" display="https://www.jivi.com.ar/ficha.php?id=1531"/>
    <hyperlink ref="AB229" r:id="rId523" display="https://www.jivi.com.ar/ficha.php?id=1528"/>
    <hyperlink ref="AB415" r:id="rId524"/>
    <hyperlink ref="AB345" r:id="rId525" display="https://www.jivi.com.ar/ficha.php?id=977"/>
    <hyperlink ref="AB404" r:id="rId526" display="https://www.jivi.com.ar/ficha.php?id=1457"/>
    <hyperlink ref="AB403" r:id="rId527" display="https://www.jivi.com.ar/ficha.php?id=1456"/>
    <hyperlink ref="AB346" r:id="rId528" display="https://www.jivi.com.ar/ficha.php?id=1707"/>
    <hyperlink ref="AB347" r:id="rId529" display="https://www.jivi.com.ar/ficha.php?id=1708"/>
    <hyperlink ref="AB391" r:id="rId530" display="https://www.jivi.com.ar/ficha.php?id=1720"/>
    <hyperlink ref="AB406" r:id="rId531"/>
    <hyperlink ref="AB484" r:id="rId532" display="https://www.jivi.com.ar/ficha.php?id=1722"/>
    <hyperlink ref="AB15" r:id="rId533" display="https://www.jivi.com.ar/ficha.php?id=1723"/>
    <hyperlink ref="AB186" r:id="rId534"/>
    <hyperlink ref="AB182" r:id="rId535"/>
    <hyperlink ref="AB184" r:id="rId536"/>
    <hyperlink ref="AB183" r:id="rId537"/>
    <hyperlink ref="AB185" r:id="rId538"/>
    <hyperlink ref="AB181" r:id="rId539"/>
    <hyperlink ref="AB600" r:id="rId540"/>
    <hyperlink ref="AB601" r:id="rId541"/>
    <hyperlink ref="AB597" r:id="rId542"/>
    <hyperlink ref="AB602" r:id="rId543"/>
    <hyperlink ref="AB250" r:id="rId544" display="https://www.jivi.com.ar/ficha.php?id=1077"/>
    <hyperlink ref="AB611" r:id="rId545"/>
    <hyperlink ref="AB612" r:id="rId546"/>
    <hyperlink ref="AB613" r:id="rId547"/>
    <hyperlink ref="AB610" r:id="rId548"/>
    <hyperlink ref="AB552" r:id="rId549" display="https://www.jivi.com.ar/ficha.php?id=1575"/>
    <hyperlink ref="AB548" r:id="rId550" display="https://www.jivi.com.ar/ficha.php?id=1743"/>
    <hyperlink ref="AB549" r:id="rId551" display="https://www.jivi.com.ar/ficha.php?id=1744"/>
    <hyperlink ref="AB550" r:id="rId552" display="https://www.jivi.com.ar/ficha.php?id=1745"/>
    <hyperlink ref="AB526" r:id="rId553" display="https://www.jivi.com.ar/ficha.php?id=1746"/>
    <hyperlink ref="AB283" r:id="rId554" display="https://www.jivi.com.ar/ficha.php?id=1559"/>
    <hyperlink ref="AB591" r:id="rId555"/>
    <hyperlink ref="AB482" r:id="rId556"/>
    <hyperlink ref="AB483" r:id="rId557" display="https://www.jivi.com.ar/ficha.php?id=1749"/>
    <hyperlink ref="AB528" r:id="rId558" display="https://www.jivi.com.ar/ficha.php?id=1579"/>
    <hyperlink ref="AB520" r:id="rId559" display="https://www.jivi.com.ar/ficha.php?id=1294"/>
    <hyperlink ref="AB629" r:id="rId560"/>
    <hyperlink ref="AB407" r:id="rId561"/>
  </hyperlinks>
  <pageMargins left="0.27559055118110237" right="0.11811023622047245" top="0.19685039370078741" bottom="0.15748031496062992" header="0.11811023622047245" footer="0.15748031496062992"/>
  <pageSetup paperSize="5" orientation="portrait" copies="5" r:id="rId562"/>
  <headerFooter alignWithMargins="0"/>
  <cellWatches>
    <cellWatch r="X8"/>
  </cellWatches>
  <ignoredErrors>
    <ignoredError sqref="AB624:AB625 AB621:AB623 AB620 AB610:AB613 AB591" numberStoredAsText="1"/>
    <ignoredError sqref="X584 B28:E28 G29 C27:E27 A164 C164:E164 V597 A190:E190 A106:E107 H396:Q396 C29:E29 H57:I57 G58:I59 H603:L605 B402:E402 G187 G251 G253:G254 G423 B162:E162 B143:E143 B146:E146 C144:E144 C222:E222 G316:W316 R23:V25 J23:O25 J19:V19 V30 I27:K27 S32 U32 S40:S41 S37 U37 U40:U41 S43 U43 G56:I56 G143 G355:G360 H430 H431:M431 H432:M432 H433:M433 H434:M434 H435:M435 O425 H425:H427 J430:M430 S425 U425 Q425 S49 U49 G426:G429 I123:K123 M123 O123 Q123 S123 U123 F473:T473 G222 G416:G417 W469 H17:H18 G162:G165 G436:G440 G339:G341 Q344 R344:W344 P344 G242:G244 G276:M276 F205:W205 G197:I197 I179:M179 G190 G180:K180 G224 V92:W94 F82:I89 F91:I91 F90:I90 Q108 I28:V29 J21:T22 I30:T30 I14 I60:I62 I65:I66 U108 S108 H127:I127 J81:J91 G297 G547 G199:I199 F213:W213 B247:E247 I311 W312 H321:K321 G334:J336 W513:W514 H370:J370 I176:M176 I177:M177 I178:M178 G246:G247 H277:M277 H322:J333 G279 H21:H22 G96:G100 H338:J342 G81:I81 G371:J374 G452:V452 G102:G104 W498 V60:W60 J57:K57 G106:G107 N110:V111 J126:V127 I31 H138:V138 G368:J369 G367 K322:K342 G414 F465:V465 L321:V325 K353:V353 H352:U352 G284:G295 G301:G305 G281:I282 H310:I310 H278:V279 G272:M272 G273:M273 G274:M274 G275:M275 N272:V276 G155:I155 H97:W98 N96:W96 H95:W95 H96:M96 H99:K99 H100:W106 J61:M63 J11:V11 L31:V31 M99:W99 W180 L180:V186 H163:V163 H187:V190 G207:V212 G218:G220 G215:W215 P216:W216 I214:W214 G217:W217 X204:X206 P206:W206 G206:N206 H201:M201 G202:M203 F201:G201 F204:V204 G200:V200 N201:V201 J197:V199 G256:G264 G271:V271 G350:V351 W348:W349 H343:W343 H344:N344 G375:K378 G401:V401 G409:G410 G402:W402 F564:V564 G554:G555 H557 H428:V429 W436 H436:V448 H472:V472 K379:V379 H491:V495 G343:G344 K345 G230:G234 H416:V419 J415:V415 H415 J13:V14 P12:X12 H251:V256 H218:V222 G241:V241 K368:K374 L368:V378 W404 G408:V408 G406:V406 B407:E407 B406:E406 H403:V405 F471:V471 G469:V470 G348:K349 L345:V349 H308:H309 G556:V556 G125:W125 N61:W63 J65:V68 G69:V69 H161:I161 H224:V233 H223:K223 T223:V223 H280:I280 L280:V282 H287:K287 P287:V287 H296:I296 L327:V342 L326:O326 G484:G495 G380:V390 H391:W391 H354:V360 G565:V565 G562:V563 H15:V15 H288:V294 G307:V307 H297:V302 H422:V424 G420:M421 P420:V421 G498 H508:V514 H507:U507 H529:V530 L531:V531 H532:V537 G540:V540 J538:V539 H553:V555 F569:V573 H566:W568 G602 H242:V249 H250:W250 J308:V312 F623:T625 F616:V622 G610:W610 G551:V551 H552:W552 H137:R137 T137:V137 H258:V264 H257:S257 F611:V613 H599:V602 H614:V615 H541:W548 H165:V175 H164:I164 G458:V461 H145:V145 R146:V146 H295:W295 H362:V366 G500:G512 H498:V506 H550:W550 H521:V525 H526:W526 K313:V313 H409:V414 H482:W490 H284:V286 G216:M216 H591:W591 H527:V527 H528:W528 F632:T634 G631:T631 N176:V179 H304:V306 H303:I303 H234:W235 H314:V315 G392:V395 H519:W519 W520 G630:T630 G626:T626 G627:I627 G628 J629:T629 H629:I629 J628:T628 H628:I628 L627:T627 T202:V203 J60 J59:K59 J58:K58 J56:K56 L56:L59 Q56 Q57 Q58 Q59 O59 O58 O57 O56 M57 M56 M58 M59 N57 N59 N58 N56 P56 P57 P58 P59 U59 U58 U57 U56 R56:R59 S59 S58 S57 S56 T56 T57 T58 T59 V56 V57 V58 V59 U60 S60 Q60 K60:O60 P60 R60 T60 W64 U64 S64 Q64 O64 I64 J64:N64 P64 R64 T64 V64 U112 S112 Q112 O112 O113 N112 N113 P113:V113 P112 R112 T112 V112 H107:I107 W107 U107 S107 Q107 O107 M107 J107:K107 L107 N107 P107 R107 T107 V107 H141:V143 H139:O139 Q139:V139 H140:O140 Q140:V140 U149 S149 Q149 O149 M149 K149 J149 L149 N149 P149 R149 T149 V149 U155 S155 Q155 O155 J155:M155 N155 P155 R155 T155 V155 O161:P161 Q161 H162:I162 L162:W162 K161:N161 K162 K164:S164 F457:V457 G455:V455 G456:V456 G467:V467 G466:V466 G463:V463 G464:V464 G451:V451 G454:V454 G453:V453 G407:V407 H496:W497" formula="1"/>
    <ignoredError sqref="G353 G549 W549 G520" evalError="1"/>
    <ignoredError sqref="H353:J353 H549:V549 L520:V520" evalError="1" formula="1"/>
  </ignoredErrors>
  <drawing r:id="rId563"/>
  <legacyDrawing r:id="rId5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0"/>
    </row>
  </sheetData>
  <phoneticPr fontId="4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2024-06-03T14:09:09Z</cp:lastPrinted>
  <dcterms:created xsi:type="dcterms:W3CDTF">2003-01-03T20:20:32Z</dcterms:created>
  <dcterms:modified xsi:type="dcterms:W3CDTF">2024-06-04T14:06:43Z</dcterms:modified>
</cp:coreProperties>
</file>