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G:\Mi unidad\Listas Merchandising 2024\"/>
    </mc:Choice>
  </mc:AlternateContent>
  <bookViews>
    <workbookView xWindow="0" yWindow="0" windowWidth="11265" windowHeight="8085"/>
  </bookViews>
  <sheets>
    <sheet name="Artículos Publicitarios" sheetId="1" r:id="rId1"/>
    <sheet name="Hoja1" sheetId="2" r:id="rId2"/>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99" i="1" l="1"/>
  <c r="I199" i="1" s="1"/>
  <c r="F199" i="1"/>
  <c r="L199" i="1" s="1"/>
  <c r="M199" i="1" s="1"/>
  <c r="P199" i="1" l="1"/>
  <c r="Q199" i="1" s="1"/>
  <c r="R199" i="1"/>
  <c r="S199" i="1" s="1"/>
  <c r="V199" i="1"/>
  <c r="W199" i="1" s="1"/>
  <c r="J199" i="1"/>
  <c r="K199" i="1" s="1"/>
  <c r="N199" i="1"/>
  <c r="O199" i="1" s="1"/>
  <c r="T199" i="1"/>
  <c r="U199" i="1" s="1"/>
  <c r="G199" i="1"/>
  <c r="V285" i="1"/>
  <c r="W285" i="1" s="1"/>
  <c r="T285" i="1"/>
  <c r="U285" i="1" s="1"/>
  <c r="R285" i="1"/>
  <c r="S285" i="1" s="1"/>
  <c r="P285" i="1"/>
  <c r="Q285" i="1" s="1"/>
  <c r="N285" i="1"/>
  <c r="O285" i="1" s="1"/>
  <c r="L285" i="1"/>
  <c r="M285" i="1" s="1"/>
  <c r="V284" i="1"/>
  <c r="W284" i="1" s="1"/>
  <c r="T284" i="1"/>
  <c r="U284" i="1" s="1"/>
  <c r="R284" i="1"/>
  <c r="S284" i="1" s="1"/>
  <c r="P284" i="1"/>
  <c r="Q284" i="1" s="1"/>
  <c r="O284" i="1"/>
  <c r="N284" i="1"/>
  <c r="L284" i="1"/>
  <c r="M284" i="1" s="1"/>
  <c r="V283" i="1"/>
  <c r="W283" i="1" s="1"/>
  <c r="T283" i="1"/>
  <c r="U283" i="1" s="1"/>
  <c r="R283" i="1"/>
  <c r="S283" i="1" s="1"/>
  <c r="P283" i="1"/>
  <c r="Q283" i="1" s="1"/>
  <c r="N283" i="1"/>
  <c r="O283" i="1" s="1"/>
  <c r="L283" i="1"/>
  <c r="M283" i="1" s="1"/>
  <c r="V308" i="1"/>
  <c r="W308" i="1" s="1"/>
  <c r="T308" i="1"/>
  <c r="U308" i="1" s="1"/>
  <c r="S308" i="1"/>
  <c r="R308" i="1"/>
  <c r="P308" i="1"/>
  <c r="Q308" i="1" s="1"/>
  <c r="N308" i="1"/>
  <c r="O308" i="1" s="1"/>
  <c r="L308" i="1"/>
  <c r="M308" i="1" s="1"/>
  <c r="J308" i="1"/>
  <c r="K308" i="1" s="1"/>
  <c r="H308" i="1"/>
  <c r="I308" i="1" s="1"/>
  <c r="W307" i="1"/>
  <c r="V307" i="1"/>
  <c r="T307" i="1"/>
  <c r="U307" i="1" s="1"/>
  <c r="R307" i="1"/>
  <c r="S307" i="1" s="1"/>
  <c r="P307" i="1"/>
  <c r="Q307" i="1" s="1"/>
  <c r="N307" i="1"/>
  <c r="O307" i="1" s="1"/>
  <c r="L307" i="1"/>
  <c r="M307" i="1" s="1"/>
  <c r="J307" i="1"/>
  <c r="K307" i="1" s="1"/>
  <c r="H307" i="1"/>
  <c r="I307" i="1" s="1"/>
  <c r="V306" i="1"/>
  <c r="W306" i="1" s="1"/>
  <c r="T306" i="1"/>
  <c r="U306" i="1" s="1"/>
  <c r="S306" i="1"/>
  <c r="R306" i="1"/>
  <c r="P306" i="1"/>
  <c r="Q306" i="1" s="1"/>
  <c r="O306" i="1"/>
  <c r="N306" i="1"/>
  <c r="L306" i="1"/>
  <c r="M306" i="1" s="1"/>
  <c r="J306" i="1"/>
  <c r="K306" i="1" s="1"/>
  <c r="H306" i="1"/>
  <c r="I306" i="1" s="1"/>
  <c r="V305" i="1"/>
  <c r="W305" i="1" s="1"/>
  <c r="T305" i="1"/>
  <c r="U305" i="1" s="1"/>
  <c r="R305" i="1"/>
  <c r="S305" i="1" s="1"/>
  <c r="P305" i="1"/>
  <c r="Q305" i="1" s="1"/>
  <c r="N305" i="1"/>
  <c r="O305" i="1" s="1"/>
  <c r="L305" i="1"/>
  <c r="M305" i="1" s="1"/>
  <c r="J305" i="1"/>
  <c r="K305" i="1" s="1"/>
  <c r="H305" i="1"/>
  <c r="I305" i="1" s="1"/>
  <c r="H293" i="1"/>
  <c r="I293" i="1" s="1"/>
  <c r="J293" i="1"/>
  <c r="K293" i="1" s="1"/>
  <c r="L293" i="1"/>
  <c r="M293" i="1" s="1"/>
  <c r="N293" i="1"/>
  <c r="O293" i="1" s="1"/>
  <c r="P293" i="1"/>
  <c r="Q293" i="1"/>
  <c r="R293" i="1"/>
  <c r="S293" i="1" s="1"/>
  <c r="T293" i="1"/>
  <c r="U293" i="1" s="1"/>
  <c r="V293" i="1"/>
  <c r="W293" i="1" s="1"/>
  <c r="H294" i="1"/>
  <c r="I294" i="1" s="1"/>
  <c r="J294" i="1"/>
  <c r="K294" i="1" s="1"/>
  <c r="L294" i="1"/>
  <c r="M294" i="1" s="1"/>
  <c r="N294" i="1"/>
  <c r="O294" i="1"/>
  <c r="P294" i="1"/>
  <c r="Q294" i="1" s="1"/>
  <c r="R294" i="1"/>
  <c r="S294" i="1" s="1"/>
  <c r="T294" i="1"/>
  <c r="U294" i="1" s="1"/>
  <c r="V294" i="1"/>
  <c r="W294" i="1" s="1"/>
  <c r="H295" i="1"/>
  <c r="I295" i="1" s="1"/>
  <c r="J295" i="1"/>
  <c r="K295" i="1" s="1"/>
  <c r="L295" i="1"/>
  <c r="M295" i="1" s="1"/>
  <c r="N295" i="1"/>
  <c r="O295" i="1" s="1"/>
  <c r="P295" i="1"/>
  <c r="Q295" i="1" s="1"/>
  <c r="R295" i="1"/>
  <c r="S295" i="1" s="1"/>
  <c r="T295" i="1"/>
  <c r="U295" i="1" s="1"/>
  <c r="V295" i="1"/>
  <c r="W295" i="1" s="1"/>
  <c r="H296" i="1"/>
  <c r="I296" i="1" s="1"/>
  <c r="J296" i="1"/>
  <c r="K296" i="1" s="1"/>
  <c r="L296" i="1"/>
  <c r="M296" i="1"/>
  <c r="N296" i="1"/>
  <c r="O296" i="1" s="1"/>
  <c r="P296" i="1"/>
  <c r="Q296" i="1" s="1"/>
  <c r="R296" i="1"/>
  <c r="S296" i="1" s="1"/>
  <c r="T296" i="1"/>
  <c r="U296" i="1" s="1"/>
  <c r="V296" i="1"/>
  <c r="W296" i="1" s="1"/>
  <c r="H297" i="1"/>
  <c r="I297" i="1"/>
  <c r="J297" i="1"/>
  <c r="K297" i="1" s="1"/>
  <c r="L297" i="1"/>
  <c r="M297" i="1" s="1"/>
  <c r="N297" i="1"/>
  <c r="O297" i="1" s="1"/>
  <c r="P297" i="1"/>
  <c r="Q297" i="1" s="1"/>
  <c r="R297" i="1"/>
  <c r="S297" i="1" s="1"/>
  <c r="T297" i="1"/>
  <c r="U297" i="1"/>
  <c r="V297" i="1"/>
  <c r="W297" i="1" s="1"/>
  <c r="H298" i="1"/>
  <c r="I298" i="1" s="1"/>
  <c r="J298" i="1"/>
  <c r="K298" i="1" s="1"/>
  <c r="L298" i="1"/>
  <c r="M298" i="1" s="1"/>
  <c r="N298" i="1"/>
  <c r="O298" i="1" s="1"/>
  <c r="P298" i="1"/>
  <c r="Q298" i="1"/>
  <c r="R298" i="1"/>
  <c r="S298" i="1" s="1"/>
  <c r="T298" i="1"/>
  <c r="U298" i="1" s="1"/>
  <c r="V298" i="1"/>
  <c r="W298" i="1" s="1"/>
  <c r="P299" i="1"/>
  <c r="Q299" i="1" s="1"/>
  <c r="R299" i="1"/>
  <c r="S299" i="1" s="1"/>
  <c r="H300" i="1"/>
  <c r="I300" i="1" s="1"/>
  <c r="J300" i="1"/>
  <c r="K300" i="1"/>
  <c r="L300" i="1"/>
  <c r="M300" i="1" s="1"/>
  <c r="N300" i="1"/>
  <c r="O300" i="1" s="1"/>
  <c r="P300" i="1"/>
  <c r="Q300" i="1" s="1"/>
  <c r="R300" i="1"/>
  <c r="S300" i="1" s="1"/>
  <c r="T300" i="1"/>
  <c r="U300" i="1" s="1"/>
  <c r="V300" i="1"/>
  <c r="W300" i="1" s="1"/>
  <c r="V292" i="1"/>
  <c r="W292" i="1" s="1"/>
  <c r="T292" i="1"/>
  <c r="U292" i="1" s="1"/>
  <c r="S292" i="1"/>
  <c r="R292" i="1"/>
  <c r="P292" i="1"/>
  <c r="Q292" i="1" s="1"/>
  <c r="N292" i="1"/>
  <c r="O292" i="1" s="1"/>
  <c r="L292" i="1"/>
  <c r="M292" i="1" s="1"/>
  <c r="J292" i="1"/>
  <c r="K292" i="1" s="1"/>
  <c r="H292" i="1"/>
  <c r="I292" i="1" s="1"/>
  <c r="V289" i="1"/>
  <c r="W289" i="1" s="1"/>
  <c r="U289" i="1"/>
  <c r="T289" i="1"/>
  <c r="S289" i="1"/>
  <c r="R289" i="1"/>
  <c r="Q289" i="1"/>
  <c r="P289" i="1"/>
  <c r="O289" i="1"/>
  <c r="N289" i="1"/>
  <c r="L289" i="1"/>
  <c r="M289" i="1" s="1"/>
  <c r="J289" i="1"/>
  <c r="K289" i="1" s="1"/>
  <c r="I289" i="1"/>
  <c r="H289" i="1"/>
  <c r="N344" i="1"/>
  <c r="L344" i="1"/>
  <c r="J344" i="1"/>
  <c r="L382" i="1"/>
  <c r="M382" i="1"/>
  <c r="N382" i="1"/>
  <c r="O382" i="1"/>
  <c r="P382" i="1"/>
  <c r="Q382" i="1" s="1"/>
  <c r="R382" i="1"/>
  <c r="S382" i="1" s="1"/>
  <c r="T382" i="1"/>
  <c r="U382" i="1" s="1"/>
  <c r="V382" i="1"/>
  <c r="W382" i="1"/>
  <c r="L354" i="1"/>
  <c r="M354" i="1"/>
  <c r="N354" i="1"/>
  <c r="O354" i="1"/>
  <c r="P354" i="1"/>
  <c r="Q354" i="1" s="1"/>
  <c r="R354" i="1"/>
  <c r="S354" i="1" s="1"/>
  <c r="T354" i="1"/>
  <c r="U354" i="1"/>
  <c r="V354" i="1"/>
  <c r="W354" i="1" s="1"/>
  <c r="L360" i="1"/>
  <c r="M360" i="1"/>
  <c r="N360" i="1"/>
  <c r="O360" i="1"/>
  <c r="P360" i="1"/>
  <c r="Q360" i="1" s="1"/>
  <c r="R360" i="1"/>
  <c r="S360" i="1" s="1"/>
  <c r="T360" i="1"/>
  <c r="U360" i="1" s="1"/>
  <c r="V360" i="1"/>
  <c r="W360" i="1" s="1"/>
  <c r="V309" i="1"/>
  <c r="T309" i="1"/>
  <c r="N309" i="1"/>
  <c r="J311" i="1"/>
  <c r="V311" i="1"/>
  <c r="W311" i="1" s="1"/>
  <c r="T311" i="1"/>
  <c r="U311" i="1" s="1"/>
  <c r="R311" i="1"/>
  <c r="S311" i="1" s="1"/>
  <c r="P311" i="1"/>
  <c r="Q311" i="1" s="1"/>
  <c r="N311" i="1"/>
  <c r="O311" i="1" s="1"/>
  <c r="L311" i="1"/>
  <c r="M311" i="1" s="1"/>
  <c r="T145" i="1"/>
  <c r="U145" i="1" s="1"/>
  <c r="V145" i="1"/>
  <c r="W145" i="1" s="1"/>
  <c r="R145" i="1"/>
  <c r="S145" i="1" s="1"/>
  <c r="P145" i="1"/>
  <c r="Q145" i="1" s="1"/>
  <c r="N145" i="1"/>
  <c r="O145" i="1" s="1"/>
  <c r="L145" i="1"/>
  <c r="M145" i="1" s="1"/>
  <c r="J145" i="1"/>
  <c r="J141" i="1"/>
  <c r="L141" i="1"/>
  <c r="N141" i="1"/>
  <c r="P141" i="1"/>
  <c r="R141" i="1"/>
  <c r="T141" i="1"/>
  <c r="V141" i="1"/>
  <c r="W124" i="1"/>
  <c r="U124" i="1"/>
  <c r="S124" i="1"/>
  <c r="Q124" i="1"/>
  <c r="O124" i="1"/>
  <c r="M124" i="1"/>
  <c r="W119" i="1"/>
  <c r="U119" i="1"/>
  <c r="S119" i="1"/>
  <c r="Q119" i="1"/>
  <c r="O119" i="1"/>
  <c r="M119" i="1"/>
  <c r="W123" i="1"/>
  <c r="U123" i="1"/>
  <c r="S123" i="1"/>
  <c r="Q123" i="1"/>
  <c r="O123" i="1"/>
  <c r="M123" i="1"/>
  <c r="W118" i="1"/>
  <c r="U118" i="1"/>
  <c r="S118" i="1"/>
  <c r="Q118" i="1"/>
  <c r="O118" i="1"/>
  <c r="M118" i="1"/>
  <c r="T19" i="1"/>
  <c r="T20" i="1"/>
  <c r="R19" i="1"/>
  <c r="R20" i="1"/>
  <c r="P20" i="1"/>
  <c r="P19" i="1"/>
  <c r="N19" i="1"/>
  <c r="N20" i="1"/>
  <c r="T13" i="1"/>
  <c r="R13" i="1"/>
  <c r="P13" i="1"/>
  <c r="N13" i="1"/>
  <c r="L13" i="1"/>
  <c r="L20" i="1"/>
  <c r="L19" i="1"/>
  <c r="J20" i="1"/>
  <c r="J19" i="1"/>
  <c r="J13" i="1"/>
  <c r="H19" i="1"/>
  <c r="H20" i="1"/>
  <c r="W49" i="1"/>
  <c r="U49" i="1"/>
  <c r="S49" i="1"/>
  <c r="Q49" i="1"/>
  <c r="O49" i="1"/>
  <c r="W48" i="1"/>
  <c r="U48" i="1"/>
  <c r="S48" i="1"/>
  <c r="Q48" i="1"/>
  <c r="O48" i="1"/>
  <c r="W46" i="1"/>
  <c r="U46" i="1"/>
  <c r="S46" i="1"/>
  <c r="Q46" i="1"/>
  <c r="O46" i="1"/>
  <c r="W45" i="1"/>
  <c r="U45" i="1"/>
  <c r="S45" i="1"/>
  <c r="Q45" i="1"/>
  <c r="O45" i="1"/>
  <c r="W43" i="1"/>
  <c r="U43" i="1"/>
  <c r="S43" i="1"/>
  <c r="Q43" i="1"/>
  <c r="O43" i="1"/>
  <c r="W42" i="1"/>
  <c r="U42" i="1"/>
  <c r="S42" i="1"/>
  <c r="Q42" i="1"/>
  <c r="O42" i="1"/>
  <c r="W37" i="1"/>
  <c r="U37" i="1"/>
  <c r="S37" i="1"/>
  <c r="Q37" i="1"/>
  <c r="O37" i="1"/>
  <c r="W40" i="1"/>
  <c r="U40" i="1"/>
  <c r="S40" i="1"/>
  <c r="Q40" i="1"/>
  <c r="O40" i="1"/>
  <c r="W34" i="1"/>
  <c r="U34" i="1"/>
  <c r="S34" i="1"/>
  <c r="Q34" i="1"/>
  <c r="O34" i="1"/>
  <c r="W33" i="1"/>
  <c r="U33" i="1"/>
  <c r="S33" i="1"/>
  <c r="Q33" i="1"/>
  <c r="O33" i="1"/>
  <c r="W32" i="1"/>
  <c r="U32" i="1"/>
  <c r="S32" i="1"/>
  <c r="Q32" i="1"/>
  <c r="O32" i="1"/>
  <c r="W31" i="1"/>
  <c r="U31" i="1"/>
  <c r="S31" i="1"/>
  <c r="Q31" i="1"/>
  <c r="O31" i="1"/>
  <c r="W128" i="1"/>
  <c r="U128" i="1"/>
  <c r="S128" i="1"/>
  <c r="Q128" i="1"/>
  <c r="O128" i="1"/>
  <c r="H69" i="1"/>
  <c r="V69" i="1"/>
  <c r="W69" i="1" s="1"/>
  <c r="T69" i="1"/>
  <c r="U69" i="1" s="1"/>
  <c r="R69" i="1"/>
  <c r="S69" i="1" s="1"/>
  <c r="P69" i="1"/>
  <c r="Q69" i="1" s="1"/>
  <c r="N69" i="1"/>
  <c r="O69" i="1" s="1"/>
  <c r="L69" i="1"/>
  <c r="M69" i="1" s="1"/>
  <c r="J69" i="1"/>
  <c r="K69" i="1" s="1"/>
  <c r="V64" i="1"/>
  <c r="T64" i="1"/>
  <c r="R64" i="1"/>
  <c r="P64" i="1"/>
  <c r="N64" i="1"/>
  <c r="L64" i="1"/>
  <c r="J64" i="1"/>
  <c r="V61" i="1"/>
  <c r="W61" i="1" s="1"/>
  <c r="T61" i="1"/>
  <c r="U61" i="1" s="1"/>
  <c r="R61" i="1"/>
  <c r="S61" i="1" s="1"/>
  <c r="P61" i="1"/>
  <c r="Q61" i="1" s="1"/>
  <c r="N61" i="1"/>
  <c r="O61" i="1" s="1"/>
  <c r="L61" i="1"/>
  <c r="M61" i="1" s="1"/>
  <c r="V59" i="1"/>
  <c r="W59" i="1" s="1"/>
  <c r="T59" i="1"/>
  <c r="U59" i="1" s="1"/>
  <c r="R59" i="1"/>
  <c r="S59" i="1" s="1"/>
  <c r="P59" i="1"/>
  <c r="Q59" i="1" s="1"/>
  <c r="N59" i="1"/>
  <c r="O59" i="1" s="1"/>
  <c r="L59" i="1"/>
  <c r="M59" i="1" s="1"/>
  <c r="V62" i="1"/>
  <c r="W62" i="1" s="1"/>
  <c r="T62" i="1"/>
  <c r="U62" i="1" s="1"/>
  <c r="R62" i="1"/>
  <c r="S62" i="1" s="1"/>
  <c r="P62" i="1"/>
  <c r="Q62" i="1" s="1"/>
  <c r="N62" i="1"/>
  <c r="O62" i="1" s="1"/>
  <c r="L62" i="1"/>
  <c r="M62" i="1" s="1"/>
  <c r="L60" i="1"/>
  <c r="M60" i="1" s="1"/>
  <c r="V60" i="1"/>
  <c r="T60" i="1"/>
  <c r="R60" i="1"/>
  <c r="P60" i="1"/>
  <c r="N60" i="1"/>
  <c r="F472" i="1"/>
  <c r="T415" i="1"/>
  <c r="R415" i="1"/>
  <c r="P415" i="1"/>
  <c r="N415" i="1"/>
  <c r="L415" i="1"/>
  <c r="F401" i="1"/>
  <c r="F395" i="1"/>
  <c r="H395" i="1" s="1"/>
  <c r="I395" i="1" s="1"/>
  <c r="F309" i="1"/>
  <c r="F301" i="1"/>
  <c r="F299" i="1"/>
  <c r="F291" i="1"/>
  <c r="F288" i="1"/>
  <c r="F282" i="1"/>
  <c r="L215" i="1"/>
  <c r="L214" i="1"/>
  <c r="F286" i="1"/>
  <c r="N286" i="1" s="1"/>
  <c r="O286" i="1" s="1"/>
  <c r="F241" i="1"/>
  <c r="P241" i="1" s="1"/>
  <c r="Q241" i="1" s="1"/>
  <c r="P282" i="1" l="1"/>
  <c r="Q282" i="1" s="1"/>
  <c r="N282" i="1"/>
  <c r="O282" i="1" s="1"/>
  <c r="L282" i="1"/>
  <c r="M282" i="1" s="1"/>
  <c r="J282" i="1"/>
  <c r="K282" i="1" s="1"/>
  <c r="H282" i="1"/>
  <c r="I282" i="1" s="1"/>
  <c r="T282" i="1"/>
  <c r="U282" i="1" s="1"/>
  <c r="V401" i="1"/>
  <c r="W401" i="1" s="1"/>
  <c r="T401" i="1"/>
  <c r="U401" i="1" s="1"/>
  <c r="R401" i="1"/>
  <c r="S401" i="1" s="1"/>
  <c r="P401" i="1"/>
  <c r="Q401" i="1" s="1"/>
  <c r="N401" i="1"/>
  <c r="O401" i="1" s="1"/>
  <c r="L401" i="1"/>
  <c r="M401" i="1" s="1"/>
  <c r="H401" i="1"/>
  <c r="I401" i="1" s="1"/>
  <c r="G299" i="1"/>
  <c r="H299" i="1"/>
  <c r="I299" i="1" s="1"/>
  <c r="T299" i="1"/>
  <c r="U299" i="1" s="1"/>
  <c r="V299" i="1"/>
  <c r="W299" i="1" s="1"/>
  <c r="J299" i="1"/>
  <c r="K299" i="1" s="1"/>
  <c r="L299" i="1"/>
  <c r="M299" i="1" s="1"/>
  <c r="N299" i="1"/>
  <c r="O299" i="1" s="1"/>
  <c r="R282" i="1"/>
  <c r="S282" i="1" s="1"/>
  <c r="N291" i="1"/>
  <c r="O291" i="1" s="1"/>
  <c r="L291" i="1"/>
  <c r="M291" i="1" s="1"/>
  <c r="J291" i="1"/>
  <c r="K291" i="1" s="1"/>
  <c r="H291" i="1"/>
  <c r="I291" i="1" s="1"/>
  <c r="V291" i="1"/>
  <c r="W291" i="1" s="1"/>
  <c r="T291" i="1"/>
  <c r="U291" i="1" s="1"/>
  <c r="R291" i="1"/>
  <c r="S291" i="1" s="1"/>
  <c r="P291" i="1"/>
  <c r="Q291" i="1" s="1"/>
  <c r="V282" i="1"/>
  <c r="W282" i="1" s="1"/>
  <c r="H288" i="1"/>
  <c r="I288" i="1" s="1"/>
  <c r="V288" i="1"/>
  <c r="W288" i="1" s="1"/>
  <c r="T288" i="1"/>
  <c r="U288" i="1" s="1"/>
  <c r="R288" i="1"/>
  <c r="S288" i="1" s="1"/>
  <c r="P288" i="1"/>
  <c r="Q288" i="1" s="1"/>
  <c r="L288" i="1"/>
  <c r="M288" i="1" s="1"/>
  <c r="P301" i="1"/>
  <c r="Q301" i="1" s="1"/>
  <c r="R301" i="1"/>
  <c r="S301" i="1" s="1"/>
  <c r="T301" i="1"/>
  <c r="U301" i="1" s="1"/>
  <c r="H301" i="1"/>
  <c r="I301" i="1" s="1"/>
  <c r="V301" i="1"/>
  <c r="W301" i="1" s="1"/>
  <c r="J301" i="1"/>
  <c r="K301" i="1" s="1"/>
  <c r="L309" i="1"/>
  <c r="H309" i="1"/>
  <c r="J309" i="1"/>
  <c r="P309" i="1"/>
  <c r="R309" i="1"/>
  <c r="J288" i="1"/>
  <c r="K288" i="1" s="1"/>
  <c r="N288" i="1"/>
  <c r="O288" i="1" s="1"/>
  <c r="V395" i="1"/>
  <c r="W395" i="1" s="1"/>
  <c r="T395" i="1"/>
  <c r="U395" i="1" s="1"/>
  <c r="R395" i="1"/>
  <c r="S395" i="1" s="1"/>
  <c r="P395" i="1"/>
  <c r="Q395" i="1" s="1"/>
  <c r="N395" i="1"/>
  <c r="O395" i="1" s="1"/>
  <c r="L395" i="1"/>
  <c r="M395" i="1" s="1"/>
  <c r="J395" i="1"/>
  <c r="K395" i="1" s="1"/>
  <c r="J401" i="1"/>
  <c r="K401" i="1" s="1"/>
  <c r="J286" i="1"/>
  <c r="K286" i="1" s="1"/>
  <c r="N301" i="1"/>
  <c r="O301" i="1" s="1"/>
  <c r="H286" i="1"/>
  <c r="I286" i="1" s="1"/>
  <c r="V286" i="1"/>
  <c r="W286" i="1" s="1"/>
  <c r="T286" i="1"/>
  <c r="U286" i="1" s="1"/>
  <c r="R286" i="1"/>
  <c r="S286" i="1" s="1"/>
  <c r="P286" i="1"/>
  <c r="Q286" i="1" s="1"/>
  <c r="L286" i="1"/>
  <c r="M286" i="1" s="1"/>
  <c r="L301" i="1"/>
  <c r="M301" i="1" s="1"/>
  <c r="R241" i="1"/>
  <c r="S241" i="1" s="1"/>
  <c r="T241" i="1"/>
  <c r="U241" i="1" s="1"/>
  <c r="G241" i="1"/>
  <c r="H241" i="1"/>
  <c r="I241" i="1" s="1"/>
  <c r="J241" i="1"/>
  <c r="K241" i="1" s="1"/>
  <c r="V241" i="1"/>
  <c r="W241" i="1" s="1"/>
  <c r="L241" i="1"/>
  <c r="M241" i="1" s="1"/>
  <c r="N241" i="1"/>
  <c r="O241" i="1" s="1"/>
  <c r="F25" i="1" l="1"/>
  <c r="F28" i="1"/>
  <c r="T27" i="1"/>
  <c r="U27" i="1" s="1"/>
  <c r="R27" i="1"/>
  <c r="S27" i="1" s="1"/>
  <c r="P27" i="1"/>
  <c r="Q27" i="1" s="1"/>
  <c r="N27" i="1"/>
  <c r="O27" i="1" s="1"/>
  <c r="L27" i="1"/>
  <c r="M27" i="1" s="1"/>
  <c r="N28" i="1" l="1"/>
  <c r="J28" i="1"/>
  <c r="T25" i="1"/>
  <c r="U25" i="1" s="1"/>
  <c r="N25" i="1"/>
  <c r="O25" i="1" s="1"/>
  <c r="R25" i="1"/>
  <c r="S25" i="1" s="1"/>
  <c r="L25" i="1"/>
  <c r="M25" i="1" s="1"/>
  <c r="T28" i="1"/>
  <c r="P28" i="1"/>
  <c r="R28" i="1"/>
  <c r="L28" i="1"/>
  <c r="P25" i="1"/>
  <c r="Q25" i="1" s="1"/>
  <c r="F249" i="1"/>
  <c r="G249" i="1" s="1"/>
  <c r="F246" i="1"/>
  <c r="H246" i="1" s="1"/>
  <c r="I246" i="1" s="1"/>
  <c r="T249" i="1" l="1"/>
  <c r="U249" i="1" s="1"/>
  <c r="N249" i="1"/>
  <c r="O249" i="1" s="1"/>
  <c r="V249" i="1"/>
  <c r="W249" i="1" s="1"/>
  <c r="L249" i="1"/>
  <c r="M249" i="1" s="1"/>
  <c r="V246" i="1"/>
  <c r="W246" i="1" s="1"/>
  <c r="H249" i="1"/>
  <c r="I249" i="1" s="1"/>
  <c r="J246" i="1"/>
  <c r="K246" i="1" s="1"/>
  <c r="J249" i="1"/>
  <c r="K249" i="1" s="1"/>
  <c r="R249" i="1"/>
  <c r="S249" i="1" s="1"/>
  <c r="P249" i="1"/>
  <c r="Q249" i="1" s="1"/>
  <c r="L246" i="1"/>
  <c r="M246" i="1" s="1"/>
  <c r="R246" i="1"/>
  <c r="S246" i="1" s="1"/>
  <c r="N246" i="1"/>
  <c r="O246" i="1" s="1"/>
  <c r="P246" i="1"/>
  <c r="Q246" i="1" s="1"/>
  <c r="T246" i="1"/>
  <c r="U246" i="1" s="1"/>
  <c r="G246" i="1"/>
  <c r="T419" i="1" l="1"/>
  <c r="U419" i="1" s="1"/>
  <c r="R419" i="1"/>
  <c r="S419" i="1" s="1"/>
  <c r="P419" i="1"/>
  <c r="Q419" i="1" s="1"/>
  <c r="N419" i="1"/>
  <c r="O419" i="1" s="1"/>
  <c r="L419" i="1"/>
  <c r="M419" i="1" s="1"/>
  <c r="T418" i="1"/>
  <c r="U418" i="1" s="1"/>
  <c r="R418" i="1"/>
  <c r="S418" i="1" s="1"/>
  <c r="P418" i="1"/>
  <c r="Q418" i="1" s="1"/>
  <c r="N418" i="1"/>
  <c r="O418" i="1" s="1"/>
  <c r="L418" i="1"/>
  <c r="M418" i="1" s="1"/>
  <c r="T417" i="1"/>
  <c r="U417" i="1" s="1"/>
  <c r="R417" i="1"/>
  <c r="S417" i="1" s="1"/>
  <c r="P417" i="1"/>
  <c r="Q417" i="1" s="1"/>
  <c r="N417" i="1"/>
  <c r="O417" i="1" s="1"/>
  <c r="L417" i="1"/>
  <c r="M417" i="1" s="1"/>
  <c r="T416" i="1"/>
  <c r="R416" i="1"/>
  <c r="P416" i="1"/>
  <c r="N416" i="1"/>
  <c r="L416" i="1"/>
  <c r="J415" i="1"/>
  <c r="T414" i="1"/>
  <c r="P414" i="1"/>
  <c r="R414" i="1"/>
  <c r="N414" i="1"/>
  <c r="L414" i="1"/>
  <c r="F549" i="1" l="1"/>
  <c r="F545" i="1"/>
  <c r="F544" i="1"/>
  <c r="F543" i="1"/>
  <c r="F535" i="1"/>
  <c r="F530" i="1"/>
  <c r="F529" i="1"/>
  <c r="F525" i="1"/>
  <c r="F522" i="1"/>
  <c r="F338" i="1"/>
  <c r="F491" i="1"/>
  <c r="F490" i="1"/>
  <c r="F154" i="1"/>
  <c r="F242" i="1"/>
  <c r="F204" i="1"/>
  <c r="F364" i="1"/>
  <c r="T338" i="1" l="1"/>
  <c r="U338" i="1" s="1"/>
  <c r="V338" i="1"/>
  <c r="W338" i="1" s="1"/>
  <c r="L338" i="1"/>
  <c r="M338" i="1" s="1"/>
  <c r="N338" i="1"/>
  <c r="O338" i="1" s="1"/>
  <c r="P338" i="1"/>
  <c r="Q338" i="1" s="1"/>
  <c r="R338" i="1"/>
  <c r="S338" i="1" s="1"/>
  <c r="L364" i="1"/>
  <c r="M364" i="1" s="1"/>
  <c r="N364" i="1"/>
  <c r="O364" i="1" s="1"/>
  <c r="P364" i="1"/>
  <c r="Q364" i="1" s="1"/>
  <c r="R364" i="1"/>
  <c r="S364" i="1" s="1"/>
  <c r="T364" i="1"/>
  <c r="U364" i="1" s="1"/>
  <c r="V364" i="1"/>
  <c r="W364" i="1" s="1"/>
  <c r="F412" i="1"/>
  <c r="R412" i="1" s="1"/>
  <c r="S412" i="1" s="1"/>
  <c r="L412" i="1" l="1"/>
  <c r="M412" i="1" s="1"/>
  <c r="G412" i="1"/>
  <c r="H412" i="1"/>
  <c r="I412" i="1" s="1"/>
  <c r="T412" i="1"/>
  <c r="U412" i="1" s="1"/>
  <c r="J412" i="1"/>
  <c r="K412" i="1" s="1"/>
  <c r="V412" i="1"/>
  <c r="W412" i="1" s="1"/>
  <c r="N412" i="1"/>
  <c r="O412" i="1" s="1"/>
  <c r="P412" i="1"/>
  <c r="Q412" i="1" s="1"/>
  <c r="W117" i="1" l="1"/>
  <c r="U117" i="1"/>
  <c r="S117" i="1"/>
  <c r="Q117" i="1"/>
  <c r="O117" i="1"/>
  <c r="M117" i="1"/>
  <c r="W122" i="1"/>
  <c r="U122" i="1"/>
  <c r="S122" i="1"/>
  <c r="Q122" i="1"/>
  <c r="O122" i="1"/>
  <c r="M122" i="1"/>
  <c r="S120" i="1"/>
  <c r="F63" i="1" l="1"/>
  <c r="G63" i="1" l="1"/>
  <c r="J63" i="1"/>
  <c r="V63" i="1"/>
  <c r="L63" i="1"/>
  <c r="M63" i="1" s="1"/>
  <c r="T63" i="1"/>
  <c r="U63" i="1" s="1"/>
  <c r="N63" i="1"/>
  <c r="P63" i="1"/>
  <c r="R63" i="1"/>
  <c r="S63" i="1" s="1"/>
  <c r="K63" i="1"/>
  <c r="W63" i="1"/>
  <c r="Q63" i="1"/>
  <c r="O63" i="1"/>
  <c r="G64" i="1" l="1"/>
  <c r="K64" i="1"/>
  <c r="M64" i="1"/>
  <c r="O64" i="1"/>
  <c r="Q64" i="1"/>
  <c r="S64" i="1"/>
  <c r="U64" i="1"/>
  <c r="W64" i="1"/>
  <c r="R448" i="1" l="1"/>
  <c r="S448" i="1" s="1"/>
  <c r="J450" i="1"/>
  <c r="K450" i="1" s="1"/>
  <c r="H450" i="1"/>
  <c r="I450" i="1" s="1"/>
  <c r="V126" i="1"/>
  <c r="W126" i="1" s="1"/>
  <c r="T126" i="1"/>
  <c r="U126" i="1" s="1"/>
  <c r="R126" i="1"/>
  <c r="S126" i="1" s="1"/>
  <c r="P126" i="1"/>
  <c r="Q126" i="1" s="1"/>
  <c r="N126" i="1"/>
  <c r="O126" i="1" s="1"/>
  <c r="L126" i="1"/>
  <c r="M126" i="1" s="1"/>
  <c r="G126" i="1"/>
  <c r="G448" i="1" l="1"/>
  <c r="T448" i="1"/>
  <c r="U448" i="1" s="1"/>
  <c r="J448" i="1"/>
  <c r="K448" i="1" s="1"/>
  <c r="L448" i="1"/>
  <c r="M448" i="1" s="1"/>
  <c r="P448" i="1"/>
  <c r="Q448" i="1" s="1"/>
  <c r="H448" i="1"/>
  <c r="I448" i="1" s="1"/>
  <c r="V448" i="1"/>
  <c r="W448" i="1" s="1"/>
  <c r="N448" i="1"/>
  <c r="O448" i="1" s="1"/>
  <c r="L469" i="1"/>
  <c r="J469" i="1"/>
  <c r="H469" i="1"/>
  <c r="G294" i="1"/>
  <c r="G295" i="1"/>
  <c r="G62" i="1" l="1"/>
  <c r="F428" i="1" l="1"/>
  <c r="F280" i="1"/>
  <c r="V280" i="1" l="1"/>
  <c r="T280" i="1"/>
  <c r="R280" i="1"/>
  <c r="P280" i="1"/>
  <c r="Q280" i="1" s="1"/>
  <c r="N280" i="1"/>
  <c r="L280" i="1"/>
  <c r="J280" i="1"/>
  <c r="O280" i="1"/>
  <c r="V428" i="1"/>
  <c r="W428" i="1" s="1"/>
  <c r="T428" i="1"/>
  <c r="U428" i="1" s="1"/>
  <c r="N428" i="1"/>
  <c r="O428" i="1" s="1"/>
  <c r="R428" i="1"/>
  <c r="S428" i="1" s="1"/>
  <c r="P428" i="1"/>
  <c r="Q428" i="1" s="1"/>
  <c r="L428" i="1"/>
  <c r="M428" i="1" s="1"/>
  <c r="J428" i="1"/>
  <c r="K428" i="1" s="1"/>
  <c r="H428" i="1"/>
  <c r="I428" i="1" s="1"/>
  <c r="S280" i="1"/>
  <c r="G280" i="1"/>
  <c r="H280" i="1"/>
  <c r="I280" i="1" s="1"/>
  <c r="U280" i="1"/>
  <c r="K280" i="1"/>
  <c r="W280" i="1"/>
  <c r="M280" i="1"/>
  <c r="F347" i="1"/>
  <c r="N347" i="1" l="1"/>
  <c r="O347" i="1" s="1"/>
  <c r="V347" i="1"/>
  <c r="W347" i="1" s="1"/>
  <c r="P347" i="1"/>
  <c r="Q347" i="1" s="1"/>
  <c r="T347" i="1"/>
  <c r="U347" i="1" s="1"/>
  <c r="R347" i="1"/>
  <c r="S347" i="1" s="1"/>
  <c r="L347" i="1"/>
  <c r="M347" i="1" s="1"/>
  <c r="F391" i="1"/>
  <c r="V391" i="1" l="1"/>
  <c r="W391" i="1" s="1"/>
  <c r="T391" i="1"/>
  <c r="U391" i="1" s="1"/>
  <c r="R391" i="1"/>
  <c r="S391" i="1" s="1"/>
  <c r="P391" i="1"/>
  <c r="Q391" i="1" s="1"/>
  <c r="N391" i="1"/>
  <c r="O391" i="1" s="1"/>
  <c r="J391" i="1"/>
  <c r="K391" i="1" s="1"/>
  <c r="L391" i="1"/>
  <c r="M391" i="1" s="1"/>
  <c r="H391" i="1"/>
  <c r="I391" i="1" s="1"/>
  <c r="F541" i="1"/>
  <c r="T541" i="1" l="1"/>
  <c r="U541" i="1" s="1"/>
  <c r="N541" i="1" l="1"/>
  <c r="O541" i="1" s="1"/>
  <c r="V541" i="1"/>
  <c r="W541" i="1" s="1"/>
  <c r="G541" i="1"/>
  <c r="H541" i="1"/>
  <c r="I541" i="1" s="1"/>
  <c r="P541" i="1"/>
  <c r="Q541" i="1" s="1"/>
  <c r="L541" i="1"/>
  <c r="M541" i="1" s="1"/>
  <c r="J541" i="1"/>
  <c r="K541" i="1" s="1"/>
  <c r="R541" i="1"/>
  <c r="S541" i="1" s="1"/>
  <c r="F14" i="1"/>
  <c r="L14" i="1" l="1"/>
  <c r="T14" i="1"/>
  <c r="R14" i="1"/>
  <c r="J14" i="1"/>
  <c r="P14" i="1"/>
  <c r="H14" i="1"/>
  <c r="N14" i="1"/>
  <c r="F402" i="1"/>
  <c r="W443" i="1"/>
  <c r="U443" i="1"/>
  <c r="S443" i="1"/>
  <c r="Q443" i="1"/>
  <c r="O443" i="1"/>
  <c r="W442" i="1"/>
  <c r="U442" i="1"/>
  <c r="S442" i="1"/>
  <c r="Q442" i="1"/>
  <c r="O442" i="1"/>
  <c r="V402" i="1" l="1"/>
  <c r="W402" i="1" s="1"/>
  <c r="T402" i="1"/>
  <c r="U402" i="1" s="1"/>
  <c r="R402" i="1"/>
  <c r="S402" i="1" s="1"/>
  <c r="P402" i="1"/>
  <c r="Q402" i="1" s="1"/>
  <c r="N402" i="1"/>
  <c r="O402" i="1" s="1"/>
  <c r="L402" i="1"/>
  <c r="M402" i="1" s="1"/>
  <c r="H402" i="1"/>
  <c r="I402" i="1" s="1"/>
  <c r="J402" i="1"/>
  <c r="K402" i="1" s="1"/>
  <c r="F447" i="1"/>
  <c r="F446" i="1"/>
  <c r="P446" i="1" l="1"/>
  <c r="Q446" i="1" s="1"/>
  <c r="N446" i="1"/>
  <c r="O446" i="1" s="1"/>
  <c r="V446" i="1"/>
  <c r="W446" i="1" s="1"/>
  <c r="T446" i="1"/>
  <c r="U446" i="1" s="1"/>
  <c r="R446" i="1"/>
  <c r="S446" i="1" s="1"/>
  <c r="L446" i="1"/>
  <c r="M446" i="1" s="1"/>
  <c r="J446" i="1"/>
  <c r="K446" i="1" s="1"/>
  <c r="H446" i="1"/>
  <c r="I446" i="1" s="1"/>
  <c r="H447" i="1"/>
  <c r="I447" i="1" s="1"/>
  <c r="V447" i="1"/>
  <c r="W447" i="1" s="1"/>
  <c r="T447" i="1"/>
  <c r="U447" i="1" s="1"/>
  <c r="R447" i="1"/>
  <c r="S447" i="1" s="1"/>
  <c r="P447" i="1"/>
  <c r="Q447" i="1" s="1"/>
  <c r="N447" i="1"/>
  <c r="O447" i="1" s="1"/>
  <c r="L447" i="1"/>
  <c r="M447" i="1" s="1"/>
  <c r="J447" i="1"/>
  <c r="K447" i="1" s="1"/>
  <c r="F496" i="1"/>
  <c r="J496" i="1" s="1"/>
  <c r="K496" i="1" s="1"/>
  <c r="F497" i="1"/>
  <c r="H497" i="1" s="1"/>
  <c r="I497" i="1" s="1"/>
  <c r="P496" i="1" l="1"/>
  <c r="Q496" i="1" s="1"/>
  <c r="T496" i="1"/>
  <c r="U496" i="1" s="1"/>
  <c r="L496" i="1"/>
  <c r="M496" i="1" s="1"/>
  <c r="N496" i="1"/>
  <c r="O496" i="1" s="1"/>
  <c r="J497" i="1"/>
  <c r="K497" i="1" s="1"/>
  <c r="V497" i="1"/>
  <c r="W497" i="1" s="1"/>
  <c r="L497" i="1"/>
  <c r="M497" i="1" s="1"/>
  <c r="P497" i="1"/>
  <c r="Q497" i="1" s="1"/>
  <c r="N497" i="1"/>
  <c r="O497" i="1" s="1"/>
  <c r="T497" i="1"/>
  <c r="U497" i="1" s="1"/>
  <c r="R497" i="1"/>
  <c r="S497" i="1" s="1"/>
  <c r="G497" i="1"/>
  <c r="R496" i="1"/>
  <c r="S496" i="1" s="1"/>
  <c r="V496" i="1"/>
  <c r="W496" i="1" s="1"/>
  <c r="G496" i="1"/>
  <c r="H496" i="1"/>
  <c r="I496" i="1" s="1"/>
  <c r="F378" i="1"/>
  <c r="L378" i="1" l="1"/>
  <c r="M378" i="1" s="1"/>
  <c r="N378" i="1"/>
  <c r="O378" i="1" s="1"/>
  <c r="P378" i="1"/>
  <c r="Q378" i="1" s="1"/>
  <c r="R378" i="1"/>
  <c r="S378" i="1" s="1"/>
  <c r="T378" i="1"/>
  <c r="U378" i="1" s="1"/>
  <c r="V378" i="1"/>
  <c r="W378" i="1" s="1"/>
  <c r="F405" i="1"/>
  <c r="F406" i="1"/>
  <c r="L405" i="1" l="1"/>
  <c r="M405" i="1" s="1"/>
  <c r="J405" i="1"/>
  <c r="K405" i="1" s="1"/>
  <c r="H405" i="1"/>
  <c r="I405" i="1" s="1"/>
  <c r="V405" i="1"/>
  <c r="W405" i="1" s="1"/>
  <c r="T405" i="1"/>
  <c r="U405" i="1" s="1"/>
  <c r="P405" i="1"/>
  <c r="Q405" i="1" s="1"/>
  <c r="R405" i="1"/>
  <c r="S405" i="1" s="1"/>
  <c r="N405" i="1"/>
  <c r="O405" i="1" s="1"/>
  <c r="P406" i="1"/>
  <c r="Q406" i="1" s="1"/>
  <c r="N406" i="1"/>
  <c r="O406" i="1" s="1"/>
  <c r="J406" i="1"/>
  <c r="K406" i="1" s="1"/>
  <c r="H406" i="1"/>
  <c r="I406" i="1" s="1"/>
  <c r="V406" i="1"/>
  <c r="W406" i="1" s="1"/>
  <c r="R406" i="1"/>
  <c r="S406" i="1" s="1"/>
  <c r="L406" i="1"/>
  <c r="M406" i="1" s="1"/>
  <c r="T406" i="1"/>
  <c r="U406" i="1" s="1"/>
  <c r="G406" i="1"/>
  <c r="J155" i="1" l="1"/>
  <c r="N155" i="1"/>
  <c r="J148" i="1"/>
  <c r="L148" i="1"/>
  <c r="N148" i="1"/>
  <c r="P148" i="1"/>
  <c r="R148" i="1"/>
  <c r="T148" i="1"/>
  <c r="V148" i="1"/>
  <c r="V58" i="1"/>
  <c r="V106" i="1"/>
  <c r="T106" i="1"/>
  <c r="R106" i="1"/>
  <c r="P106" i="1"/>
  <c r="N106" i="1"/>
  <c r="L106" i="1"/>
  <c r="R112" i="1"/>
  <c r="S112" i="1" s="1"/>
  <c r="R111" i="1"/>
  <c r="P112" i="1"/>
  <c r="Q112" i="1" s="1"/>
  <c r="P111" i="1"/>
  <c r="N111" i="1"/>
  <c r="N112" i="1"/>
  <c r="T112" i="1"/>
  <c r="U112" i="1" s="1"/>
  <c r="V112" i="1"/>
  <c r="V111" i="1"/>
  <c r="T111" i="1"/>
  <c r="T58" i="1"/>
  <c r="R58" i="1"/>
  <c r="P58" i="1"/>
  <c r="V57" i="1"/>
  <c r="V56" i="1"/>
  <c r="V55" i="1"/>
  <c r="V54" i="1"/>
  <c r="T57" i="1"/>
  <c r="T56" i="1"/>
  <c r="T55" i="1"/>
  <c r="T54" i="1"/>
  <c r="R57" i="1"/>
  <c r="R56" i="1"/>
  <c r="R55" i="1"/>
  <c r="R54" i="1"/>
  <c r="P57" i="1"/>
  <c r="P56" i="1"/>
  <c r="P55" i="1"/>
  <c r="P54" i="1"/>
  <c r="N57" i="1"/>
  <c r="N56" i="1"/>
  <c r="N55" i="1"/>
  <c r="N54" i="1"/>
  <c r="L55" i="1"/>
  <c r="L54" i="1"/>
  <c r="L56" i="1"/>
  <c r="L57" i="1"/>
  <c r="H630" i="1" l="1"/>
  <c r="I630" i="1" s="1"/>
  <c r="H631" i="1"/>
  <c r="I631" i="1" s="1"/>
  <c r="T631" i="1" l="1"/>
  <c r="U631" i="1" s="1"/>
  <c r="R631" i="1"/>
  <c r="S631" i="1" s="1"/>
  <c r="P631" i="1"/>
  <c r="Q631" i="1" s="1"/>
  <c r="N631" i="1"/>
  <c r="O631" i="1" s="1"/>
  <c r="L631" i="1"/>
  <c r="M631" i="1" s="1"/>
  <c r="J631" i="1"/>
  <c r="K631" i="1" s="1"/>
  <c r="G631" i="1"/>
  <c r="F520" i="1" l="1"/>
  <c r="V520" i="1" s="1"/>
  <c r="W520" i="1" s="1"/>
  <c r="G520" i="1" l="1"/>
  <c r="L520" i="1"/>
  <c r="M520" i="1" s="1"/>
  <c r="N520" i="1"/>
  <c r="O520" i="1" s="1"/>
  <c r="P520" i="1"/>
  <c r="Q520" i="1" s="1"/>
  <c r="R520" i="1"/>
  <c r="S520" i="1" s="1"/>
  <c r="T520" i="1"/>
  <c r="U520" i="1" s="1"/>
  <c r="N176" i="1"/>
  <c r="O176" i="1" s="1"/>
  <c r="P176" i="1"/>
  <c r="Q176" i="1" s="1"/>
  <c r="R176" i="1"/>
  <c r="S176" i="1" s="1"/>
  <c r="T176" i="1"/>
  <c r="U176" i="1" s="1"/>
  <c r="V176" i="1"/>
  <c r="N177" i="1"/>
  <c r="O177" i="1" s="1"/>
  <c r="P177" i="1"/>
  <c r="Q177" i="1" s="1"/>
  <c r="R177" i="1"/>
  <c r="S177" i="1" s="1"/>
  <c r="T177" i="1"/>
  <c r="U177" i="1" s="1"/>
  <c r="V177" i="1"/>
  <c r="N178" i="1"/>
  <c r="O178" i="1" s="1"/>
  <c r="P178" i="1"/>
  <c r="Q178" i="1" s="1"/>
  <c r="R178" i="1"/>
  <c r="S178" i="1" s="1"/>
  <c r="T178" i="1"/>
  <c r="U178" i="1" s="1"/>
  <c r="V178" i="1"/>
  <c r="V175" i="1"/>
  <c r="T175" i="1"/>
  <c r="R175" i="1"/>
  <c r="P175" i="1"/>
  <c r="N175" i="1"/>
  <c r="F633" i="1" l="1"/>
  <c r="F528" i="1" l="1"/>
  <c r="P528" i="1" s="1"/>
  <c r="Q528" i="1" s="1"/>
  <c r="T528" i="1" l="1"/>
  <c r="U528" i="1" s="1"/>
  <c r="R528" i="1"/>
  <c r="S528" i="1" s="1"/>
  <c r="J528" i="1"/>
  <c r="K528" i="1" s="1"/>
  <c r="V528" i="1"/>
  <c r="W528" i="1" s="1"/>
  <c r="L528" i="1"/>
  <c r="M528" i="1" s="1"/>
  <c r="N528" i="1"/>
  <c r="O528" i="1" s="1"/>
  <c r="G528" i="1"/>
  <c r="H528" i="1"/>
  <c r="I528" i="1" s="1"/>
  <c r="F593" i="1"/>
  <c r="V593" i="1" l="1"/>
  <c r="W593" i="1" s="1"/>
  <c r="L593" i="1" l="1"/>
  <c r="M593" i="1" s="1"/>
  <c r="N593" i="1"/>
  <c r="O593" i="1" s="1"/>
  <c r="G593" i="1"/>
  <c r="P593" i="1"/>
  <c r="Q593" i="1" s="1"/>
  <c r="R593" i="1"/>
  <c r="S593" i="1" s="1"/>
  <c r="H593" i="1"/>
  <c r="I593" i="1" s="1"/>
  <c r="T593" i="1"/>
  <c r="U593" i="1" s="1"/>
  <c r="J593" i="1"/>
  <c r="K593" i="1" s="1"/>
  <c r="F483" i="1" l="1"/>
  <c r="T483" i="1" s="1"/>
  <c r="U483" i="1" s="1"/>
  <c r="F482" i="1"/>
  <c r="V482" i="1" s="1"/>
  <c r="W482" i="1" s="1"/>
  <c r="N482" i="1" l="1"/>
  <c r="O482" i="1" s="1"/>
  <c r="H482" i="1"/>
  <c r="I482" i="1" s="1"/>
  <c r="J482" i="1"/>
  <c r="K482" i="1" s="1"/>
  <c r="L482" i="1"/>
  <c r="M482" i="1" s="1"/>
  <c r="P482" i="1"/>
  <c r="Q482" i="1" s="1"/>
  <c r="R482" i="1"/>
  <c r="S482" i="1" s="1"/>
  <c r="T482" i="1"/>
  <c r="U482" i="1" s="1"/>
  <c r="V483" i="1"/>
  <c r="W483" i="1" s="1"/>
  <c r="L483" i="1"/>
  <c r="M483" i="1" s="1"/>
  <c r="N483" i="1"/>
  <c r="O483" i="1" s="1"/>
  <c r="J483" i="1"/>
  <c r="K483" i="1" s="1"/>
  <c r="P483" i="1"/>
  <c r="Q483" i="1" s="1"/>
  <c r="R483" i="1"/>
  <c r="S483" i="1" s="1"/>
  <c r="G483" i="1"/>
  <c r="H483" i="1"/>
  <c r="I483" i="1" s="1"/>
  <c r="G482" i="1"/>
  <c r="F527" i="1" l="1"/>
  <c r="G527" i="1" s="1"/>
  <c r="L527" i="1" l="1"/>
  <c r="M527" i="1" s="1"/>
  <c r="H527" i="1"/>
  <c r="I527" i="1" s="1"/>
  <c r="J527" i="1"/>
  <c r="K527" i="1" s="1"/>
  <c r="V527" i="1"/>
  <c r="W527" i="1" s="1"/>
  <c r="R527" i="1"/>
  <c r="S527" i="1" s="1"/>
  <c r="T527" i="1"/>
  <c r="U527" i="1" s="1"/>
  <c r="N527" i="1"/>
  <c r="O527" i="1" s="1"/>
  <c r="P527" i="1"/>
  <c r="Q527" i="1" s="1"/>
  <c r="F551" i="1" l="1"/>
  <c r="V551" i="1" s="1"/>
  <c r="W551" i="1" s="1"/>
  <c r="F550" i="1"/>
  <c r="V550" i="1" s="1"/>
  <c r="W550" i="1" s="1"/>
  <c r="F220" i="1"/>
  <c r="F439" i="1"/>
  <c r="F449" i="1"/>
  <c r="H449" i="1" l="1"/>
  <c r="I449" i="1" s="1"/>
  <c r="R449" i="1"/>
  <c r="S449" i="1" s="1"/>
  <c r="N449" i="1"/>
  <c r="O449" i="1" s="1"/>
  <c r="V449" i="1"/>
  <c r="W449" i="1" s="1"/>
  <c r="T449" i="1"/>
  <c r="U449" i="1" s="1"/>
  <c r="P449" i="1"/>
  <c r="Q449" i="1" s="1"/>
  <c r="L449" i="1"/>
  <c r="M449" i="1" s="1"/>
  <c r="J449" i="1"/>
  <c r="K449" i="1" s="1"/>
  <c r="N551" i="1"/>
  <c r="O551" i="1" s="1"/>
  <c r="P551" i="1"/>
  <c r="Q551" i="1" s="1"/>
  <c r="R551" i="1"/>
  <c r="S551" i="1" s="1"/>
  <c r="G551" i="1"/>
  <c r="L551" i="1"/>
  <c r="M551" i="1" s="1"/>
  <c r="H551" i="1"/>
  <c r="I551" i="1" s="1"/>
  <c r="T551" i="1"/>
  <c r="U551" i="1" s="1"/>
  <c r="J551" i="1"/>
  <c r="K551" i="1" s="1"/>
  <c r="L550" i="1"/>
  <c r="M550" i="1" s="1"/>
  <c r="H550" i="1"/>
  <c r="I550" i="1" s="1"/>
  <c r="J550" i="1"/>
  <c r="K550" i="1" s="1"/>
  <c r="N550" i="1"/>
  <c r="O550" i="1" s="1"/>
  <c r="P550" i="1"/>
  <c r="Q550" i="1" s="1"/>
  <c r="R550" i="1"/>
  <c r="S550" i="1" s="1"/>
  <c r="G550" i="1"/>
  <c r="T550" i="1"/>
  <c r="U550" i="1" s="1"/>
  <c r="F534" i="1" l="1"/>
  <c r="V617" i="1" l="1"/>
  <c r="W617" i="1" s="1"/>
  <c r="T617" i="1"/>
  <c r="U617" i="1" s="1"/>
  <c r="R617" i="1"/>
  <c r="S617" i="1" s="1"/>
  <c r="P617" i="1"/>
  <c r="Q617" i="1" s="1"/>
  <c r="N617" i="1"/>
  <c r="O617" i="1" s="1"/>
  <c r="L617" i="1"/>
  <c r="M617" i="1" s="1"/>
  <c r="J617" i="1"/>
  <c r="K617" i="1" s="1"/>
  <c r="H617" i="1"/>
  <c r="I617" i="1" s="1"/>
  <c r="V616" i="1"/>
  <c r="W616" i="1" s="1"/>
  <c r="T616" i="1"/>
  <c r="U616" i="1" s="1"/>
  <c r="R616" i="1"/>
  <c r="S616" i="1" s="1"/>
  <c r="P616" i="1"/>
  <c r="Q616" i="1" s="1"/>
  <c r="N616" i="1"/>
  <c r="O616" i="1" s="1"/>
  <c r="L616" i="1"/>
  <c r="M616" i="1" s="1"/>
  <c r="J616" i="1"/>
  <c r="H616" i="1"/>
  <c r="I616" i="1" s="1"/>
  <c r="P549" i="1" l="1"/>
  <c r="Q549" i="1" s="1"/>
  <c r="F553" i="1"/>
  <c r="G553" i="1" s="1"/>
  <c r="G549" i="1" l="1"/>
  <c r="H549" i="1"/>
  <c r="I549" i="1" s="1"/>
  <c r="T549" i="1"/>
  <c r="U549" i="1" s="1"/>
  <c r="L549" i="1"/>
  <c r="M549" i="1" s="1"/>
  <c r="V549" i="1"/>
  <c r="W549" i="1" s="1"/>
  <c r="J549" i="1"/>
  <c r="K549" i="1" s="1"/>
  <c r="N549" i="1"/>
  <c r="O549" i="1" s="1"/>
  <c r="R549" i="1"/>
  <c r="S549" i="1" s="1"/>
  <c r="J553" i="1"/>
  <c r="K553" i="1" s="1"/>
  <c r="N553" i="1"/>
  <c r="O553" i="1" s="1"/>
  <c r="R553" i="1"/>
  <c r="S553" i="1" s="1"/>
  <c r="V553" i="1"/>
  <c r="W553" i="1" s="1"/>
  <c r="H553" i="1"/>
  <c r="I553" i="1" s="1"/>
  <c r="L553" i="1"/>
  <c r="M553" i="1" s="1"/>
  <c r="P553" i="1"/>
  <c r="Q553" i="1" s="1"/>
  <c r="T553" i="1"/>
  <c r="U553" i="1" s="1"/>
  <c r="F612" i="1"/>
  <c r="V612" i="1" s="1"/>
  <c r="F615" i="1"/>
  <c r="V615" i="1" s="1"/>
  <c r="W615" i="1" s="1"/>
  <c r="F614" i="1"/>
  <c r="V614" i="1" s="1"/>
  <c r="W614" i="1" s="1"/>
  <c r="F613" i="1"/>
  <c r="P612" i="1" l="1"/>
  <c r="Q612" i="1" s="1"/>
  <c r="H612" i="1"/>
  <c r="I612" i="1" s="1"/>
  <c r="R612" i="1"/>
  <c r="S612" i="1" s="1"/>
  <c r="J612" i="1"/>
  <c r="K612" i="1" s="1"/>
  <c r="T612" i="1"/>
  <c r="U612" i="1" s="1"/>
  <c r="N612" i="1"/>
  <c r="O612" i="1" s="1"/>
  <c r="L612" i="1"/>
  <c r="M612" i="1" s="1"/>
  <c r="G612" i="1"/>
  <c r="W612" i="1"/>
  <c r="L615" i="1"/>
  <c r="M615" i="1" s="1"/>
  <c r="P615" i="1"/>
  <c r="Q615" i="1" s="1"/>
  <c r="T615" i="1"/>
  <c r="U615" i="1" s="1"/>
  <c r="G615" i="1"/>
  <c r="J615" i="1"/>
  <c r="K615" i="1" s="1"/>
  <c r="N615" i="1"/>
  <c r="O615" i="1" s="1"/>
  <c r="R615" i="1"/>
  <c r="S615" i="1" s="1"/>
  <c r="L614" i="1"/>
  <c r="M614" i="1" s="1"/>
  <c r="P614" i="1"/>
  <c r="Q614" i="1" s="1"/>
  <c r="T614" i="1"/>
  <c r="U614" i="1" s="1"/>
  <c r="G614" i="1"/>
  <c r="J614" i="1"/>
  <c r="K614" i="1" s="1"/>
  <c r="N614" i="1"/>
  <c r="O614" i="1" s="1"/>
  <c r="R614" i="1"/>
  <c r="S614" i="1" s="1"/>
  <c r="V613" i="1" l="1"/>
  <c r="W613" i="1" s="1"/>
  <c r="R613" i="1"/>
  <c r="S613" i="1" s="1"/>
  <c r="N613" i="1"/>
  <c r="O613" i="1" s="1"/>
  <c r="J613" i="1"/>
  <c r="K613" i="1" s="1"/>
  <c r="G613" i="1"/>
  <c r="L613" i="1" l="1"/>
  <c r="M613" i="1" s="1"/>
  <c r="P613" i="1"/>
  <c r="Q613" i="1" s="1"/>
  <c r="T613" i="1"/>
  <c r="U613" i="1" s="1"/>
  <c r="F252" i="1"/>
  <c r="R252" i="1" l="1"/>
  <c r="S252" i="1" s="1"/>
  <c r="G252" i="1" l="1"/>
  <c r="H252" i="1"/>
  <c r="I252" i="1" s="1"/>
  <c r="T252" i="1"/>
  <c r="U252" i="1" s="1"/>
  <c r="J252" i="1"/>
  <c r="K252" i="1" s="1"/>
  <c r="N252" i="1"/>
  <c r="O252" i="1" s="1"/>
  <c r="L252" i="1"/>
  <c r="M252" i="1" s="1"/>
  <c r="V252" i="1"/>
  <c r="W252" i="1" s="1"/>
  <c r="P252" i="1"/>
  <c r="Q252" i="1" s="1"/>
  <c r="F604" i="1"/>
  <c r="V568" i="1"/>
  <c r="W568" i="1" s="1"/>
  <c r="T568" i="1"/>
  <c r="U568" i="1" s="1"/>
  <c r="R568" i="1"/>
  <c r="S568" i="1" s="1"/>
  <c r="P568" i="1"/>
  <c r="Q568" i="1" s="1"/>
  <c r="N568" i="1"/>
  <c r="O568" i="1" s="1"/>
  <c r="L568" i="1"/>
  <c r="M568" i="1" s="1"/>
  <c r="J568" i="1"/>
  <c r="K568" i="1" s="1"/>
  <c r="H568" i="1"/>
  <c r="I568" i="1" s="1"/>
  <c r="G568" i="1"/>
  <c r="V570" i="1"/>
  <c r="W570" i="1" s="1"/>
  <c r="T570" i="1"/>
  <c r="U570" i="1" s="1"/>
  <c r="R570" i="1"/>
  <c r="S570" i="1" s="1"/>
  <c r="P570" i="1"/>
  <c r="Q570" i="1" s="1"/>
  <c r="N570" i="1"/>
  <c r="O570" i="1" s="1"/>
  <c r="L570" i="1"/>
  <c r="M570" i="1" s="1"/>
  <c r="J570" i="1"/>
  <c r="K570" i="1" s="1"/>
  <c r="H570" i="1"/>
  <c r="I570" i="1" s="1"/>
  <c r="G570" i="1"/>
  <c r="V569" i="1"/>
  <c r="W569" i="1" s="1"/>
  <c r="T569" i="1"/>
  <c r="U569" i="1" s="1"/>
  <c r="R569" i="1"/>
  <c r="S569" i="1" s="1"/>
  <c r="P569" i="1"/>
  <c r="Q569" i="1" s="1"/>
  <c r="N569" i="1"/>
  <c r="O569" i="1" s="1"/>
  <c r="L569" i="1"/>
  <c r="M569" i="1" s="1"/>
  <c r="J569" i="1"/>
  <c r="K569" i="1" s="1"/>
  <c r="H569" i="1"/>
  <c r="I569" i="1" s="1"/>
  <c r="G569" i="1"/>
  <c r="F603" i="1"/>
  <c r="F602" i="1"/>
  <c r="H602" i="1" s="1"/>
  <c r="I602" i="1" s="1"/>
  <c r="F623" i="1"/>
  <c r="F554" i="1"/>
  <c r="F552" i="1"/>
  <c r="F547" i="1"/>
  <c r="F546" i="1"/>
  <c r="P604" i="1" l="1"/>
  <c r="Q604" i="1" s="1"/>
  <c r="H604" i="1"/>
  <c r="I604" i="1" s="1"/>
  <c r="G603" i="1"/>
  <c r="H603" i="1"/>
  <c r="I603" i="1" s="1"/>
  <c r="R602" i="1"/>
  <c r="S602" i="1" s="1"/>
  <c r="J602" i="1"/>
  <c r="K602" i="1" s="1"/>
  <c r="P602" i="1"/>
  <c r="Q602" i="1" s="1"/>
  <c r="T602" i="1"/>
  <c r="U602" i="1" s="1"/>
  <c r="V602" i="1"/>
  <c r="W602" i="1" s="1"/>
  <c r="L602" i="1"/>
  <c r="M602" i="1" s="1"/>
  <c r="N602" i="1"/>
  <c r="O602" i="1" s="1"/>
  <c r="R604" i="1"/>
  <c r="S604" i="1" s="1"/>
  <c r="V604" i="1"/>
  <c r="W604" i="1" s="1"/>
  <c r="T604" i="1"/>
  <c r="U604" i="1" s="1"/>
  <c r="J604" i="1"/>
  <c r="K604" i="1" s="1"/>
  <c r="L604" i="1"/>
  <c r="M604" i="1" s="1"/>
  <c r="N604" i="1"/>
  <c r="O604" i="1" s="1"/>
  <c r="G604" i="1"/>
  <c r="N603" i="1"/>
  <c r="O603" i="1" s="1"/>
  <c r="V603" i="1"/>
  <c r="W603" i="1" s="1"/>
  <c r="R603" i="1"/>
  <c r="S603" i="1" s="1"/>
  <c r="T603" i="1"/>
  <c r="U603" i="1" s="1"/>
  <c r="J603" i="1"/>
  <c r="K603" i="1" s="1"/>
  <c r="L603" i="1"/>
  <c r="M603" i="1" s="1"/>
  <c r="P603" i="1"/>
  <c r="Q603" i="1" s="1"/>
  <c r="G602" i="1"/>
  <c r="F523" i="1"/>
  <c r="F505" i="1"/>
  <c r="F499" i="1"/>
  <c r="F495" i="1"/>
  <c r="F493" i="1"/>
  <c r="F492" i="1"/>
  <c r="F486" i="1"/>
  <c r="F485" i="1"/>
  <c r="F484" i="1"/>
  <c r="F409" i="1" l="1"/>
  <c r="F408" i="1"/>
  <c r="F404" i="1"/>
  <c r="F403" i="1"/>
  <c r="F390" i="1"/>
  <c r="F386" i="1"/>
  <c r="F353" i="1"/>
  <c r="F352" i="1"/>
  <c r="F346" i="1"/>
  <c r="F304" i="1"/>
  <c r="F303" i="1"/>
  <c r="F290" i="1"/>
  <c r="F287" i="1"/>
  <c r="F281" i="1"/>
  <c r="F230" i="1"/>
  <c r="F229" i="1"/>
  <c r="F228" i="1"/>
  <c r="F213" i="1"/>
  <c r="F196" i="1"/>
  <c r="F189" i="1"/>
  <c r="V346" i="1" l="1"/>
  <c r="W346" i="1" s="1"/>
  <c r="R346" i="1"/>
  <c r="S346" i="1" s="1"/>
  <c r="P346" i="1"/>
  <c r="Q346" i="1" s="1"/>
  <c r="T346" i="1"/>
  <c r="U346" i="1" s="1"/>
  <c r="N346" i="1"/>
  <c r="O346" i="1" s="1"/>
  <c r="L346" i="1"/>
  <c r="M346" i="1" s="1"/>
  <c r="L304" i="1"/>
  <c r="M304" i="1" s="1"/>
  <c r="J304" i="1"/>
  <c r="K304" i="1" s="1"/>
  <c r="H304" i="1"/>
  <c r="I304" i="1" s="1"/>
  <c r="L352" i="1"/>
  <c r="M352" i="1" s="1"/>
  <c r="N352" i="1"/>
  <c r="O352" i="1" s="1"/>
  <c r="P352" i="1"/>
  <c r="Q352" i="1" s="1"/>
  <c r="R352" i="1"/>
  <c r="S352" i="1" s="1"/>
  <c r="T352" i="1"/>
  <c r="U352" i="1" s="1"/>
  <c r="V352" i="1"/>
  <c r="W352" i="1" s="1"/>
  <c r="V303" i="1"/>
  <c r="W303" i="1" s="1"/>
  <c r="T303" i="1"/>
  <c r="U303" i="1" s="1"/>
  <c r="R303" i="1"/>
  <c r="S303" i="1" s="1"/>
  <c r="P303" i="1"/>
  <c r="Q303" i="1" s="1"/>
  <c r="N303" i="1"/>
  <c r="O303" i="1" s="1"/>
  <c r="L303" i="1"/>
  <c r="M303" i="1" s="1"/>
  <c r="J303" i="1"/>
  <c r="K303" i="1" s="1"/>
  <c r="H303" i="1"/>
  <c r="I303" i="1" s="1"/>
  <c r="V386" i="1"/>
  <c r="W386" i="1" s="1"/>
  <c r="T386" i="1"/>
  <c r="U386" i="1" s="1"/>
  <c r="R386" i="1"/>
  <c r="S386" i="1" s="1"/>
  <c r="P386" i="1"/>
  <c r="Q386" i="1" s="1"/>
  <c r="L386" i="1"/>
  <c r="M386" i="1" s="1"/>
  <c r="N386" i="1"/>
  <c r="O386" i="1" s="1"/>
  <c r="V281" i="1"/>
  <c r="W281" i="1" s="1"/>
  <c r="T281" i="1"/>
  <c r="U281" i="1" s="1"/>
  <c r="R281" i="1"/>
  <c r="S281" i="1" s="1"/>
  <c r="P281" i="1"/>
  <c r="Q281" i="1" s="1"/>
  <c r="N281" i="1"/>
  <c r="O281" i="1" s="1"/>
  <c r="L281" i="1"/>
  <c r="M281" i="1" s="1"/>
  <c r="J281" i="1"/>
  <c r="K281" i="1" s="1"/>
  <c r="H281" i="1"/>
  <c r="I281" i="1" s="1"/>
  <c r="T408" i="1"/>
  <c r="U408" i="1" s="1"/>
  <c r="R408" i="1"/>
  <c r="S408" i="1" s="1"/>
  <c r="P408" i="1"/>
  <c r="Q408" i="1" s="1"/>
  <c r="N408" i="1"/>
  <c r="O408" i="1" s="1"/>
  <c r="L408" i="1"/>
  <c r="M408" i="1" s="1"/>
  <c r="J408" i="1"/>
  <c r="K408" i="1" s="1"/>
  <c r="H408" i="1"/>
  <c r="I408" i="1" s="1"/>
  <c r="V408" i="1"/>
  <c r="W408" i="1" s="1"/>
  <c r="R290" i="1"/>
  <c r="S290" i="1" s="1"/>
  <c r="P290" i="1"/>
  <c r="Q290" i="1" s="1"/>
  <c r="N290" i="1"/>
  <c r="O290" i="1" s="1"/>
  <c r="L290" i="1"/>
  <c r="M290" i="1" s="1"/>
  <c r="J290" i="1"/>
  <c r="K290" i="1" s="1"/>
  <c r="H290" i="1"/>
  <c r="I290" i="1" s="1"/>
  <c r="V290" i="1"/>
  <c r="W290" i="1" s="1"/>
  <c r="T290" i="1"/>
  <c r="U290" i="1" s="1"/>
  <c r="R353" i="1"/>
  <c r="S353" i="1" s="1"/>
  <c r="T353" i="1"/>
  <c r="U353" i="1" s="1"/>
  <c r="L353" i="1"/>
  <c r="M353" i="1" s="1"/>
  <c r="N353" i="1"/>
  <c r="O353" i="1" s="1"/>
  <c r="P353" i="1"/>
  <c r="Q353" i="1" s="1"/>
  <c r="V353" i="1"/>
  <c r="W353" i="1" s="1"/>
  <c r="L390" i="1"/>
  <c r="M390" i="1" s="1"/>
  <c r="J390" i="1"/>
  <c r="K390" i="1" s="1"/>
  <c r="H390" i="1"/>
  <c r="I390" i="1" s="1"/>
  <c r="V390" i="1"/>
  <c r="W390" i="1" s="1"/>
  <c r="T390" i="1"/>
  <c r="U390" i="1" s="1"/>
  <c r="P390" i="1"/>
  <c r="Q390" i="1" s="1"/>
  <c r="R390" i="1"/>
  <c r="S390" i="1" s="1"/>
  <c r="N390" i="1"/>
  <c r="O390" i="1" s="1"/>
  <c r="H403" i="1"/>
  <c r="I403" i="1" s="1"/>
  <c r="T403" i="1"/>
  <c r="U403" i="1" s="1"/>
  <c r="R403" i="1"/>
  <c r="S403" i="1" s="1"/>
  <c r="P403" i="1"/>
  <c r="Q403" i="1" s="1"/>
  <c r="L403" i="1"/>
  <c r="M403" i="1" s="1"/>
  <c r="V403" i="1"/>
  <c r="W403" i="1" s="1"/>
  <c r="N403" i="1"/>
  <c r="O403" i="1" s="1"/>
  <c r="J403" i="1"/>
  <c r="K403" i="1" s="1"/>
  <c r="L404" i="1"/>
  <c r="M404" i="1" s="1"/>
  <c r="J404" i="1"/>
  <c r="K404" i="1" s="1"/>
  <c r="H404" i="1"/>
  <c r="I404" i="1" s="1"/>
  <c r="V287" i="1"/>
  <c r="W287" i="1" s="1"/>
  <c r="T287" i="1"/>
  <c r="U287" i="1" s="1"/>
  <c r="R287" i="1"/>
  <c r="S287" i="1" s="1"/>
  <c r="P287" i="1"/>
  <c r="Q287" i="1" s="1"/>
  <c r="N287" i="1"/>
  <c r="O287" i="1" s="1"/>
  <c r="L287" i="1"/>
  <c r="M287" i="1" s="1"/>
  <c r="J287" i="1"/>
  <c r="K287" i="1" s="1"/>
  <c r="H287" i="1"/>
  <c r="I287" i="1" s="1"/>
  <c r="T409" i="1"/>
  <c r="U409" i="1" s="1"/>
  <c r="R409" i="1"/>
  <c r="S409" i="1" s="1"/>
  <c r="P409" i="1"/>
  <c r="Q409" i="1" s="1"/>
  <c r="N409" i="1"/>
  <c r="O409" i="1" s="1"/>
  <c r="L409" i="1"/>
  <c r="M409" i="1" s="1"/>
  <c r="J409" i="1"/>
  <c r="K409" i="1" s="1"/>
  <c r="V409" i="1"/>
  <c r="W409" i="1" s="1"/>
  <c r="H409" i="1"/>
  <c r="I409" i="1" s="1"/>
  <c r="H213" i="1"/>
  <c r="I213" i="1" s="1"/>
  <c r="P213" i="1"/>
  <c r="V213" i="1"/>
  <c r="R213" i="1"/>
  <c r="J213" i="1"/>
  <c r="N213" i="1"/>
  <c r="T213" i="1"/>
  <c r="L213" i="1"/>
  <c r="G14" i="1"/>
  <c r="U14" i="1" l="1"/>
  <c r="S14" i="1"/>
  <c r="Q14" i="1"/>
  <c r="O14" i="1"/>
  <c r="M14" i="1"/>
  <c r="K14" i="1"/>
  <c r="I14" i="1"/>
  <c r="F356" i="1" l="1"/>
  <c r="P356" i="1" l="1"/>
  <c r="Q356" i="1" s="1"/>
  <c r="V356" i="1"/>
  <c r="W356" i="1" s="1"/>
  <c r="N356" i="1"/>
  <c r="O356" i="1" s="1"/>
  <c r="L356" i="1"/>
  <c r="M356" i="1" s="1"/>
  <c r="R356" i="1"/>
  <c r="S356" i="1" s="1"/>
  <c r="T356" i="1"/>
  <c r="U356" i="1" s="1"/>
  <c r="F29" i="1"/>
  <c r="G29" i="1" l="1"/>
  <c r="R29" i="1"/>
  <c r="T29" i="1"/>
  <c r="P29" i="1"/>
  <c r="V29" i="1"/>
  <c r="N29" i="1"/>
  <c r="L29" i="1"/>
  <c r="F626" i="1"/>
  <c r="F548" i="1"/>
  <c r="F536" i="1"/>
  <c r="F533" i="1"/>
  <c r="F512" i="1"/>
  <c r="F511" i="1"/>
  <c r="F504" i="1"/>
  <c r="F500" i="1"/>
  <c r="F498" i="1"/>
  <c r="F494" i="1"/>
  <c r="F489" i="1"/>
  <c r="F488" i="1"/>
  <c r="P484" i="1"/>
  <c r="Q484" i="1" s="1"/>
  <c r="N484" i="1" l="1"/>
  <c r="O484" i="1" s="1"/>
  <c r="L484" i="1"/>
  <c r="M484" i="1" s="1"/>
  <c r="G390" i="1"/>
  <c r="R484" i="1"/>
  <c r="S484" i="1" s="1"/>
  <c r="G484" i="1"/>
  <c r="H484" i="1"/>
  <c r="I484" i="1" s="1"/>
  <c r="T484" i="1"/>
  <c r="U484" i="1" s="1"/>
  <c r="J484" i="1"/>
  <c r="K484" i="1" s="1"/>
  <c r="V484" i="1"/>
  <c r="W484" i="1" s="1"/>
  <c r="F438" i="1"/>
  <c r="F389" i="1"/>
  <c r="F387" i="1"/>
  <c r="F383" i="1"/>
  <c r="F381" i="1"/>
  <c r="F380" i="1"/>
  <c r="F376" i="1"/>
  <c r="L387" i="1" l="1"/>
  <c r="M387" i="1" s="1"/>
  <c r="J387" i="1"/>
  <c r="K387" i="1" s="1"/>
  <c r="H387" i="1"/>
  <c r="I387" i="1" s="1"/>
  <c r="V389" i="1"/>
  <c r="W389" i="1" s="1"/>
  <c r="H389" i="1"/>
  <c r="I389" i="1" s="1"/>
  <c r="R389" i="1"/>
  <c r="S389" i="1" s="1"/>
  <c r="P389" i="1"/>
  <c r="Q389" i="1" s="1"/>
  <c r="N389" i="1"/>
  <c r="O389" i="1" s="1"/>
  <c r="T389" i="1"/>
  <c r="U389" i="1" s="1"/>
  <c r="L389" i="1"/>
  <c r="M389" i="1" s="1"/>
  <c r="J389" i="1"/>
  <c r="K389" i="1" s="1"/>
  <c r="L376" i="1"/>
  <c r="M376" i="1" s="1"/>
  <c r="N376" i="1"/>
  <c r="O376" i="1" s="1"/>
  <c r="P376" i="1"/>
  <c r="Q376" i="1" s="1"/>
  <c r="R376" i="1"/>
  <c r="S376" i="1" s="1"/>
  <c r="T376" i="1"/>
  <c r="U376" i="1" s="1"/>
  <c r="V376" i="1"/>
  <c r="W376" i="1" s="1"/>
  <c r="N380" i="1"/>
  <c r="O380" i="1" s="1"/>
  <c r="P380" i="1"/>
  <c r="Q380" i="1" s="1"/>
  <c r="T380" i="1"/>
  <c r="U380" i="1" s="1"/>
  <c r="L380" i="1"/>
  <c r="M380" i="1" s="1"/>
  <c r="R380" i="1"/>
  <c r="S380" i="1" s="1"/>
  <c r="V380" i="1"/>
  <c r="W380" i="1" s="1"/>
  <c r="R381" i="1"/>
  <c r="S381" i="1" s="1"/>
  <c r="T381" i="1"/>
  <c r="U381" i="1" s="1"/>
  <c r="V381" i="1"/>
  <c r="W381" i="1" s="1"/>
  <c r="L381" i="1"/>
  <c r="M381" i="1" s="1"/>
  <c r="N381" i="1"/>
  <c r="O381" i="1" s="1"/>
  <c r="P381" i="1"/>
  <c r="Q381" i="1" s="1"/>
  <c r="R383" i="1"/>
  <c r="S383" i="1" s="1"/>
  <c r="T383" i="1"/>
  <c r="U383" i="1" s="1"/>
  <c r="V383" i="1"/>
  <c r="W383" i="1" s="1"/>
  <c r="L383" i="1"/>
  <c r="M383" i="1" s="1"/>
  <c r="N383" i="1"/>
  <c r="O383" i="1" s="1"/>
  <c r="P383" i="1"/>
  <c r="Q383" i="1" s="1"/>
  <c r="F375" i="1"/>
  <c r="F372" i="1"/>
  <c r="F370" i="1"/>
  <c r="F366" i="1"/>
  <c r="F365" i="1"/>
  <c r="F363" i="1"/>
  <c r="F362" i="1"/>
  <c r="F351" i="1"/>
  <c r="F350" i="1"/>
  <c r="F349" i="1"/>
  <c r="F343" i="1"/>
  <c r="F341" i="1"/>
  <c r="F340" i="1"/>
  <c r="F339" i="1"/>
  <c r="F337" i="1"/>
  <c r="F336" i="1"/>
  <c r="F335" i="1"/>
  <c r="F334" i="1"/>
  <c r="F333" i="1"/>
  <c r="F332" i="1"/>
  <c r="F331" i="1"/>
  <c r="F330" i="1"/>
  <c r="F329" i="1"/>
  <c r="F328" i="1"/>
  <c r="F327" i="1"/>
  <c r="F326" i="1"/>
  <c r="F325" i="1"/>
  <c r="F324" i="1"/>
  <c r="F323" i="1"/>
  <c r="F322" i="1"/>
  <c r="F321" i="1"/>
  <c r="F315" i="1"/>
  <c r="F314" i="1"/>
  <c r="F313" i="1"/>
  <c r="F310" i="1"/>
  <c r="F302" i="1"/>
  <c r="F255" i="1"/>
  <c r="F254" i="1"/>
  <c r="F253" i="1"/>
  <c r="F251" i="1"/>
  <c r="F234" i="1"/>
  <c r="F233" i="1"/>
  <c r="F231" i="1"/>
  <c r="F221" i="1"/>
  <c r="F218" i="1"/>
  <c r="F217" i="1"/>
  <c r="F216" i="1"/>
  <c r="F188" i="1"/>
  <c r="F165" i="1"/>
  <c r="H165" i="1" s="1"/>
  <c r="F162" i="1"/>
  <c r="F161" i="1"/>
  <c r="F146" i="1"/>
  <c r="F105" i="1"/>
  <c r="F104" i="1"/>
  <c r="F103" i="1"/>
  <c r="F102" i="1"/>
  <c r="F101" i="1"/>
  <c r="F100" i="1"/>
  <c r="F97" i="1"/>
  <c r="L302" i="1" l="1"/>
  <c r="M302" i="1" s="1"/>
  <c r="J302" i="1"/>
  <c r="K302" i="1" s="1"/>
  <c r="H302" i="1"/>
  <c r="I302" i="1" s="1"/>
  <c r="V302" i="1"/>
  <c r="W302" i="1" s="1"/>
  <c r="T302" i="1"/>
  <c r="U302" i="1" s="1"/>
  <c r="P302" i="1"/>
  <c r="Q302" i="1" s="1"/>
  <c r="R302" i="1"/>
  <c r="S302" i="1" s="1"/>
  <c r="N302" i="1"/>
  <c r="O302" i="1" s="1"/>
  <c r="P327" i="1"/>
  <c r="Q327" i="1" s="1"/>
  <c r="T327" i="1"/>
  <c r="U327" i="1" s="1"/>
  <c r="V327" i="1"/>
  <c r="W327" i="1" s="1"/>
  <c r="L327" i="1"/>
  <c r="M327" i="1" s="1"/>
  <c r="N327" i="1"/>
  <c r="O327" i="1" s="1"/>
  <c r="R327" i="1"/>
  <c r="S327" i="1" s="1"/>
  <c r="P328" i="1"/>
  <c r="Q328" i="1" s="1"/>
  <c r="V328" i="1"/>
  <c r="W328" i="1" s="1"/>
  <c r="N328" i="1"/>
  <c r="O328" i="1" s="1"/>
  <c r="L328" i="1"/>
  <c r="M328" i="1" s="1"/>
  <c r="R328" i="1"/>
  <c r="S328" i="1" s="1"/>
  <c r="T328" i="1"/>
  <c r="U328" i="1" s="1"/>
  <c r="L331" i="1"/>
  <c r="M331" i="1" s="1"/>
  <c r="N331" i="1"/>
  <c r="O331" i="1" s="1"/>
  <c r="P331" i="1"/>
  <c r="Q331" i="1" s="1"/>
  <c r="V331" i="1"/>
  <c r="W331" i="1" s="1"/>
  <c r="R331" i="1"/>
  <c r="S331" i="1" s="1"/>
  <c r="T331" i="1"/>
  <c r="U331" i="1" s="1"/>
  <c r="V329" i="1"/>
  <c r="W329" i="1" s="1"/>
  <c r="L329" i="1"/>
  <c r="M329" i="1" s="1"/>
  <c r="P329" i="1"/>
  <c r="Q329" i="1" s="1"/>
  <c r="N329" i="1"/>
  <c r="O329" i="1" s="1"/>
  <c r="R329" i="1"/>
  <c r="S329" i="1" s="1"/>
  <c r="T329" i="1"/>
  <c r="U329" i="1" s="1"/>
  <c r="L340" i="1"/>
  <c r="M340" i="1" s="1"/>
  <c r="P340" i="1"/>
  <c r="Q340" i="1" s="1"/>
  <c r="N340" i="1"/>
  <c r="O340" i="1" s="1"/>
  <c r="R340" i="1"/>
  <c r="S340" i="1" s="1"/>
  <c r="T340" i="1"/>
  <c r="U340" i="1" s="1"/>
  <c r="V340" i="1"/>
  <c r="W340" i="1" s="1"/>
  <c r="J343" i="1"/>
  <c r="L343" i="1"/>
  <c r="H343" i="1"/>
  <c r="V343" i="1"/>
  <c r="T343" i="1"/>
  <c r="P343" i="1"/>
  <c r="N343" i="1"/>
  <c r="R343" i="1"/>
  <c r="V330" i="1"/>
  <c r="W330" i="1" s="1"/>
  <c r="L330" i="1"/>
  <c r="M330" i="1" s="1"/>
  <c r="N330" i="1"/>
  <c r="O330" i="1" s="1"/>
  <c r="P330" i="1"/>
  <c r="Q330" i="1" s="1"/>
  <c r="R330" i="1"/>
  <c r="S330" i="1" s="1"/>
  <c r="T330" i="1"/>
  <c r="U330" i="1" s="1"/>
  <c r="L323" i="1"/>
  <c r="M323" i="1" s="1"/>
  <c r="N323" i="1"/>
  <c r="O323" i="1" s="1"/>
  <c r="T323" i="1"/>
  <c r="U323" i="1" s="1"/>
  <c r="P323" i="1"/>
  <c r="Q323" i="1" s="1"/>
  <c r="R323" i="1"/>
  <c r="S323" i="1" s="1"/>
  <c r="V323" i="1"/>
  <c r="W323" i="1" s="1"/>
  <c r="L335" i="1"/>
  <c r="M335" i="1" s="1"/>
  <c r="N335" i="1"/>
  <c r="O335" i="1" s="1"/>
  <c r="P335" i="1"/>
  <c r="Q335" i="1" s="1"/>
  <c r="R335" i="1"/>
  <c r="S335" i="1" s="1"/>
  <c r="V335" i="1"/>
  <c r="W335" i="1" s="1"/>
  <c r="T335" i="1"/>
  <c r="U335" i="1" s="1"/>
  <c r="R365" i="1"/>
  <c r="S365" i="1" s="1"/>
  <c r="T365" i="1"/>
  <c r="U365" i="1" s="1"/>
  <c r="L365" i="1"/>
  <c r="M365" i="1" s="1"/>
  <c r="N365" i="1"/>
  <c r="O365" i="1" s="1"/>
  <c r="P365" i="1"/>
  <c r="Q365" i="1" s="1"/>
  <c r="V365" i="1"/>
  <c r="W365" i="1" s="1"/>
  <c r="L349" i="1"/>
  <c r="T349" i="1"/>
  <c r="R349" i="1"/>
  <c r="P349" i="1"/>
  <c r="N349" i="1"/>
  <c r="V349" i="1"/>
  <c r="T350" i="1"/>
  <c r="U350" i="1" s="1"/>
  <c r="P350" i="1"/>
  <c r="Q350" i="1" s="1"/>
  <c r="N350" i="1"/>
  <c r="O350" i="1" s="1"/>
  <c r="L350" i="1"/>
  <c r="M350" i="1" s="1"/>
  <c r="V350" i="1"/>
  <c r="W350" i="1" s="1"/>
  <c r="R350" i="1"/>
  <c r="S350" i="1" s="1"/>
  <c r="P351" i="1"/>
  <c r="Q351" i="1" s="1"/>
  <c r="R351" i="1"/>
  <c r="S351" i="1" s="1"/>
  <c r="T351" i="1"/>
  <c r="U351" i="1" s="1"/>
  <c r="V351" i="1"/>
  <c r="W351" i="1" s="1"/>
  <c r="L351" i="1"/>
  <c r="M351" i="1" s="1"/>
  <c r="N351" i="1"/>
  <c r="O351" i="1" s="1"/>
  <c r="P333" i="1"/>
  <c r="Q333" i="1" s="1"/>
  <c r="T333" i="1"/>
  <c r="U333" i="1" s="1"/>
  <c r="L333" i="1"/>
  <c r="M333" i="1" s="1"/>
  <c r="N333" i="1"/>
  <c r="O333" i="1" s="1"/>
  <c r="R333" i="1"/>
  <c r="S333" i="1" s="1"/>
  <c r="V333" i="1"/>
  <c r="W333" i="1" s="1"/>
  <c r="V334" i="1"/>
  <c r="W334" i="1" s="1"/>
  <c r="N334" i="1"/>
  <c r="O334" i="1" s="1"/>
  <c r="L334" i="1"/>
  <c r="M334" i="1" s="1"/>
  <c r="P334" i="1"/>
  <c r="Q334" i="1" s="1"/>
  <c r="R334" i="1"/>
  <c r="S334" i="1" s="1"/>
  <c r="T334" i="1"/>
  <c r="U334" i="1" s="1"/>
  <c r="P324" i="1"/>
  <c r="Q324" i="1" s="1"/>
  <c r="R324" i="1"/>
  <c r="S324" i="1" s="1"/>
  <c r="L324" i="1"/>
  <c r="M324" i="1" s="1"/>
  <c r="N324" i="1"/>
  <c r="O324" i="1" s="1"/>
  <c r="T324" i="1"/>
  <c r="U324" i="1" s="1"/>
  <c r="V324" i="1"/>
  <c r="W324" i="1" s="1"/>
  <c r="N336" i="1"/>
  <c r="O336" i="1" s="1"/>
  <c r="P336" i="1"/>
  <c r="Q336" i="1" s="1"/>
  <c r="R336" i="1"/>
  <c r="S336" i="1" s="1"/>
  <c r="T336" i="1"/>
  <c r="U336" i="1" s="1"/>
  <c r="V336" i="1"/>
  <c r="W336" i="1" s="1"/>
  <c r="L336" i="1"/>
  <c r="M336" i="1" s="1"/>
  <c r="J366" i="1"/>
  <c r="K366" i="1" s="1"/>
  <c r="T366" i="1"/>
  <c r="U366" i="1" s="1"/>
  <c r="R366" i="1"/>
  <c r="S366" i="1" s="1"/>
  <c r="N366" i="1"/>
  <c r="O366" i="1" s="1"/>
  <c r="V366" i="1"/>
  <c r="W366" i="1" s="1"/>
  <c r="P366" i="1"/>
  <c r="Q366" i="1" s="1"/>
  <c r="L366" i="1"/>
  <c r="M366" i="1" s="1"/>
  <c r="H366" i="1"/>
  <c r="I366" i="1" s="1"/>
  <c r="L341" i="1"/>
  <c r="M341" i="1" s="1"/>
  <c r="P341" i="1"/>
  <c r="Q341" i="1" s="1"/>
  <c r="N341" i="1"/>
  <c r="O341" i="1" s="1"/>
  <c r="R341" i="1"/>
  <c r="S341" i="1" s="1"/>
  <c r="T341" i="1"/>
  <c r="U341" i="1" s="1"/>
  <c r="V341" i="1"/>
  <c r="W341" i="1" s="1"/>
  <c r="L315" i="1"/>
  <c r="M315" i="1" s="1"/>
  <c r="V315" i="1"/>
  <c r="W315" i="1" s="1"/>
  <c r="T315" i="1"/>
  <c r="U315" i="1" s="1"/>
  <c r="P315" i="1"/>
  <c r="Q315" i="1" s="1"/>
  <c r="R315" i="1"/>
  <c r="S315" i="1" s="1"/>
  <c r="N315" i="1"/>
  <c r="O315" i="1" s="1"/>
  <c r="L362" i="1"/>
  <c r="M362" i="1" s="1"/>
  <c r="N362" i="1"/>
  <c r="O362" i="1" s="1"/>
  <c r="P362" i="1"/>
  <c r="Q362" i="1" s="1"/>
  <c r="R362" i="1"/>
  <c r="S362" i="1" s="1"/>
  <c r="T362" i="1"/>
  <c r="U362" i="1" s="1"/>
  <c r="V362" i="1"/>
  <c r="W362" i="1" s="1"/>
  <c r="V322" i="1"/>
  <c r="W322" i="1" s="1"/>
  <c r="P322" i="1"/>
  <c r="Q322" i="1" s="1"/>
  <c r="L322" i="1"/>
  <c r="M322" i="1" s="1"/>
  <c r="N322" i="1"/>
  <c r="O322" i="1" s="1"/>
  <c r="R322" i="1"/>
  <c r="S322" i="1" s="1"/>
  <c r="T322" i="1"/>
  <c r="U322" i="1" s="1"/>
  <c r="N325" i="1"/>
  <c r="O325" i="1" s="1"/>
  <c r="R325" i="1"/>
  <c r="S325" i="1" s="1"/>
  <c r="T325" i="1"/>
  <c r="U325" i="1" s="1"/>
  <c r="V325" i="1"/>
  <c r="W325" i="1" s="1"/>
  <c r="L325" i="1"/>
  <c r="M325" i="1" s="1"/>
  <c r="P325" i="1"/>
  <c r="Q325" i="1" s="1"/>
  <c r="P337" i="1"/>
  <c r="Q337" i="1" s="1"/>
  <c r="R337" i="1"/>
  <c r="S337" i="1" s="1"/>
  <c r="T337" i="1"/>
  <c r="U337" i="1" s="1"/>
  <c r="L337" i="1"/>
  <c r="M337" i="1" s="1"/>
  <c r="V337" i="1"/>
  <c r="W337" i="1" s="1"/>
  <c r="N337" i="1"/>
  <c r="O337" i="1" s="1"/>
  <c r="N370" i="1"/>
  <c r="O370" i="1" s="1"/>
  <c r="P370" i="1"/>
  <c r="Q370" i="1" s="1"/>
  <c r="T370" i="1"/>
  <c r="U370" i="1" s="1"/>
  <c r="L370" i="1"/>
  <c r="M370" i="1" s="1"/>
  <c r="R370" i="1"/>
  <c r="S370" i="1" s="1"/>
  <c r="V370" i="1"/>
  <c r="W370" i="1" s="1"/>
  <c r="V375" i="1"/>
  <c r="W375" i="1" s="1"/>
  <c r="N375" i="1"/>
  <c r="O375" i="1" s="1"/>
  <c r="R375" i="1"/>
  <c r="S375" i="1" s="1"/>
  <c r="T375" i="1"/>
  <c r="U375" i="1" s="1"/>
  <c r="L375" i="1"/>
  <c r="M375" i="1" s="1"/>
  <c r="P375" i="1"/>
  <c r="Q375" i="1" s="1"/>
  <c r="V310" i="1"/>
  <c r="W310" i="1" s="1"/>
  <c r="T310" i="1"/>
  <c r="U310" i="1" s="1"/>
  <c r="R310" i="1"/>
  <c r="S310" i="1" s="1"/>
  <c r="P310" i="1"/>
  <c r="Q310" i="1" s="1"/>
  <c r="N310" i="1"/>
  <c r="O310" i="1" s="1"/>
  <c r="L310" i="1"/>
  <c r="M310" i="1" s="1"/>
  <c r="N313" i="1"/>
  <c r="O313" i="1" s="1"/>
  <c r="L313" i="1"/>
  <c r="M313" i="1" s="1"/>
  <c r="V313" i="1"/>
  <c r="W313" i="1" s="1"/>
  <c r="T313" i="1"/>
  <c r="U313" i="1" s="1"/>
  <c r="R313" i="1"/>
  <c r="S313" i="1" s="1"/>
  <c r="P313" i="1"/>
  <c r="Q313" i="1" s="1"/>
  <c r="T314" i="1"/>
  <c r="U314" i="1" s="1"/>
  <c r="R314" i="1"/>
  <c r="S314" i="1" s="1"/>
  <c r="P314" i="1"/>
  <c r="Q314" i="1" s="1"/>
  <c r="N314" i="1"/>
  <c r="O314" i="1" s="1"/>
  <c r="L314" i="1"/>
  <c r="M314" i="1" s="1"/>
  <c r="V314" i="1"/>
  <c r="W314" i="1" s="1"/>
  <c r="N332" i="1"/>
  <c r="O332" i="1" s="1"/>
  <c r="P332" i="1"/>
  <c r="Q332" i="1" s="1"/>
  <c r="R332" i="1"/>
  <c r="S332" i="1" s="1"/>
  <c r="L332" i="1"/>
  <c r="M332" i="1" s="1"/>
  <c r="T332" i="1"/>
  <c r="U332" i="1" s="1"/>
  <c r="V332" i="1"/>
  <c r="W332" i="1" s="1"/>
  <c r="N321" i="1"/>
  <c r="L321" i="1"/>
  <c r="R321" i="1"/>
  <c r="V321" i="1"/>
  <c r="T321" i="1"/>
  <c r="P321" i="1"/>
  <c r="P363" i="1"/>
  <c r="Q363" i="1" s="1"/>
  <c r="R363" i="1"/>
  <c r="S363" i="1" s="1"/>
  <c r="V363" i="1"/>
  <c r="W363" i="1" s="1"/>
  <c r="L363" i="1"/>
  <c r="M363" i="1" s="1"/>
  <c r="N363" i="1"/>
  <c r="O363" i="1" s="1"/>
  <c r="T363" i="1"/>
  <c r="U363" i="1" s="1"/>
  <c r="L326" i="1"/>
  <c r="M326" i="1" s="1"/>
  <c r="N326" i="1"/>
  <c r="O326" i="1" s="1"/>
  <c r="V339" i="1"/>
  <c r="W339" i="1" s="1"/>
  <c r="L339" i="1"/>
  <c r="M339" i="1" s="1"/>
  <c r="N339" i="1"/>
  <c r="O339" i="1" s="1"/>
  <c r="R339" i="1"/>
  <c r="S339" i="1" s="1"/>
  <c r="P339" i="1"/>
  <c r="Q339" i="1" s="1"/>
  <c r="T339" i="1"/>
  <c r="U339" i="1" s="1"/>
  <c r="P372" i="1"/>
  <c r="Q372" i="1" s="1"/>
  <c r="V372" i="1"/>
  <c r="W372" i="1" s="1"/>
  <c r="L372" i="1"/>
  <c r="M372" i="1" s="1"/>
  <c r="N372" i="1"/>
  <c r="O372" i="1" s="1"/>
  <c r="R372" i="1"/>
  <c r="S372" i="1" s="1"/>
  <c r="T372" i="1"/>
  <c r="U372" i="1" s="1"/>
  <c r="N146" i="1"/>
  <c r="O146" i="1" s="1"/>
  <c r="V146" i="1"/>
  <c r="W146" i="1" s="1"/>
  <c r="T146" i="1"/>
  <c r="U146" i="1" s="1"/>
  <c r="R146" i="1"/>
  <c r="S146" i="1" s="1"/>
  <c r="P146" i="1"/>
  <c r="Q146" i="1" s="1"/>
  <c r="L146" i="1"/>
  <c r="M146" i="1" s="1"/>
  <c r="J146" i="1"/>
  <c r="K146" i="1" s="1"/>
  <c r="H146" i="1"/>
  <c r="I146" i="1" s="1"/>
  <c r="L162" i="1"/>
  <c r="P162" i="1"/>
  <c r="R162" i="1"/>
  <c r="J162" i="1"/>
  <c r="T162" i="1"/>
  <c r="V162" i="1"/>
  <c r="N162" i="1"/>
  <c r="J161" i="1"/>
  <c r="V161" i="1"/>
  <c r="W161" i="1" s="1"/>
  <c r="T161" i="1"/>
  <c r="U161" i="1" s="1"/>
  <c r="R161" i="1"/>
  <c r="S161" i="1" s="1"/>
  <c r="P161" i="1"/>
  <c r="Q161" i="1" s="1"/>
  <c r="N161" i="1"/>
  <c r="O161" i="1" s="1"/>
  <c r="L161" i="1"/>
  <c r="M161" i="1" s="1"/>
  <c r="F622" i="1"/>
  <c r="F557" i="1" l="1"/>
  <c r="G557" i="1" s="1"/>
  <c r="T557" i="1" l="1"/>
  <c r="U557" i="1" s="1"/>
  <c r="H557" i="1"/>
  <c r="I557" i="1" s="1"/>
  <c r="P557" i="1"/>
  <c r="Q557" i="1" s="1"/>
  <c r="J557" i="1"/>
  <c r="K557" i="1" s="1"/>
  <c r="R557" i="1"/>
  <c r="S557" i="1" s="1"/>
  <c r="N557" i="1"/>
  <c r="O557" i="1" s="1"/>
  <c r="V557" i="1"/>
  <c r="W557" i="1" s="1"/>
  <c r="L557" i="1"/>
  <c r="M557" i="1" s="1"/>
  <c r="G347" i="1" l="1"/>
  <c r="G346" i="1" l="1"/>
  <c r="F226" i="1"/>
  <c r="R226" i="1" s="1"/>
  <c r="S226" i="1" s="1"/>
  <c r="F245" i="1"/>
  <c r="F532" i="1"/>
  <c r="G404" i="1" l="1"/>
  <c r="G405" i="1"/>
  <c r="G402" i="1"/>
  <c r="G403" i="1"/>
  <c r="G226" i="1"/>
  <c r="H226" i="1"/>
  <c r="I226" i="1" s="1"/>
  <c r="J226" i="1"/>
  <c r="K226" i="1" s="1"/>
  <c r="L226" i="1"/>
  <c r="M226" i="1" s="1"/>
  <c r="T226" i="1"/>
  <c r="U226" i="1" s="1"/>
  <c r="V226" i="1"/>
  <c r="W226" i="1" s="1"/>
  <c r="N226" i="1"/>
  <c r="O226" i="1" s="1"/>
  <c r="P226" i="1"/>
  <c r="Q226" i="1" s="1"/>
  <c r="V11" i="1" l="1"/>
  <c r="W11" i="1" s="1"/>
  <c r="T11" i="1"/>
  <c r="U11" i="1" s="1"/>
  <c r="R11" i="1"/>
  <c r="S11" i="1" s="1"/>
  <c r="P11" i="1"/>
  <c r="Q11" i="1" s="1"/>
  <c r="N11" i="1"/>
  <c r="O11" i="1" s="1"/>
  <c r="J11" i="1"/>
  <c r="G11" i="1"/>
  <c r="H415" i="1" l="1"/>
  <c r="I415" i="1" s="1"/>
  <c r="V228" i="1"/>
  <c r="W228" i="1" s="1"/>
  <c r="L228" i="1" l="1"/>
  <c r="M228" i="1" s="1"/>
  <c r="P228" i="1"/>
  <c r="Q228" i="1" s="1"/>
  <c r="N228" i="1"/>
  <c r="O228" i="1" s="1"/>
  <c r="R228" i="1"/>
  <c r="S228" i="1" s="1"/>
  <c r="G228" i="1"/>
  <c r="H228" i="1"/>
  <c r="I228" i="1" s="1"/>
  <c r="T228" i="1"/>
  <c r="U228" i="1" s="1"/>
  <c r="J228" i="1"/>
  <c r="K228" i="1" s="1"/>
  <c r="T229" i="1" l="1"/>
  <c r="U229" i="1" s="1"/>
  <c r="V229" i="1" l="1"/>
  <c r="W229" i="1" s="1"/>
  <c r="L229" i="1"/>
  <c r="M229" i="1" s="1"/>
  <c r="J229" i="1"/>
  <c r="K229" i="1" s="1"/>
  <c r="N229" i="1"/>
  <c r="O229" i="1" s="1"/>
  <c r="P229" i="1"/>
  <c r="Q229" i="1" s="1"/>
  <c r="G229" i="1"/>
  <c r="R229" i="1"/>
  <c r="S229" i="1" s="1"/>
  <c r="H229" i="1"/>
  <c r="I229" i="1" s="1"/>
  <c r="F345" i="1"/>
  <c r="P345" i="1" l="1"/>
  <c r="Q345" i="1" s="1"/>
  <c r="L345" i="1"/>
  <c r="M345" i="1" s="1"/>
  <c r="V345" i="1"/>
  <c r="W345" i="1" s="1"/>
  <c r="T345" i="1"/>
  <c r="U345" i="1" s="1"/>
  <c r="R345" i="1"/>
  <c r="S345" i="1" s="1"/>
  <c r="N345" i="1"/>
  <c r="O345" i="1" s="1"/>
  <c r="G345" i="1"/>
  <c r="G378" i="1"/>
  <c r="V472" i="1" l="1"/>
  <c r="W472" i="1" s="1"/>
  <c r="L472" i="1" l="1"/>
  <c r="M472" i="1" s="1"/>
  <c r="R472" i="1"/>
  <c r="S472" i="1" s="1"/>
  <c r="T472" i="1"/>
  <c r="U472" i="1" s="1"/>
  <c r="N472" i="1"/>
  <c r="O472" i="1" s="1"/>
  <c r="P472" i="1"/>
  <c r="Q472" i="1" s="1"/>
  <c r="G472" i="1"/>
  <c r="H472" i="1"/>
  <c r="I472" i="1" s="1"/>
  <c r="J472" i="1"/>
  <c r="K472" i="1" s="1"/>
  <c r="F235" i="1"/>
  <c r="V508" i="1"/>
  <c r="W508" i="1" s="1"/>
  <c r="T508" i="1"/>
  <c r="U508" i="1" s="1"/>
  <c r="R508" i="1"/>
  <c r="S508" i="1" s="1"/>
  <c r="P508" i="1"/>
  <c r="Q508" i="1" s="1"/>
  <c r="N508" i="1"/>
  <c r="O508" i="1" s="1"/>
  <c r="L508" i="1"/>
  <c r="M508" i="1" s="1"/>
  <c r="J508" i="1"/>
  <c r="K508" i="1" s="1"/>
  <c r="H508" i="1"/>
  <c r="I508" i="1" s="1"/>
  <c r="J538" i="1"/>
  <c r="K538" i="1" s="1"/>
  <c r="L538" i="1"/>
  <c r="M538" i="1" s="1"/>
  <c r="N538" i="1"/>
  <c r="O538" i="1" s="1"/>
  <c r="P538" i="1"/>
  <c r="Q538" i="1" s="1"/>
  <c r="R538" i="1"/>
  <c r="S538" i="1" s="1"/>
  <c r="T538" i="1"/>
  <c r="U538" i="1" s="1"/>
  <c r="V538" i="1"/>
  <c r="W538" i="1" s="1"/>
  <c r="J539" i="1"/>
  <c r="K539" i="1" s="1"/>
  <c r="L539" i="1"/>
  <c r="M539" i="1" s="1"/>
  <c r="N539" i="1"/>
  <c r="O539" i="1" s="1"/>
  <c r="P539" i="1"/>
  <c r="Q539" i="1" s="1"/>
  <c r="R539" i="1"/>
  <c r="S539" i="1" s="1"/>
  <c r="T539" i="1"/>
  <c r="U539" i="1" s="1"/>
  <c r="V539" i="1"/>
  <c r="W539" i="1" s="1"/>
  <c r="H521" i="1"/>
  <c r="I521" i="1" s="1"/>
  <c r="J521" i="1"/>
  <c r="K521" i="1" s="1"/>
  <c r="L521" i="1"/>
  <c r="M521" i="1" s="1"/>
  <c r="N521" i="1"/>
  <c r="O521" i="1" s="1"/>
  <c r="P521" i="1"/>
  <c r="Q521" i="1" s="1"/>
  <c r="R521" i="1"/>
  <c r="S521" i="1" s="1"/>
  <c r="T521" i="1"/>
  <c r="U521" i="1" s="1"/>
  <c r="V521" i="1"/>
  <c r="W521" i="1" s="1"/>
  <c r="H524" i="1"/>
  <c r="I524" i="1" s="1"/>
  <c r="J524" i="1"/>
  <c r="K524" i="1" s="1"/>
  <c r="L524" i="1"/>
  <c r="M524" i="1" s="1"/>
  <c r="N524" i="1"/>
  <c r="O524" i="1" s="1"/>
  <c r="P524" i="1"/>
  <c r="Q524" i="1" s="1"/>
  <c r="R524" i="1"/>
  <c r="S524" i="1" s="1"/>
  <c r="T524" i="1"/>
  <c r="U524" i="1" s="1"/>
  <c r="V524" i="1"/>
  <c r="W524" i="1" s="1"/>
  <c r="J526" i="1"/>
  <c r="K526" i="1" s="1"/>
  <c r="L526" i="1"/>
  <c r="M526" i="1" s="1"/>
  <c r="N526" i="1"/>
  <c r="O526" i="1" s="1"/>
  <c r="P526" i="1"/>
  <c r="Q526" i="1" s="1"/>
  <c r="R526" i="1"/>
  <c r="S526" i="1" s="1"/>
  <c r="T526" i="1"/>
  <c r="U526" i="1" s="1"/>
  <c r="V526" i="1"/>
  <c r="W526" i="1" s="1"/>
  <c r="L531" i="1"/>
  <c r="M531" i="1" s="1"/>
  <c r="N531" i="1"/>
  <c r="O531" i="1" s="1"/>
  <c r="P531" i="1"/>
  <c r="Q531" i="1" s="1"/>
  <c r="R531" i="1"/>
  <c r="S531" i="1" s="1"/>
  <c r="T531" i="1"/>
  <c r="U531" i="1" s="1"/>
  <c r="V531" i="1"/>
  <c r="W531" i="1" s="1"/>
  <c r="T632" i="1"/>
  <c r="U632" i="1" s="1"/>
  <c r="R632" i="1"/>
  <c r="S632" i="1" s="1"/>
  <c r="P632" i="1"/>
  <c r="Q632" i="1" s="1"/>
  <c r="N632" i="1"/>
  <c r="O632" i="1" s="1"/>
  <c r="L632" i="1"/>
  <c r="M632" i="1" s="1"/>
  <c r="J632" i="1"/>
  <c r="K632" i="1" s="1"/>
  <c r="T628" i="1"/>
  <c r="R628" i="1"/>
  <c r="P628" i="1"/>
  <c r="N628" i="1"/>
  <c r="L628" i="1"/>
  <c r="J628" i="1"/>
  <c r="L630" i="1"/>
  <c r="J630" i="1"/>
  <c r="L629" i="1"/>
  <c r="V575" i="1"/>
  <c r="W575" i="1" s="1"/>
  <c r="T575" i="1"/>
  <c r="U575" i="1" s="1"/>
  <c r="R575" i="1"/>
  <c r="S575" i="1" s="1"/>
  <c r="P575" i="1"/>
  <c r="Q575" i="1" s="1"/>
  <c r="N575" i="1"/>
  <c r="O575" i="1" s="1"/>
  <c r="L575" i="1"/>
  <c r="M575" i="1" s="1"/>
  <c r="J575" i="1"/>
  <c r="K575" i="1" s="1"/>
  <c r="V574" i="1"/>
  <c r="W574" i="1" s="1"/>
  <c r="T574" i="1"/>
  <c r="U574" i="1" s="1"/>
  <c r="R574" i="1"/>
  <c r="S574" i="1" s="1"/>
  <c r="P574" i="1"/>
  <c r="Q574" i="1" s="1"/>
  <c r="N574" i="1"/>
  <c r="O574" i="1" s="1"/>
  <c r="L574" i="1"/>
  <c r="M574" i="1" s="1"/>
  <c r="J574" i="1"/>
  <c r="K574" i="1" s="1"/>
  <c r="V573" i="1"/>
  <c r="W573" i="1" s="1"/>
  <c r="T573" i="1"/>
  <c r="U573" i="1" s="1"/>
  <c r="R573" i="1"/>
  <c r="S573" i="1" s="1"/>
  <c r="P573" i="1"/>
  <c r="Q573" i="1" s="1"/>
  <c r="N573" i="1"/>
  <c r="O573" i="1" s="1"/>
  <c r="L573" i="1"/>
  <c r="M573" i="1" s="1"/>
  <c r="J573" i="1"/>
  <c r="K573" i="1" s="1"/>
  <c r="V572" i="1"/>
  <c r="W572" i="1" s="1"/>
  <c r="T572" i="1"/>
  <c r="U572" i="1" s="1"/>
  <c r="R572" i="1"/>
  <c r="S572" i="1" s="1"/>
  <c r="P572" i="1"/>
  <c r="Q572" i="1" s="1"/>
  <c r="N572" i="1"/>
  <c r="O572" i="1" s="1"/>
  <c r="L572" i="1"/>
  <c r="M572" i="1" s="1"/>
  <c r="J572" i="1"/>
  <c r="K572" i="1" s="1"/>
  <c r="H572" i="1"/>
  <c r="I572" i="1" s="1"/>
  <c r="V571" i="1"/>
  <c r="W571" i="1" s="1"/>
  <c r="T571" i="1"/>
  <c r="U571" i="1" s="1"/>
  <c r="R571" i="1"/>
  <c r="S571" i="1" s="1"/>
  <c r="P571" i="1"/>
  <c r="Q571" i="1" s="1"/>
  <c r="N571" i="1"/>
  <c r="O571" i="1" s="1"/>
  <c r="L571" i="1"/>
  <c r="M571" i="1" s="1"/>
  <c r="J571" i="1"/>
  <c r="K571" i="1" s="1"/>
  <c r="H571" i="1"/>
  <c r="I571" i="1" s="1"/>
  <c r="H566" i="1"/>
  <c r="H567" i="1"/>
  <c r="V567" i="1"/>
  <c r="W567" i="1" s="1"/>
  <c r="T567" i="1"/>
  <c r="U567" i="1" s="1"/>
  <c r="R567" i="1"/>
  <c r="S567" i="1" s="1"/>
  <c r="P567" i="1"/>
  <c r="Q567" i="1" s="1"/>
  <c r="N567" i="1"/>
  <c r="O567" i="1" s="1"/>
  <c r="L567" i="1"/>
  <c r="M567" i="1" s="1"/>
  <c r="J567" i="1"/>
  <c r="K567" i="1" s="1"/>
  <c r="V566" i="1"/>
  <c r="W566" i="1" s="1"/>
  <c r="T566" i="1"/>
  <c r="U566" i="1" s="1"/>
  <c r="R566" i="1"/>
  <c r="S566" i="1" s="1"/>
  <c r="P566" i="1"/>
  <c r="Q566" i="1" s="1"/>
  <c r="N566" i="1"/>
  <c r="O566" i="1" s="1"/>
  <c r="L566" i="1"/>
  <c r="M566" i="1" s="1"/>
  <c r="J566" i="1"/>
  <c r="K566" i="1" s="1"/>
  <c r="V565" i="1"/>
  <c r="W565" i="1" s="1"/>
  <c r="T565" i="1"/>
  <c r="U565" i="1" s="1"/>
  <c r="R565" i="1"/>
  <c r="S565" i="1" s="1"/>
  <c r="P565" i="1"/>
  <c r="Q565" i="1" s="1"/>
  <c r="N565" i="1"/>
  <c r="O565" i="1" s="1"/>
  <c r="L565" i="1"/>
  <c r="M565" i="1" s="1"/>
  <c r="V564" i="1"/>
  <c r="T564" i="1"/>
  <c r="R564" i="1"/>
  <c r="P564" i="1"/>
  <c r="N564" i="1"/>
  <c r="L564" i="1"/>
  <c r="J564" i="1"/>
  <c r="G572" i="1"/>
  <c r="T154" i="1" l="1"/>
  <c r="R154" i="1"/>
  <c r="V154" i="1"/>
  <c r="P154" i="1"/>
  <c r="N154" i="1"/>
  <c r="V423" i="1"/>
  <c r="W423" i="1" s="1"/>
  <c r="T423" i="1"/>
  <c r="U423" i="1" s="1"/>
  <c r="R423" i="1"/>
  <c r="S423" i="1" s="1"/>
  <c r="P423" i="1"/>
  <c r="Q423" i="1" s="1"/>
  <c r="N423" i="1"/>
  <c r="O423" i="1" s="1"/>
  <c r="L423" i="1"/>
  <c r="M423" i="1" s="1"/>
  <c r="J423" i="1"/>
  <c r="K423" i="1" s="1"/>
  <c r="V273" i="1" l="1"/>
  <c r="W273" i="1" s="1"/>
  <c r="T273" i="1"/>
  <c r="U273" i="1" s="1"/>
  <c r="R273" i="1"/>
  <c r="S273" i="1" s="1"/>
  <c r="P273" i="1"/>
  <c r="Q273" i="1" s="1"/>
  <c r="N273" i="1"/>
  <c r="O273" i="1" s="1"/>
  <c r="L273" i="1"/>
  <c r="M273" i="1" s="1"/>
  <c r="J273" i="1"/>
  <c r="K273" i="1" s="1"/>
  <c r="V266" i="1"/>
  <c r="W266" i="1" s="1"/>
  <c r="T266" i="1"/>
  <c r="U266" i="1" s="1"/>
  <c r="R266" i="1"/>
  <c r="S266" i="1" s="1"/>
  <c r="P266" i="1"/>
  <c r="Q266" i="1" s="1"/>
  <c r="N266" i="1"/>
  <c r="O266" i="1" s="1"/>
  <c r="L266" i="1"/>
  <c r="M266" i="1" s="1"/>
  <c r="J266" i="1"/>
  <c r="K266" i="1" s="1"/>
  <c r="H266" i="1"/>
  <c r="I266" i="1" s="1"/>
  <c r="V265" i="1"/>
  <c r="W265" i="1" s="1"/>
  <c r="T265" i="1"/>
  <c r="U265" i="1" s="1"/>
  <c r="R265" i="1"/>
  <c r="S265" i="1" s="1"/>
  <c r="P265" i="1"/>
  <c r="Q265" i="1" s="1"/>
  <c r="N265" i="1"/>
  <c r="O265" i="1" s="1"/>
  <c r="L265" i="1"/>
  <c r="M265" i="1" s="1"/>
  <c r="J265" i="1"/>
  <c r="K265" i="1" s="1"/>
  <c r="H265" i="1"/>
  <c r="I265" i="1" s="1"/>
  <c r="V264" i="1"/>
  <c r="W264" i="1" s="1"/>
  <c r="T264" i="1"/>
  <c r="U264" i="1" s="1"/>
  <c r="R264" i="1"/>
  <c r="S264" i="1" s="1"/>
  <c r="P264" i="1"/>
  <c r="Q264" i="1" s="1"/>
  <c r="N264" i="1"/>
  <c r="O264" i="1" s="1"/>
  <c r="L264" i="1"/>
  <c r="M264" i="1" s="1"/>
  <c r="J264" i="1"/>
  <c r="K264" i="1" s="1"/>
  <c r="H264" i="1"/>
  <c r="I264" i="1" s="1"/>
  <c r="V263" i="1"/>
  <c r="W263" i="1" s="1"/>
  <c r="T263" i="1"/>
  <c r="U263" i="1" s="1"/>
  <c r="R263" i="1"/>
  <c r="S263" i="1" s="1"/>
  <c r="P263" i="1"/>
  <c r="Q263" i="1" s="1"/>
  <c r="N263" i="1"/>
  <c r="O263" i="1" s="1"/>
  <c r="L263" i="1"/>
  <c r="M263" i="1" s="1"/>
  <c r="J263" i="1"/>
  <c r="K263" i="1" s="1"/>
  <c r="H263" i="1"/>
  <c r="I263" i="1" s="1"/>
  <c r="V262" i="1"/>
  <c r="W262" i="1" s="1"/>
  <c r="T262" i="1"/>
  <c r="U262" i="1" s="1"/>
  <c r="R262" i="1"/>
  <c r="S262" i="1" s="1"/>
  <c r="P262" i="1"/>
  <c r="Q262" i="1" s="1"/>
  <c r="N262" i="1"/>
  <c r="O262" i="1" s="1"/>
  <c r="L262" i="1"/>
  <c r="M262" i="1" s="1"/>
  <c r="J262" i="1"/>
  <c r="K262" i="1" s="1"/>
  <c r="H262" i="1"/>
  <c r="I262" i="1" s="1"/>
  <c r="V261" i="1"/>
  <c r="W261" i="1" s="1"/>
  <c r="T261" i="1"/>
  <c r="U261" i="1" s="1"/>
  <c r="R261" i="1"/>
  <c r="S261" i="1" s="1"/>
  <c r="P261" i="1"/>
  <c r="Q261" i="1" s="1"/>
  <c r="N261" i="1"/>
  <c r="O261" i="1" s="1"/>
  <c r="L261" i="1"/>
  <c r="M261" i="1" s="1"/>
  <c r="J261" i="1"/>
  <c r="K261" i="1" s="1"/>
  <c r="H261" i="1"/>
  <c r="I261" i="1" s="1"/>
  <c r="V260" i="1"/>
  <c r="W260" i="1" s="1"/>
  <c r="T260" i="1"/>
  <c r="U260" i="1" s="1"/>
  <c r="R260" i="1"/>
  <c r="S260" i="1" s="1"/>
  <c r="P260" i="1"/>
  <c r="Q260" i="1" s="1"/>
  <c r="N260" i="1"/>
  <c r="O260" i="1" s="1"/>
  <c r="L260" i="1"/>
  <c r="M260" i="1" s="1"/>
  <c r="J260" i="1"/>
  <c r="K260" i="1" s="1"/>
  <c r="V258" i="1"/>
  <c r="W258" i="1" s="1"/>
  <c r="T258" i="1"/>
  <c r="U258" i="1" s="1"/>
  <c r="R258" i="1"/>
  <c r="S258" i="1" s="1"/>
  <c r="P258" i="1"/>
  <c r="Q258" i="1" s="1"/>
  <c r="N258" i="1"/>
  <c r="O258" i="1" s="1"/>
  <c r="L258" i="1"/>
  <c r="M258" i="1" s="1"/>
  <c r="J258" i="1"/>
  <c r="K258" i="1" s="1"/>
  <c r="H258" i="1"/>
  <c r="I258" i="1" s="1"/>
  <c r="N206" i="1"/>
  <c r="O206" i="1" s="1"/>
  <c r="L206" i="1"/>
  <c r="M206" i="1" s="1"/>
  <c r="J206" i="1"/>
  <c r="K206" i="1" s="1"/>
  <c r="V203" i="1"/>
  <c r="W203" i="1" s="1"/>
  <c r="T203" i="1"/>
  <c r="U203" i="1" s="1"/>
  <c r="V202" i="1"/>
  <c r="W202" i="1" s="1"/>
  <c r="T202" i="1"/>
  <c r="U202" i="1" s="1"/>
  <c r="V201" i="1"/>
  <c r="W201" i="1" s="1"/>
  <c r="T201" i="1"/>
  <c r="U201" i="1" s="1"/>
  <c r="R201" i="1"/>
  <c r="S201" i="1" s="1"/>
  <c r="P201" i="1"/>
  <c r="Q201" i="1" s="1"/>
  <c r="N201" i="1"/>
  <c r="O201" i="1" s="1"/>
  <c r="V235" i="1"/>
  <c r="W235" i="1" s="1"/>
  <c r="T235" i="1"/>
  <c r="U235" i="1" s="1"/>
  <c r="R235" i="1"/>
  <c r="S235" i="1" s="1"/>
  <c r="P235" i="1"/>
  <c r="Q235" i="1" s="1"/>
  <c r="N235" i="1"/>
  <c r="O235" i="1" s="1"/>
  <c r="L235" i="1"/>
  <c r="M235" i="1" s="1"/>
  <c r="J235" i="1"/>
  <c r="K235" i="1" s="1"/>
  <c r="H235" i="1"/>
  <c r="I235" i="1" s="1"/>
  <c r="V227" i="1"/>
  <c r="W227" i="1" s="1"/>
  <c r="T227" i="1"/>
  <c r="U227" i="1" s="1"/>
  <c r="R227" i="1"/>
  <c r="S227" i="1" s="1"/>
  <c r="P227" i="1"/>
  <c r="Q227" i="1" s="1"/>
  <c r="N227" i="1"/>
  <c r="O227" i="1" s="1"/>
  <c r="L227" i="1"/>
  <c r="M227" i="1" s="1"/>
  <c r="J227" i="1"/>
  <c r="K227" i="1" s="1"/>
  <c r="H227" i="1"/>
  <c r="I227" i="1" s="1"/>
  <c r="V225" i="1"/>
  <c r="W225" i="1" s="1"/>
  <c r="T225" i="1"/>
  <c r="U225" i="1" s="1"/>
  <c r="R225" i="1"/>
  <c r="S225" i="1" s="1"/>
  <c r="P225" i="1"/>
  <c r="Q225" i="1" s="1"/>
  <c r="N225" i="1"/>
  <c r="O225" i="1" s="1"/>
  <c r="L225" i="1"/>
  <c r="M225" i="1" s="1"/>
  <c r="J225" i="1"/>
  <c r="K225" i="1" s="1"/>
  <c r="H225" i="1"/>
  <c r="I225" i="1" s="1"/>
  <c r="H224" i="1"/>
  <c r="V224" i="1"/>
  <c r="W224" i="1" s="1"/>
  <c r="T224" i="1"/>
  <c r="U224" i="1" s="1"/>
  <c r="R224" i="1"/>
  <c r="S224" i="1" s="1"/>
  <c r="P224" i="1"/>
  <c r="Q224" i="1" s="1"/>
  <c r="N224" i="1"/>
  <c r="O224" i="1" s="1"/>
  <c r="L224" i="1"/>
  <c r="M224" i="1" s="1"/>
  <c r="J224" i="1"/>
  <c r="K224" i="1" s="1"/>
  <c r="N214" i="1"/>
  <c r="J214" i="1"/>
  <c r="M214" i="1"/>
  <c r="W213" i="1"/>
  <c r="U213" i="1"/>
  <c r="S213" i="1"/>
  <c r="Q213" i="1"/>
  <c r="O213" i="1"/>
  <c r="M213" i="1"/>
  <c r="K213" i="1"/>
  <c r="V212" i="1"/>
  <c r="W212" i="1" s="1"/>
  <c r="T212" i="1"/>
  <c r="U212" i="1" s="1"/>
  <c r="R212" i="1"/>
  <c r="S212" i="1" s="1"/>
  <c r="P212" i="1"/>
  <c r="Q212" i="1" s="1"/>
  <c r="N212" i="1"/>
  <c r="O212" i="1" s="1"/>
  <c r="L212" i="1"/>
  <c r="M212" i="1" s="1"/>
  <c r="J212" i="1"/>
  <c r="K212" i="1" s="1"/>
  <c r="V211" i="1"/>
  <c r="W211" i="1" s="1"/>
  <c r="T211" i="1"/>
  <c r="U211" i="1" s="1"/>
  <c r="R211" i="1"/>
  <c r="S211" i="1" s="1"/>
  <c r="P211" i="1"/>
  <c r="Q211" i="1" s="1"/>
  <c r="N211" i="1"/>
  <c r="O211" i="1" s="1"/>
  <c r="L211" i="1"/>
  <c r="M211" i="1" s="1"/>
  <c r="J211" i="1"/>
  <c r="K211" i="1" s="1"/>
  <c r="V210" i="1"/>
  <c r="W210" i="1" s="1"/>
  <c r="T210" i="1"/>
  <c r="U210" i="1" s="1"/>
  <c r="R210" i="1"/>
  <c r="S210" i="1" s="1"/>
  <c r="P210" i="1"/>
  <c r="Q210" i="1" s="1"/>
  <c r="N210" i="1"/>
  <c r="O210" i="1" s="1"/>
  <c r="L210" i="1"/>
  <c r="M210" i="1" s="1"/>
  <c r="J210" i="1"/>
  <c r="K210" i="1" s="1"/>
  <c r="V209" i="1"/>
  <c r="W209" i="1" s="1"/>
  <c r="T209" i="1"/>
  <c r="U209" i="1" s="1"/>
  <c r="R209" i="1"/>
  <c r="S209" i="1" s="1"/>
  <c r="P209" i="1"/>
  <c r="Q209" i="1" s="1"/>
  <c r="N209" i="1"/>
  <c r="O209" i="1" s="1"/>
  <c r="L209" i="1"/>
  <c r="M209" i="1" s="1"/>
  <c r="J209" i="1"/>
  <c r="K209" i="1" s="1"/>
  <c r="V208" i="1"/>
  <c r="W208" i="1" s="1"/>
  <c r="T208" i="1"/>
  <c r="U208" i="1" s="1"/>
  <c r="R208" i="1"/>
  <c r="S208" i="1" s="1"/>
  <c r="P208" i="1"/>
  <c r="Q208" i="1" s="1"/>
  <c r="N208" i="1"/>
  <c r="O208" i="1" s="1"/>
  <c r="L208" i="1"/>
  <c r="M208" i="1" s="1"/>
  <c r="J208" i="1"/>
  <c r="K208" i="1" s="1"/>
  <c r="V207" i="1"/>
  <c r="W207" i="1" s="1"/>
  <c r="T207" i="1"/>
  <c r="U207" i="1" s="1"/>
  <c r="R207" i="1"/>
  <c r="S207" i="1" s="1"/>
  <c r="P207" i="1"/>
  <c r="Q207" i="1" s="1"/>
  <c r="N207" i="1"/>
  <c r="O207" i="1" s="1"/>
  <c r="L207" i="1"/>
  <c r="M207" i="1" s="1"/>
  <c r="J207" i="1"/>
  <c r="K207" i="1" s="1"/>
  <c r="V200" i="1"/>
  <c r="W200" i="1" s="1"/>
  <c r="T200" i="1"/>
  <c r="U200" i="1" s="1"/>
  <c r="R200" i="1"/>
  <c r="S200" i="1" s="1"/>
  <c r="P200" i="1"/>
  <c r="Q200" i="1" s="1"/>
  <c r="N200" i="1"/>
  <c r="O200" i="1" s="1"/>
  <c r="L200" i="1"/>
  <c r="M200" i="1" s="1"/>
  <c r="J200" i="1"/>
  <c r="K200" i="1" s="1"/>
  <c r="V198" i="1"/>
  <c r="W198" i="1" s="1"/>
  <c r="T198" i="1"/>
  <c r="U198" i="1" s="1"/>
  <c r="R198" i="1"/>
  <c r="S198" i="1" s="1"/>
  <c r="P198" i="1"/>
  <c r="Q198" i="1" s="1"/>
  <c r="N198" i="1"/>
  <c r="O198" i="1" s="1"/>
  <c r="L198" i="1"/>
  <c r="M198" i="1" s="1"/>
  <c r="J198" i="1"/>
  <c r="K198" i="1" s="1"/>
  <c r="L179" i="1"/>
  <c r="N179" i="1"/>
  <c r="P179" i="1"/>
  <c r="R179" i="1"/>
  <c r="T179" i="1"/>
  <c r="V179" i="1"/>
  <c r="V185" i="1"/>
  <c r="W185" i="1" s="1"/>
  <c r="T185" i="1"/>
  <c r="U185" i="1" s="1"/>
  <c r="R185" i="1"/>
  <c r="S185" i="1" s="1"/>
  <c r="P185" i="1"/>
  <c r="Q185" i="1" s="1"/>
  <c r="N185" i="1"/>
  <c r="O185" i="1" s="1"/>
  <c r="L185" i="1"/>
  <c r="M185" i="1" s="1"/>
  <c r="V183" i="1"/>
  <c r="W183" i="1" s="1"/>
  <c r="T183" i="1"/>
  <c r="U183" i="1" s="1"/>
  <c r="R183" i="1"/>
  <c r="S183" i="1" s="1"/>
  <c r="P183" i="1"/>
  <c r="Q183" i="1" s="1"/>
  <c r="N183" i="1"/>
  <c r="O183" i="1" s="1"/>
  <c r="L183" i="1"/>
  <c r="M183" i="1" s="1"/>
  <c r="V184" i="1"/>
  <c r="W184" i="1" s="1"/>
  <c r="T184" i="1"/>
  <c r="U184" i="1" s="1"/>
  <c r="R184" i="1"/>
  <c r="S184" i="1" s="1"/>
  <c r="P184" i="1"/>
  <c r="Q184" i="1" s="1"/>
  <c r="N184" i="1"/>
  <c r="O184" i="1" s="1"/>
  <c r="L184" i="1"/>
  <c r="M184" i="1" s="1"/>
  <c r="V182" i="1"/>
  <c r="W182" i="1" s="1"/>
  <c r="T182" i="1"/>
  <c r="U182" i="1" s="1"/>
  <c r="R182" i="1"/>
  <c r="S182" i="1" s="1"/>
  <c r="P182" i="1"/>
  <c r="Q182" i="1" s="1"/>
  <c r="N182" i="1"/>
  <c r="O182" i="1" s="1"/>
  <c r="L182" i="1"/>
  <c r="M182" i="1" s="1"/>
  <c r="V181" i="1"/>
  <c r="W181" i="1" s="1"/>
  <c r="T181" i="1"/>
  <c r="U181" i="1" s="1"/>
  <c r="R181" i="1"/>
  <c r="S181" i="1" s="1"/>
  <c r="P181" i="1"/>
  <c r="Q181" i="1" s="1"/>
  <c r="N181" i="1"/>
  <c r="O181" i="1" s="1"/>
  <c r="L181" i="1"/>
  <c r="M181" i="1" s="1"/>
  <c r="V180" i="1"/>
  <c r="T180" i="1"/>
  <c r="U180" i="1" s="1"/>
  <c r="R180" i="1"/>
  <c r="S180" i="1" s="1"/>
  <c r="P180" i="1"/>
  <c r="Q180" i="1" s="1"/>
  <c r="N180" i="1"/>
  <c r="O180" i="1" s="1"/>
  <c r="L180" i="1"/>
  <c r="M180" i="1" s="1"/>
  <c r="V12" i="1"/>
  <c r="W12" i="1" s="1"/>
  <c r="T12" i="1"/>
  <c r="U12" i="1" s="1"/>
  <c r="R12" i="1"/>
  <c r="S12" i="1" s="1"/>
  <c r="P12" i="1"/>
  <c r="Q12" i="1" s="1"/>
  <c r="N12" i="1"/>
  <c r="O12" i="1" s="1"/>
  <c r="V10" i="1"/>
  <c r="W10" i="1" s="1"/>
  <c r="T10" i="1"/>
  <c r="U10" i="1" s="1"/>
  <c r="R10" i="1"/>
  <c r="S10" i="1" s="1"/>
  <c r="P10" i="1"/>
  <c r="Q10" i="1" s="1"/>
  <c r="N10" i="1"/>
  <c r="O10" i="1" s="1"/>
  <c r="J10" i="1"/>
  <c r="W29" i="1"/>
  <c r="U29" i="1"/>
  <c r="S29" i="1"/>
  <c r="Q29" i="1"/>
  <c r="O29" i="1"/>
  <c r="M29" i="1"/>
  <c r="W60" i="1"/>
  <c r="U60" i="1"/>
  <c r="S60" i="1"/>
  <c r="Q60" i="1"/>
  <c r="O60" i="1"/>
  <c r="V66" i="1"/>
  <c r="W66" i="1" s="1"/>
  <c r="T66" i="1"/>
  <c r="U66" i="1" s="1"/>
  <c r="R66" i="1"/>
  <c r="S66" i="1" s="1"/>
  <c r="P66" i="1"/>
  <c r="Q66" i="1" s="1"/>
  <c r="N66" i="1"/>
  <c r="O66" i="1" s="1"/>
  <c r="V65" i="1"/>
  <c r="W65" i="1" s="1"/>
  <c r="T65" i="1"/>
  <c r="U65" i="1" s="1"/>
  <c r="R65" i="1"/>
  <c r="S65" i="1" s="1"/>
  <c r="P65" i="1"/>
  <c r="Q65" i="1" s="1"/>
  <c r="N65" i="1"/>
  <c r="O65" i="1" s="1"/>
  <c r="I69" i="1"/>
  <c r="J106" i="1"/>
  <c r="J99" i="1"/>
  <c r="V98" i="1"/>
  <c r="W98" i="1" s="1"/>
  <c r="T98" i="1"/>
  <c r="U98" i="1" s="1"/>
  <c r="R98" i="1"/>
  <c r="S98" i="1" s="1"/>
  <c r="P98" i="1"/>
  <c r="Q98" i="1" s="1"/>
  <c r="N98" i="1"/>
  <c r="O98" i="1" s="1"/>
  <c r="L98" i="1"/>
  <c r="M98" i="1" s="1"/>
  <c r="J98" i="1"/>
  <c r="K98" i="1" s="1"/>
  <c r="L96" i="1"/>
  <c r="J96" i="1"/>
  <c r="W154" i="1"/>
  <c r="U154" i="1"/>
  <c r="S154" i="1"/>
  <c r="Q154" i="1"/>
  <c r="O154" i="1"/>
  <c r="L154" i="1"/>
  <c r="M154" i="1" s="1"/>
  <c r="O155" i="1"/>
  <c r="L155" i="1"/>
  <c r="M155" i="1" s="1"/>
  <c r="K155" i="1"/>
  <c r="V278" i="1"/>
  <c r="W278" i="1" s="1"/>
  <c r="T278" i="1"/>
  <c r="U278" i="1" s="1"/>
  <c r="R278" i="1"/>
  <c r="S278" i="1" s="1"/>
  <c r="P278" i="1"/>
  <c r="Q278" i="1" s="1"/>
  <c r="N278" i="1"/>
  <c r="O278" i="1" s="1"/>
  <c r="V277" i="1"/>
  <c r="W277" i="1" s="1"/>
  <c r="T277" i="1"/>
  <c r="U277" i="1" s="1"/>
  <c r="R277" i="1"/>
  <c r="S277" i="1" s="1"/>
  <c r="P277" i="1"/>
  <c r="Q277" i="1" s="1"/>
  <c r="N277" i="1"/>
  <c r="O277" i="1" s="1"/>
  <c r="V276" i="1"/>
  <c r="W276" i="1" s="1"/>
  <c r="T276" i="1"/>
  <c r="U276" i="1" s="1"/>
  <c r="R276" i="1"/>
  <c r="S276" i="1" s="1"/>
  <c r="P276" i="1"/>
  <c r="Q276" i="1" s="1"/>
  <c r="N276" i="1"/>
  <c r="O276" i="1" s="1"/>
  <c r="V275" i="1"/>
  <c r="W275" i="1" s="1"/>
  <c r="T275" i="1"/>
  <c r="U275" i="1" s="1"/>
  <c r="R275" i="1"/>
  <c r="S275" i="1" s="1"/>
  <c r="P275" i="1"/>
  <c r="Q275" i="1" s="1"/>
  <c r="N275" i="1"/>
  <c r="O275" i="1" s="1"/>
  <c r="V274" i="1"/>
  <c r="W274" i="1" s="1"/>
  <c r="T274" i="1"/>
  <c r="U274" i="1" s="1"/>
  <c r="R274" i="1"/>
  <c r="S274" i="1" s="1"/>
  <c r="P274" i="1"/>
  <c r="Q274" i="1" s="1"/>
  <c r="N274" i="1"/>
  <c r="O274" i="1" s="1"/>
  <c r="G281" i="1" l="1"/>
  <c r="U106" i="1" l="1"/>
  <c r="W106" i="1"/>
  <c r="Q106" i="1"/>
  <c r="O106" i="1"/>
  <c r="M106" i="1"/>
  <c r="S106" i="1"/>
  <c r="F355" i="1"/>
  <c r="F369" i="1"/>
  <c r="L369" i="1" l="1"/>
  <c r="M369" i="1" s="1"/>
  <c r="N369" i="1"/>
  <c r="O369" i="1" s="1"/>
  <c r="P369" i="1"/>
  <c r="Q369" i="1" s="1"/>
  <c r="R369" i="1"/>
  <c r="S369" i="1" s="1"/>
  <c r="V369" i="1"/>
  <c r="W369" i="1" s="1"/>
  <c r="T369" i="1"/>
  <c r="U369" i="1" s="1"/>
  <c r="R355" i="1"/>
  <c r="S355" i="1" s="1"/>
  <c r="T355" i="1"/>
  <c r="U355" i="1" s="1"/>
  <c r="V355" i="1"/>
  <c r="W355" i="1" s="1"/>
  <c r="L355" i="1"/>
  <c r="M355" i="1" s="1"/>
  <c r="N355" i="1"/>
  <c r="O355" i="1" s="1"/>
  <c r="P355" i="1"/>
  <c r="Q355" i="1" s="1"/>
  <c r="F384" i="1"/>
  <c r="F385" i="1"/>
  <c r="F358" i="1"/>
  <c r="F392" i="1"/>
  <c r="F393" i="1"/>
  <c r="F411" i="1"/>
  <c r="F410" i="1"/>
  <c r="H410" i="1" s="1"/>
  <c r="I410" i="1" s="1"/>
  <c r="L392" i="1" l="1"/>
  <c r="M392" i="1" s="1"/>
  <c r="J392" i="1"/>
  <c r="K392" i="1" s="1"/>
  <c r="V392" i="1"/>
  <c r="W392" i="1" s="1"/>
  <c r="T392" i="1"/>
  <c r="U392" i="1" s="1"/>
  <c r="R392" i="1"/>
  <c r="S392" i="1" s="1"/>
  <c r="P392" i="1"/>
  <c r="Q392" i="1" s="1"/>
  <c r="N392" i="1"/>
  <c r="O392" i="1" s="1"/>
  <c r="H392" i="1"/>
  <c r="I392" i="1" s="1"/>
  <c r="P393" i="1"/>
  <c r="Q393" i="1" s="1"/>
  <c r="N393" i="1"/>
  <c r="O393" i="1" s="1"/>
  <c r="L393" i="1"/>
  <c r="M393" i="1" s="1"/>
  <c r="H393" i="1"/>
  <c r="I393" i="1" s="1"/>
  <c r="V393" i="1"/>
  <c r="W393" i="1" s="1"/>
  <c r="T393" i="1"/>
  <c r="U393" i="1" s="1"/>
  <c r="R393" i="1"/>
  <c r="S393" i="1" s="1"/>
  <c r="J393" i="1"/>
  <c r="K393" i="1" s="1"/>
  <c r="L358" i="1"/>
  <c r="M358" i="1" s="1"/>
  <c r="P358" i="1"/>
  <c r="Q358" i="1" s="1"/>
  <c r="N358" i="1"/>
  <c r="O358" i="1" s="1"/>
  <c r="R358" i="1"/>
  <c r="S358" i="1" s="1"/>
  <c r="T358" i="1"/>
  <c r="U358" i="1" s="1"/>
  <c r="V358" i="1"/>
  <c r="W358" i="1" s="1"/>
  <c r="L385" i="1"/>
  <c r="M385" i="1" s="1"/>
  <c r="N385" i="1"/>
  <c r="O385" i="1" s="1"/>
  <c r="L384" i="1"/>
  <c r="M384" i="1" s="1"/>
  <c r="N384" i="1"/>
  <c r="O384" i="1" s="1"/>
  <c r="P384" i="1"/>
  <c r="Q384" i="1" s="1"/>
  <c r="R384" i="1"/>
  <c r="S384" i="1" s="1"/>
  <c r="T384" i="1"/>
  <c r="U384" i="1" s="1"/>
  <c r="V384" i="1"/>
  <c r="W384" i="1" s="1"/>
  <c r="N410" i="1"/>
  <c r="O410" i="1" s="1"/>
  <c r="V410" i="1"/>
  <c r="W410" i="1" s="1"/>
  <c r="T410" i="1"/>
  <c r="U410" i="1" s="1"/>
  <c r="R410" i="1"/>
  <c r="S410" i="1" s="1"/>
  <c r="P410" i="1"/>
  <c r="Q410" i="1" s="1"/>
  <c r="L410" i="1"/>
  <c r="M410" i="1" s="1"/>
  <c r="J410" i="1"/>
  <c r="K410" i="1" s="1"/>
  <c r="L411" i="1"/>
  <c r="M411" i="1" s="1"/>
  <c r="J411" i="1"/>
  <c r="K411" i="1" s="1"/>
  <c r="H411" i="1"/>
  <c r="I411" i="1" s="1"/>
  <c r="N438" i="1"/>
  <c r="O438" i="1" s="1"/>
  <c r="P438" i="1"/>
  <c r="Q438" i="1" s="1"/>
  <c r="L438" i="1"/>
  <c r="M438" i="1" s="1"/>
  <c r="J438" i="1"/>
  <c r="K438" i="1" s="1"/>
  <c r="V438" i="1"/>
  <c r="W438" i="1" s="1"/>
  <c r="T438" i="1"/>
  <c r="U438" i="1" s="1"/>
  <c r="R438" i="1"/>
  <c r="S438" i="1" s="1"/>
  <c r="G409" i="1"/>
  <c r="F636" i="1" l="1"/>
  <c r="F635" i="1"/>
  <c r="L635" i="1" l="1"/>
  <c r="M635" i="1" s="1"/>
  <c r="J635" i="1"/>
  <c r="K635" i="1" s="1"/>
  <c r="T635" i="1"/>
  <c r="U635" i="1" s="1"/>
  <c r="R635" i="1"/>
  <c r="S635" i="1" s="1"/>
  <c r="P635" i="1"/>
  <c r="Q635" i="1" s="1"/>
  <c r="N635" i="1"/>
  <c r="O635" i="1" s="1"/>
  <c r="R636" i="1"/>
  <c r="S636" i="1" s="1"/>
  <c r="P636" i="1"/>
  <c r="Q636" i="1" s="1"/>
  <c r="N636" i="1"/>
  <c r="O636" i="1" s="1"/>
  <c r="L636" i="1"/>
  <c r="M636" i="1" s="1"/>
  <c r="J636" i="1"/>
  <c r="K636" i="1" s="1"/>
  <c r="T636" i="1"/>
  <c r="U636" i="1" s="1"/>
  <c r="P633" i="1"/>
  <c r="Q633" i="1" s="1"/>
  <c r="N633" i="1"/>
  <c r="O633" i="1" s="1"/>
  <c r="L633" i="1"/>
  <c r="M633" i="1" s="1"/>
  <c r="J633" i="1"/>
  <c r="K633" i="1" s="1"/>
  <c r="R633" i="1"/>
  <c r="S633" i="1" s="1"/>
  <c r="T633" i="1"/>
  <c r="U633" i="1" s="1"/>
  <c r="F537" i="1"/>
  <c r="F519" i="1"/>
  <c r="F506" i="1"/>
  <c r="V485" i="1" l="1"/>
  <c r="W485" i="1" s="1"/>
  <c r="R485" i="1"/>
  <c r="S485" i="1" s="1"/>
  <c r="J485" i="1"/>
  <c r="K485" i="1" s="1"/>
  <c r="T485" i="1"/>
  <c r="U485" i="1" s="1"/>
  <c r="P485" i="1"/>
  <c r="Q485" i="1" s="1"/>
  <c r="L485" i="1"/>
  <c r="M485" i="1" s="1"/>
  <c r="H485" i="1"/>
  <c r="I485" i="1" s="1"/>
  <c r="N485" i="1"/>
  <c r="O485" i="1" s="1"/>
  <c r="P486" i="1"/>
  <c r="Q486" i="1" s="1"/>
  <c r="N486" i="1"/>
  <c r="O486" i="1" s="1"/>
  <c r="T486" i="1"/>
  <c r="U486" i="1" s="1"/>
  <c r="L486" i="1"/>
  <c r="M486" i="1" s="1"/>
  <c r="J486" i="1"/>
  <c r="K486" i="1" s="1"/>
  <c r="H486" i="1"/>
  <c r="I486" i="1" s="1"/>
  <c r="V486" i="1"/>
  <c r="W486" i="1" s="1"/>
  <c r="R486" i="1"/>
  <c r="S486" i="1" s="1"/>
  <c r="V493" i="1"/>
  <c r="W493" i="1" s="1"/>
  <c r="T493" i="1"/>
  <c r="U493" i="1" s="1"/>
  <c r="R493" i="1"/>
  <c r="S493" i="1" s="1"/>
  <c r="P493" i="1"/>
  <c r="Q493" i="1" s="1"/>
  <c r="N493" i="1"/>
  <c r="O493" i="1" s="1"/>
  <c r="L493" i="1"/>
  <c r="M493" i="1" s="1"/>
  <c r="J493" i="1"/>
  <c r="K493" i="1" s="1"/>
  <c r="H493" i="1"/>
  <c r="I493" i="1" s="1"/>
  <c r="V495" i="1"/>
  <c r="W495" i="1" s="1"/>
  <c r="T495" i="1"/>
  <c r="U495" i="1" s="1"/>
  <c r="R495" i="1"/>
  <c r="S495" i="1" s="1"/>
  <c r="H495" i="1"/>
  <c r="I495" i="1" s="1"/>
  <c r="P495" i="1"/>
  <c r="Q495" i="1" s="1"/>
  <c r="N495" i="1"/>
  <c r="O495" i="1" s="1"/>
  <c r="L495" i="1"/>
  <c r="M495" i="1" s="1"/>
  <c r="J495" i="1"/>
  <c r="K495" i="1" s="1"/>
  <c r="T533" i="1"/>
  <c r="U533" i="1" s="1"/>
  <c r="V533" i="1"/>
  <c r="W533" i="1" s="1"/>
  <c r="H533" i="1"/>
  <c r="I533" i="1" s="1"/>
  <c r="J533" i="1"/>
  <c r="K533" i="1" s="1"/>
  <c r="P533" i="1"/>
  <c r="Q533" i="1" s="1"/>
  <c r="L533" i="1"/>
  <c r="M533" i="1" s="1"/>
  <c r="R533" i="1"/>
  <c r="S533" i="1" s="1"/>
  <c r="N533" i="1"/>
  <c r="O533" i="1" s="1"/>
  <c r="J505" i="1"/>
  <c r="K505" i="1" s="1"/>
  <c r="H505" i="1"/>
  <c r="I505" i="1" s="1"/>
  <c r="V505" i="1"/>
  <c r="W505" i="1" s="1"/>
  <c r="T505" i="1"/>
  <c r="U505" i="1" s="1"/>
  <c r="R505" i="1"/>
  <c r="S505" i="1" s="1"/>
  <c r="P505" i="1"/>
  <c r="Q505" i="1" s="1"/>
  <c r="N505" i="1"/>
  <c r="O505" i="1" s="1"/>
  <c r="L505" i="1"/>
  <c r="M505" i="1" s="1"/>
  <c r="L534" i="1"/>
  <c r="M534" i="1" s="1"/>
  <c r="J534" i="1"/>
  <c r="K534" i="1" s="1"/>
  <c r="H534" i="1"/>
  <c r="I534" i="1" s="1"/>
  <c r="R534" i="1"/>
  <c r="S534" i="1" s="1"/>
  <c r="V534" i="1"/>
  <c r="W534" i="1" s="1"/>
  <c r="T534" i="1"/>
  <c r="U534" i="1" s="1"/>
  <c r="P534" i="1"/>
  <c r="Q534" i="1" s="1"/>
  <c r="N534" i="1"/>
  <c r="O534" i="1" s="1"/>
  <c r="L535" i="1"/>
  <c r="M535" i="1" s="1"/>
  <c r="N535" i="1"/>
  <c r="O535" i="1" s="1"/>
  <c r="P535" i="1"/>
  <c r="Q535" i="1" s="1"/>
  <c r="R535" i="1"/>
  <c r="S535" i="1" s="1"/>
  <c r="V535" i="1"/>
  <c r="W535" i="1" s="1"/>
  <c r="T535" i="1"/>
  <c r="U535" i="1" s="1"/>
  <c r="H535" i="1"/>
  <c r="I535" i="1" s="1"/>
  <c r="J535" i="1"/>
  <c r="K535" i="1" s="1"/>
  <c r="L544" i="1"/>
  <c r="M544" i="1" s="1"/>
  <c r="N544" i="1"/>
  <c r="O544" i="1" s="1"/>
  <c r="P544" i="1"/>
  <c r="Q544" i="1" s="1"/>
  <c r="R544" i="1"/>
  <c r="S544" i="1" s="1"/>
  <c r="T544" i="1"/>
  <c r="U544" i="1" s="1"/>
  <c r="V544" i="1"/>
  <c r="W544" i="1" s="1"/>
  <c r="H544" i="1"/>
  <c r="I544" i="1" s="1"/>
  <c r="J544" i="1"/>
  <c r="K544" i="1" s="1"/>
  <c r="N512" i="1"/>
  <c r="O512" i="1" s="1"/>
  <c r="L512" i="1"/>
  <c r="M512" i="1" s="1"/>
  <c r="H512" i="1"/>
  <c r="I512" i="1" s="1"/>
  <c r="J512" i="1"/>
  <c r="K512" i="1" s="1"/>
  <c r="J536" i="1"/>
  <c r="K536" i="1" s="1"/>
  <c r="L536" i="1"/>
  <c r="M536" i="1" s="1"/>
  <c r="H536" i="1"/>
  <c r="I536" i="1" s="1"/>
  <c r="N536" i="1"/>
  <c r="O536" i="1" s="1"/>
  <c r="V536" i="1"/>
  <c r="W536" i="1" s="1"/>
  <c r="P536" i="1"/>
  <c r="Q536" i="1" s="1"/>
  <c r="R536" i="1"/>
  <c r="S536" i="1" s="1"/>
  <c r="T536" i="1"/>
  <c r="U536" i="1" s="1"/>
  <c r="V537" i="1"/>
  <c r="W537" i="1" s="1"/>
  <c r="H537" i="1"/>
  <c r="I537" i="1" s="1"/>
  <c r="J537" i="1"/>
  <c r="K537" i="1" s="1"/>
  <c r="L537" i="1"/>
  <c r="M537" i="1" s="1"/>
  <c r="R537" i="1"/>
  <c r="S537" i="1" s="1"/>
  <c r="N537" i="1"/>
  <c r="O537" i="1" s="1"/>
  <c r="P537" i="1"/>
  <c r="Q537" i="1" s="1"/>
  <c r="T537" i="1"/>
  <c r="U537" i="1" s="1"/>
  <c r="V519" i="1"/>
  <c r="H519" i="1"/>
  <c r="T519" i="1"/>
  <c r="R519" i="1"/>
  <c r="P519" i="1"/>
  <c r="J519" i="1"/>
  <c r="N519" i="1"/>
  <c r="L519" i="1"/>
  <c r="U415" i="1"/>
  <c r="S415" i="1"/>
  <c r="Q415" i="1"/>
  <c r="O415" i="1"/>
  <c r="M415" i="1"/>
  <c r="K415" i="1"/>
  <c r="G415" i="1"/>
  <c r="G486" i="1" l="1"/>
  <c r="G485" i="1"/>
  <c r="U141" i="1"/>
  <c r="W141" i="1"/>
  <c r="S141" i="1"/>
  <c r="Q141" i="1"/>
  <c r="O141" i="1"/>
  <c r="M141" i="1"/>
  <c r="K141" i="1"/>
  <c r="K145" i="1"/>
  <c r="V140" i="1"/>
  <c r="W140" i="1" s="1"/>
  <c r="T140" i="1"/>
  <c r="U140" i="1" s="1"/>
  <c r="R140" i="1"/>
  <c r="S140" i="1" s="1"/>
  <c r="P140" i="1"/>
  <c r="Q140" i="1" s="1"/>
  <c r="N140" i="1"/>
  <c r="O140" i="1" s="1"/>
  <c r="L140" i="1"/>
  <c r="M140" i="1" s="1"/>
  <c r="J140" i="1"/>
  <c r="K140" i="1" s="1"/>
  <c r="L144" i="1"/>
  <c r="V144" i="1"/>
  <c r="T144" i="1"/>
  <c r="R144" i="1"/>
  <c r="P144" i="1"/>
  <c r="N144" i="1"/>
  <c r="J144" i="1"/>
  <c r="V234" i="1" l="1"/>
  <c r="W234" i="1" s="1"/>
  <c r="T234" i="1"/>
  <c r="U234" i="1" s="1"/>
  <c r="R234" i="1"/>
  <c r="S234" i="1" s="1"/>
  <c r="P234" i="1"/>
  <c r="Q234" i="1" s="1"/>
  <c r="N234" i="1"/>
  <c r="O234" i="1" s="1"/>
  <c r="L234" i="1"/>
  <c r="M234" i="1" s="1"/>
  <c r="H234" i="1"/>
  <c r="I234" i="1" s="1"/>
  <c r="J234" i="1"/>
  <c r="K234" i="1" s="1"/>
  <c r="G234" i="1"/>
  <c r="G381" i="1"/>
  <c r="J58" i="1" l="1"/>
  <c r="L58" i="1"/>
  <c r="N58" i="1"/>
  <c r="G408" i="1" l="1"/>
  <c r="V498" i="1" l="1"/>
  <c r="W498" i="1" s="1"/>
  <c r="T491" i="1" l="1"/>
  <c r="U491" i="1" s="1"/>
  <c r="R491" i="1"/>
  <c r="S491" i="1" s="1"/>
  <c r="P491" i="1"/>
  <c r="Q491" i="1" s="1"/>
  <c r="V491" i="1"/>
  <c r="W491" i="1" s="1"/>
  <c r="N491" i="1"/>
  <c r="O491" i="1" s="1"/>
  <c r="L491" i="1"/>
  <c r="M491" i="1" s="1"/>
  <c r="J491" i="1"/>
  <c r="K491" i="1" s="1"/>
  <c r="H491" i="1"/>
  <c r="I491" i="1" s="1"/>
  <c r="J499" i="1"/>
  <c r="K499" i="1" s="1"/>
  <c r="H499" i="1"/>
  <c r="I499" i="1" s="1"/>
  <c r="P499" i="1"/>
  <c r="Q499" i="1" s="1"/>
  <c r="V499" i="1"/>
  <c r="W499" i="1" s="1"/>
  <c r="T499" i="1"/>
  <c r="U499" i="1" s="1"/>
  <c r="R499" i="1"/>
  <c r="S499" i="1" s="1"/>
  <c r="L499" i="1"/>
  <c r="M499" i="1" s="1"/>
  <c r="N499" i="1"/>
  <c r="O499" i="1" s="1"/>
  <c r="T498" i="1"/>
  <c r="U498" i="1" s="1"/>
  <c r="R498" i="1"/>
  <c r="S498" i="1" s="1"/>
  <c r="J498" i="1"/>
  <c r="K498" i="1" s="1"/>
  <c r="L498" i="1"/>
  <c r="M498" i="1" s="1"/>
  <c r="P498" i="1"/>
  <c r="Q498" i="1" s="1"/>
  <c r="H498" i="1"/>
  <c r="I498" i="1" s="1"/>
  <c r="N498" i="1"/>
  <c r="O498" i="1" s="1"/>
  <c r="G499" i="1"/>
  <c r="G411" i="1" l="1"/>
  <c r="T457" i="1" l="1"/>
  <c r="U457" i="1" s="1"/>
  <c r="R457" i="1"/>
  <c r="S457" i="1" s="1"/>
  <c r="P457" i="1"/>
  <c r="Q457" i="1" s="1"/>
  <c r="N457" i="1"/>
  <c r="O457" i="1" s="1"/>
  <c r="L457" i="1"/>
  <c r="M457" i="1" s="1"/>
  <c r="T456" i="1"/>
  <c r="U456" i="1" s="1"/>
  <c r="R456" i="1"/>
  <c r="S456" i="1" s="1"/>
  <c r="P456" i="1"/>
  <c r="Q456" i="1" s="1"/>
  <c r="N456" i="1"/>
  <c r="O456" i="1" s="1"/>
  <c r="L456" i="1"/>
  <c r="M456" i="1" s="1"/>
  <c r="T455" i="1"/>
  <c r="U455" i="1" s="1"/>
  <c r="R455" i="1"/>
  <c r="S455" i="1" s="1"/>
  <c r="P455" i="1"/>
  <c r="Q455" i="1" s="1"/>
  <c r="N455" i="1"/>
  <c r="O455" i="1" s="1"/>
  <c r="L455" i="1"/>
  <c r="M455" i="1" s="1"/>
  <c r="T454" i="1"/>
  <c r="U454" i="1" s="1"/>
  <c r="R454" i="1"/>
  <c r="S454" i="1" s="1"/>
  <c r="P454" i="1"/>
  <c r="Q454" i="1" s="1"/>
  <c r="N454" i="1"/>
  <c r="O454" i="1" s="1"/>
  <c r="L454" i="1"/>
  <c r="M454" i="1" s="1"/>
  <c r="T453" i="1"/>
  <c r="U453" i="1" s="1"/>
  <c r="R453" i="1"/>
  <c r="S453" i="1" s="1"/>
  <c r="P453" i="1"/>
  <c r="Q453" i="1" s="1"/>
  <c r="N453" i="1"/>
  <c r="O453" i="1" s="1"/>
  <c r="L453" i="1"/>
  <c r="M453" i="1" s="1"/>
  <c r="T452" i="1"/>
  <c r="U452" i="1" s="1"/>
  <c r="R452" i="1"/>
  <c r="S452" i="1" s="1"/>
  <c r="P452" i="1"/>
  <c r="Q452" i="1" s="1"/>
  <c r="N452" i="1"/>
  <c r="O452" i="1" s="1"/>
  <c r="L452" i="1"/>
  <c r="M452" i="1" s="1"/>
  <c r="V465" i="1"/>
  <c r="W465" i="1" s="1"/>
  <c r="T465" i="1"/>
  <c r="U465" i="1" s="1"/>
  <c r="R465" i="1"/>
  <c r="S465" i="1" s="1"/>
  <c r="P465" i="1"/>
  <c r="Q465" i="1" s="1"/>
  <c r="N465" i="1"/>
  <c r="O465" i="1" s="1"/>
  <c r="L465" i="1"/>
  <c r="M465" i="1" s="1"/>
  <c r="J465" i="1"/>
  <c r="K465" i="1" s="1"/>
  <c r="H465" i="1"/>
  <c r="I465" i="1" s="1"/>
  <c r="V464" i="1"/>
  <c r="W464" i="1" s="1"/>
  <c r="T464" i="1"/>
  <c r="U464" i="1" s="1"/>
  <c r="R464" i="1"/>
  <c r="S464" i="1" s="1"/>
  <c r="P464" i="1"/>
  <c r="Q464" i="1" s="1"/>
  <c r="N464" i="1"/>
  <c r="O464" i="1" s="1"/>
  <c r="L464" i="1"/>
  <c r="M464" i="1" s="1"/>
  <c r="J464" i="1"/>
  <c r="K464" i="1" s="1"/>
  <c r="H464" i="1"/>
  <c r="I464" i="1" s="1"/>
  <c r="V462" i="1"/>
  <c r="W462" i="1" s="1"/>
  <c r="T462" i="1"/>
  <c r="U462" i="1" s="1"/>
  <c r="R462" i="1"/>
  <c r="S462" i="1" s="1"/>
  <c r="P462" i="1"/>
  <c r="Q462" i="1" s="1"/>
  <c r="N462" i="1"/>
  <c r="O462" i="1" s="1"/>
  <c r="L462" i="1"/>
  <c r="M462" i="1" s="1"/>
  <c r="J462" i="1"/>
  <c r="K462" i="1" s="1"/>
  <c r="H462" i="1"/>
  <c r="I462" i="1" s="1"/>
  <c r="V461" i="1"/>
  <c r="W461" i="1" s="1"/>
  <c r="T461" i="1"/>
  <c r="U461" i="1" s="1"/>
  <c r="R461" i="1"/>
  <c r="S461" i="1" s="1"/>
  <c r="P461" i="1"/>
  <c r="Q461" i="1" s="1"/>
  <c r="N461" i="1"/>
  <c r="O461" i="1" s="1"/>
  <c r="L461" i="1"/>
  <c r="M461" i="1" s="1"/>
  <c r="J461" i="1"/>
  <c r="K461" i="1" s="1"/>
  <c r="H461" i="1"/>
  <c r="I461" i="1" s="1"/>
  <c r="V460" i="1"/>
  <c r="W460" i="1" s="1"/>
  <c r="T460" i="1"/>
  <c r="U460" i="1" s="1"/>
  <c r="R460" i="1"/>
  <c r="S460" i="1" s="1"/>
  <c r="P460" i="1"/>
  <c r="Q460" i="1" s="1"/>
  <c r="N460" i="1"/>
  <c r="O460" i="1" s="1"/>
  <c r="L460" i="1"/>
  <c r="M460" i="1" s="1"/>
  <c r="J460" i="1"/>
  <c r="K460" i="1" s="1"/>
  <c r="H460" i="1"/>
  <c r="I460" i="1" s="1"/>
  <c r="V459" i="1"/>
  <c r="W459" i="1" s="1"/>
  <c r="T459" i="1"/>
  <c r="U459" i="1" s="1"/>
  <c r="R459" i="1"/>
  <c r="S459" i="1" s="1"/>
  <c r="P459" i="1"/>
  <c r="Q459" i="1" s="1"/>
  <c r="N459" i="1"/>
  <c r="O459" i="1" s="1"/>
  <c r="L459" i="1"/>
  <c r="M459" i="1" s="1"/>
  <c r="J459" i="1"/>
  <c r="K459" i="1" s="1"/>
  <c r="H459" i="1"/>
  <c r="I459" i="1" s="1"/>
  <c r="V468" i="1"/>
  <c r="W468" i="1" s="1"/>
  <c r="T468" i="1"/>
  <c r="U468" i="1" s="1"/>
  <c r="R468" i="1"/>
  <c r="S468" i="1" s="1"/>
  <c r="P468" i="1"/>
  <c r="Q468" i="1" s="1"/>
  <c r="N468" i="1"/>
  <c r="O468" i="1" s="1"/>
  <c r="L468" i="1"/>
  <c r="M468" i="1" s="1"/>
  <c r="J468" i="1"/>
  <c r="K468" i="1" s="1"/>
  <c r="H468" i="1"/>
  <c r="I468" i="1" s="1"/>
  <c r="V467" i="1"/>
  <c r="W467" i="1" s="1"/>
  <c r="T467" i="1"/>
  <c r="U467" i="1" s="1"/>
  <c r="R467" i="1"/>
  <c r="S467" i="1" s="1"/>
  <c r="P467" i="1"/>
  <c r="Q467" i="1" s="1"/>
  <c r="N467" i="1"/>
  <c r="O467" i="1" s="1"/>
  <c r="L467" i="1"/>
  <c r="M467" i="1" s="1"/>
  <c r="J467" i="1"/>
  <c r="K467" i="1" s="1"/>
  <c r="H467" i="1"/>
  <c r="I467" i="1" s="1"/>
  <c r="V470" i="1"/>
  <c r="W470" i="1" s="1"/>
  <c r="T470" i="1"/>
  <c r="U470" i="1" s="1"/>
  <c r="R470" i="1"/>
  <c r="S470" i="1" s="1"/>
  <c r="P470" i="1"/>
  <c r="Q470" i="1" s="1"/>
  <c r="N470" i="1"/>
  <c r="O470" i="1" s="1"/>
  <c r="L470" i="1"/>
  <c r="M470" i="1" s="1"/>
  <c r="J470" i="1"/>
  <c r="K470" i="1" s="1"/>
  <c r="H470" i="1"/>
  <c r="I470" i="1" s="1"/>
  <c r="T507" i="1" l="1"/>
  <c r="U507" i="1" s="1"/>
  <c r="R507" i="1"/>
  <c r="S507" i="1" s="1"/>
  <c r="P507" i="1"/>
  <c r="Q507" i="1" s="1"/>
  <c r="N507" i="1"/>
  <c r="O507" i="1" s="1"/>
  <c r="L507" i="1"/>
  <c r="M507" i="1" s="1"/>
  <c r="J507" i="1"/>
  <c r="K507" i="1" s="1"/>
  <c r="H507" i="1"/>
  <c r="I507" i="1" s="1"/>
  <c r="F555" i="1" l="1"/>
  <c r="F542" i="1"/>
  <c r="G458" i="1"/>
  <c r="T525" i="1" l="1"/>
  <c r="U525" i="1" s="1"/>
  <c r="V525" i="1"/>
  <c r="W525" i="1" s="1"/>
  <c r="H525" i="1"/>
  <c r="I525" i="1" s="1"/>
  <c r="P525" i="1"/>
  <c r="Q525" i="1" s="1"/>
  <c r="R525" i="1"/>
  <c r="S525" i="1" s="1"/>
  <c r="J525" i="1"/>
  <c r="K525" i="1" s="1"/>
  <c r="L525" i="1"/>
  <c r="M525" i="1" s="1"/>
  <c r="N525" i="1"/>
  <c r="O525" i="1" s="1"/>
  <c r="N543" i="1"/>
  <c r="O543" i="1" s="1"/>
  <c r="P543" i="1"/>
  <c r="Q543" i="1" s="1"/>
  <c r="L543" i="1"/>
  <c r="M543" i="1" s="1"/>
  <c r="R543" i="1"/>
  <c r="S543" i="1" s="1"/>
  <c r="T543" i="1"/>
  <c r="U543" i="1" s="1"/>
  <c r="H543" i="1"/>
  <c r="I543" i="1" s="1"/>
  <c r="V543" i="1"/>
  <c r="W543" i="1" s="1"/>
  <c r="J543" i="1"/>
  <c r="K543" i="1" s="1"/>
  <c r="H545" i="1"/>
  <c r="I545" i="1" s="1"/>
  <c r="J545" i="1"/>
  <c r="K545" i="1" s="1"/>
  <c r="L545" i="1"/>
  <c r="M545" i="1" s="1"/>
  <c r="N545" i="1"/>
  <c r="O545" i="1" s="1"/>
  <c r="P545" i="1"/>
  <c r="Q545" i="1" s="1"/>
  <c r="R545" i="1"/>
  <c r="S545" i="1" s="1"/>
  <c r="T545" i="1"/>
  <c r="U545" i="1" s="1"/>
  <c r="V545" i="1"/>
  <c r="W545" i="1" s="1"/>
  <c r="V554" i="1"/>
  <c r="W554" i="1" s="1"/>
  <c r="T554" i="1"/>
  <c r="U554" i="1" s="1"/>
  <c r="R554" i="1"/>
  <c r="S554" i="1" s="1"/>
  <c r="P554" i="1"/>
  <c r="Q554" i="1" s="1"/>
  <c r="N554" i="1"/>
  <c r="O554" i="1" s="1"/>
  <c r="L554" i="1"/>
  <c r="M554" i="1" s="1"/>
  <c r="J554" i="1"/>
  <c r="K554" i="1" s="1"/>
  <c r="H554" i="1"/>
  <c r="I554" i="1" s="1"/>
  <c r="R542" i="1"/>
  <c r="S542" i="1" s="1"/>
  <c r="P542" i="1"/>
  <c r="Q542" i="1" s="1"/>
  <c r="T542" i="1"/>
  <c r="U542" i="1" s="1"/>
  <c r="N542" i="1"/>
  <c r="O542" i="1" s="1"/>
  <c r="H542" i="1"/>
  <c r="I542" i="1" s="1"/>
  <c r="V542" i="1"/>
  <c r="W542" i="1" s="1"/>
  <c r="L542" i="1"/>
  <c r="M542" i="1" s="1"/>
  <c r="J542" i="1"/>
  <c r="K542" i="1" s="1"/>
  <c r="H546" i="1"/>
  <c r="I546" i="1" s="1"/>
  <c r="V546" i="1"/>
  <c r="W546" i="1" s="1"/>
  <c r="J546" i="1"/>
  <c r="K546" i="1" s="1"/>
  <c r="R546" i="1"/>
  <c r="S546" i="1" s="1"/>
  <c r="L546" i="1"/>
  <c r="M546" i="1" s="1"/>
  <c r="N546" i="1"/>
  <c r="O546" i="1" s="1"/>
  <c r="T546" i="1"/>
  <c r="U546" i="1" s="1"/>
  <c r="P546" i="1"/>
  <c r="Q546" i="1" s="1"/>
  <c r="V555" i="1"/>
  <c r="W555" i="1" s="1"/>
  <c r="T555" i="1"/>
  <c r="U555" i="1" s="1"/>
  <c r="R555" i="1"/>
  <c r="S555" i="1" s="1"/>
  <c r="P555" i="1"/>
  <c r="Q555" i="1" s="1"/>
  <c r="L555" i="1"/>
  <c r="M555" i="1" s="1"/>
  <c r="N555" i="1"/>
  <c r="O555" i="1" s="1"/>
  <c r="H555" i="1"/>
  <c r="I555" i="1" s="1"/>
  <c r="J555" i="1"/>
  <c r="K555" i="1" s="1"/>
  <c r="P458" i="1"/>
  <c r="Q458" i="1" s="1"/>
  <c r="N458" i="1"/>
  <c r="O458" i="1" s="1"/>
  <c r="L458" i="1"/>
  <c r="M458" i="1" s="1"/>
  <c r="V458" i="1"/>
  <c r="W458" i="1" s="1"/>
  <c r="J458" i="1"/>
  <c r="K458" i="1" s="1"/>
  <c r="T458" i="1"/>
  <c r="U458" i="1" s="1"/>
  <c r="R458" i="1"/>
  <c r="S458" i="1" s="1"/>
  <c r="H458" i="1"/>
  <c r="I458" i="1" s="1"/>
  <c r="N500" i="1" l="1"/>
  <c r="O500" i="1" s="1"/>
  <c r="J500" i="1"/>
  <c r="K500" i="1" s="1"/>
  <c r="L500" i="1"/>
  <c r="M500" i="1" s="1"/>
  <c r="H500" i="1"/>
  <c r="I500" i="1" s="1"/>
  <c r="V500" i="1"/>
  <c r="W500" i="1" s="1"/>
  <c r="T500" i="1"/>
  <c r="U500" i="1" s="1"/>
  <c r="R500" i="1"/>
  <c r="S500" i="1" s="1"/>
  <c r="P500" i="1"/>
  <c r="Q500" i="1" s="1"/>
  <c r="R490" i="1"/>
  <c r="S490" i="1" s="1"/>
  <c r="P490" i="1"/>
  <c r="Q490" i="1" s="1"/>
  <c r="N490" i="1"/>
  <c r="O490" i="1" s="1"/>
  <c r="L490" i="1"/>
  <c r="M490" i="1" s="1"/>
  <c r="J490" i="1"/>
  <c r="K490" i="1" s="1"/>
  <c r="H490" i="1"/>
  <c r="I490" i="1" s="1"/>
  <c r="T490" i="1"/>
  <c r="U490" i="1" s="1"/>
  <c r="V490" i="1"/>
  <c r="W490" i="1" s="1"/>
  <c r="N506" i="1"/>
  <c r="O506" i="1" s="1"/>
  <c r="L506" i="1"/>
  <c r="M506" i="1" s="1"/>
  <c r="J506" i="1"/>
  <c r="K506" i="1" s="1"/>
  <c r="H506" i="1"/>
  <c r="I506" i="1" s="1"/>
  <c r="P506" i="1"/>
  <c r="Q506" i="1" s="1"/>
  <c r="V506" i="1"/>
  <c r="W506" i="1" s="1"/>
  <c r="T506" i="1"/>
  <c r="U506" i="1" s="1"/>
  <c r="R506" i="1"/>
  <c r="S506" i="1" s="1"/>
  <c r="L623" i="1"/>
  <c r="L622" i="1"/>
  <c r="F427" i="1"/>
  <c r="F377" i="1"/>
  <c r="P377" i="1" l="1"/>
  <c r="Q377" i="1" s="1"/>
  <c r="R377" i="1"/>
  <c r="S377" i="1" s="1"/>
  <c r="T377" i="1"/>
  <c r="U377" i="1" s="1"/>
  <c r="V377" i="1"/>
  <c r="W377" i="1" s="1"/>
  <c r="L377" i="1"/>
  <c r="M377" i="1" s="1"/>
  <c r="N377" i="1"/>
  <c r="O377" i="1" s="1"/>
  <c r="R427" i="1"/>
  <c r="S427" i="1" s="1"/>
  <c r="H427" i="1"/>
  <c r="I427" i="1" s="1"/>
  <c r="P427" i="1"/>
  <c r="Q427" i="1" s="1"/>
  <c r="N427" i="1"/>
  <c r="O427" i="1" s="1"/>
  <c r="L427" i="1"/>
  <c r="M427" i="1" s="1"/>
  <c r="J427" i="1"/>
  <c r="K427" i="1" s="1"/>
  <c r="V427" i="1"/>
  <c r="W427" i="1" s="1"/>
  <c r="T427" i="1"/>
  <c r="U427" i="1" s="1"/>
  <c r="T439" i="1"/>
  <c r="U439" i="1" s="1"/>
  <c r="R439" i="1"/>
  <c r="S439" i="1" s="1"/>
  <c r="P439" i="1"/>
  <c r="Q439" i="1" s="1"/>
  <c r="V439" i="1"/>
  <c r="W439" i="1" s="1"/>
  <c r="N439" i="1"/>
  <c r="O439" i="1" s="1"/>
  <c r="L439" i="1"/>
  <c r="M439" i="1" s="1"/>
  <c r="J439" i="1"/>
  <c r="K439" i="1" s="1"/>
  <c r="G392" i="1"/>
  <c r="F367" i="1"/>
  <c r="L367" i="1" l="1"/>
  <c r="M367" i="1" s="1"/>
  <c r="V367" i="1"/>
  <c r="W367" i="1" s="1"/>
  <c r="T367" i="1"/>
  <c r="U367" i="1" s="1"/>
  <c r="R367" i="1"/>
  <c r="S367" i="1" s="1"/>
  <c r="P367" i="1"/>
  <c r="Q367" i="1" s="1"/>
  <c r="N367" i="1"/>
  <c r="O367" i="1" s="1"/>
  <c r="F312" i="1"/>
  <c r="F540" i="1"/>
  <c r="F250" i="1"/>
  <c r="F259" i="1"/>
  <c r="F244" i="1"/>
  <c r="F232" i="1"/>
  <c r="F223" i="1"/>
  <c r="F219" i="1"/>
  <c r="F197" i="1"/>
  <c r="F187" i="1"/>
  <c r="F167" i="1"/>
  <c r="F166" i="1"/>
  <c r="F163" i="1"/>
  <c r="J163" i="1" s="1"/>
  <c r="F147" i="1"/>
  <c r="W437" i="1"/>
  <c r="U437" i="1"/>
  <c r="S437" i="1"/>
  <c r="Q437" i="1"/>
  <c r="O437" i="1"/>
  <c r="W436" i="1"/>
  <c r="U436" i="1"/>
  <c r="S436" i="1"/>
  <c r="Q436" i="1"/>
  <c r="O436" i="1"/>
  <c r="F15" i="1"/>
  <c r="H15" i="1" s="1"/>
  <c r="F16" i="1"/>
  <c r="H16" i="1" s="1"/>
  <c r="R147" i="1" l="1"/>
  <c r="S147" i="1" s="1"/>
  <c r="P147" i="1"/>
  <c r="Q147" i="1" s="1"/>
  <c r="J147" i="1"/>
  <c r="K147" i="1" s="1"/>
  <c r="N147" i="1"/>
  <c r="O147" i="1" s="1"/>
  <c r="L147" i="1"/>
  <c r="M147" i="1" s="1"/>
  <c r="V147" i="1"/>
  <c r="W147" i="1" s="1"/>
  <c r="H147" i="1"/>
  <c r="I147" i="1" s="1"/>
  <c r="T147" i="1"/>
  <c r="U147" i="1" s="1"/>
  <c r="K161" i="1"/>
  <c r="T250" i="1"/>
  <c r="U250" i="1" s="1"/>
  <c r="R250" i="1"/>
  <c r="S250" i="1" s="1"/>
  <c r="P250" i="1"/>
  <c r="Q250" i="1" s="1"/>
  <c r="N250" i="1"/>
  <c r="O250" i="1" s="1"/>
  <c r="L250" i="1"/>
  <c r="M250" i="1" s="1"/>
  <c r="J250" i="1"/>
  <c r="K250" i="1" s="1"/>
  <c r="H250" i="1"/>
  <c r="I250" i="1" s="1"/>
  <c r="V250" i="1"/>
  <c r="W250" i="1" s="1"/>
  <c r="T254" i="1"/>
  <c r="U254" i="1" s="1"/>
  <c r="R254" i="1"/>
  <c r="S254" i="1" s="1"/>
  <c r="P254" i="1"/>
  <c r="Q254" i="1" s="1"/>
  <c r="N254" i="1"/>
  <c r="O254" i="1" s="1"/>
  <c r="L254" i="1"/>
  <c r="M254" i="1" s="1"/>
  <c r="J254" i="1"/>
  <c r="K254" i="1" s="1"/>
  <c r="H254" i="1"/>
  <c r="I254" i="1" s="1"/>
  <c r="V254" i="1"/>
  <c r="W254" i="1" s="1"/>
  <c r="R540" i="1"/>
  <c r="S540" i="1" s="1"/>
  <c r="T540" i="1"/>
  <c r="U540" i="1" s="1"/>
  <c r="V540" i="1"/>
  <c r="W540" i="1" s="1"/>
  <c r="H540" i="1"/>
  <c r="I540" i="1" s="1"/>
  <c r="J540" i="1"/>
  <c r="K540" i="1" s="1"/>
  <c r="L540" i="1"/>
  <c r="M540" i="1" s="1"/>
  <c r="P540" i="1"/>
  <c r="Q540" i="1" s="1"/>
  <c r="N540" i="1"/>
  <c r="O540" i="1" s="1"/>
  <c r="P163" i="1"/>
  <c r="Q163" i="1" s="1"/>
  <c r="R163" i="1"/>
  <c r="S163" i="1" s="1"/>
  <c r="L163" i="1"/>
  <c r="M163" i="1" s="1"/>
  <c r="K163" i="1"/>
  <c r="N163" i="1"/>
  <c r="O163" i="1" s="1"/>
  <c r="R259" i="1"/>
  <c r="S259" i="1" s="1"/>
  <c r="P259" i="1"/>
  <c r="Q259" i="1" s="1"/>
  <c r="N259" i="1"/>
  <c r="O259" i="1" s="1"/>
  <c r="L259" i="1"/>
  <c r="M259" i="1" s="1"/>
  <c r="H259" i="1"/>
  <c r="I259" i="1" s="1"/>
  <c r="J259" i="1"/>
  <c r="K259" i="1" s="1"/>
  <c r="V251" i="1"/>
  <c r="W251" i="1" s="1"/>
  <c r="T251" i="1"/>
  <c r="U251" i="1" s="1"/>
  <c r="R251" i="1"/>
  <c r="S251" i="1" s="1"/>
  <c r="P251" i="1"/>
  <c r="Q251" i="1" s="1"/>
  <c r="N251" i="1"/>
  <c r="O251" i="1" s="1"/>
  <c r="L251" i="1"/>
  <c r="M251" i="1" s="1"/>
  <c r="H251" i="1"/>
  <c r="I251" i="1" s="1"/>
  <c r="J251" i="1"/>
  <c r="K251" i="1" s="1"/>
  <c r="V188" i="1"/>
  <c r="W188" i="1" s="1"/>
  <c r="T188" i="1"/>
  <c r="U188" i="1" s="1"/>
  <c r="R188" i="1"/>
  <c r="S188" i="1" s="1"/>
  <c r="P188" i="1"/>
  <c r="Q188" i="1" s="1"/>
  <c r="N188" i="1"/>
  <c r="O188" i="1" s="1"/>
  <c r="L188" i="1"/>
  <c r="M188" i="1" s="1"/>
  <c r="T232" i="1"/>
  <c r="U232" i="1" s="1"/>
  <c r="R232" i="1"/>
  <c r="S232" i="1" s="1"/>
  <c r="P232" i="1"/>
  <c r="Q232" i="1" s="1"/>
  <c r="N232" i="1"/>
  <c r="O232" i="1" s="1"/>
  <c r="L232" i="1"/>
  <c r="M232" i="1" s="1"/>
  <c r="J232" i="1"/>
  <c r="K232" i="1" s="1"/>
  <c r="H232" i="1"/>
  <c r="I232" i="1" s="1"/>
  <c r="V232" i="1"/>
  <c r="W232" i="1" s="1"/>
  <c r="J165" i="1"/>
  <c r="K165" i="1" s="1"/>
  <c r="L165" i="1"/>
  <c r="M165" i="1" s="1"/>
  <c r="N165" i="1"/>
  <c r="O165" i="1" s="1"/>
  <c r="P165" i="1"/>
  <c r="Q165" i="1" s="1"/>
  <c r="R165" i="1"/>
  <c r="S165" i="1" s="1"/>
  <c r="T165" i="1"/>
  <c r="U165" i="1" s="1"/>
  <c r="V165" i="1"/>
  <c r="W165" i="1" s="1"/>
  <c r="J166" i="1"/>
  <c r="K166" i="1" s="1"/>
  <c r="H166" i="1"/>
  <c r="I166" i="1" s="1"/>
  <c r="T166" i="1"/>
  <c r="U166" i="1" s="1"/>
  <c r="R166" i="1"/>
  <c r="S166" i="1" s="1"/>
  <c r="P166" i="1"/>
  <c r="Q166" i="1" s="1"/>
  <c r="N166" i="1"/>
  <c r="O166" i="1" s="1"/>
  <c r="L166" i="1"/>
  <c r="M166" i="1" s="1"/>
  <c r="R187" i="1"/>
  <c r="S187" i="1" s="1"/>
  <c r="P187" i="1"/>
  <c r="Q187" i="1" s="1"/>
  <c r="N187" i="1"/>
  <c r="O187" i="1" s="1"/>
  <c r="L187" i="1"/>
  <c r="M187" i="1" s="1"/>
  <c r="V187" i="1"/>
  <c r="W187" i="1" s="1"/>
  <c r="T187" i="1"/>
  <c r="U187" i="1" s="1"/>
  <c r="R97" i="1"/>
  <c r="S97" i="1" s="1"/>
  <c r="P97" i="1"/>
  <c r="Q97" i="1" s="1"/>
  <c r="L97" i="1"/>
  <c r="M97" i="1" s="1"/>
  <c r="J97" i="1"/>
  <c r="K97" i="1" s="1"/>
  <c r="N97" i="1"/>
  <c r="O97" i="1" s="1"/>
  <c r="V97" i="1"/>
  <c r="W97" i="1" s="1"/>
  <c r="T97" i="1"/>
  <c r="U97" i="1" s="1"/>
  <c r="P197" i="1"/>
  <c r="Q197" i="1" s="1"/>
  <c r="N197" i="1"/>
  <c r="O197" i="1" s="1"/>
  <c r="L197" i="1"/>
  <c r="M197" i="1" s="1"/>
  <c r="J197" i="1"/>
  <c r="K197" i="1" s="1"/>
  <c r="T197" i="1"/>
  <c r="U197" i="1" s="1"/>
  <c r="V197" i="1"/>
  <c r="W197" i="1" s="1"/>
  <c r="R197" i="1"/>
  <c r="S197" i="1" s="1"/>
  <c r="T244" i="1"/>
  <c r="U244" i="1" s="1"/>
  <c r="R244" i="1"/>
  <c r="S244" i="1" s="1"/>
  <c r="P244" i="1"/>
  <c r="Q244" i="1" s="1"/>
  <c r="N244" i="1"/>
  <c r="O244" i="1" s="1"/>
  <c r="L244" i="1"/>
  <c r="M244" i="1" s="1"/>
  <c r="J244" i="1"/>
  <c r="K244" i="1" s="1"/>
  <c r="H244" i="1"/>
  <c r="I244" i="1" s="1"/>
  <c r="V244" i="1"/>
  <c r="W244" i="1" s="1"/>
  <c r="H162" i="1"/>
  <c r="I162" i="1" s="1"/>
  <c r="W162" i="1"/>
  <c r="U162" i="1"/>
  <c r="S162" i="1"/>
  <c r="Q162" i="1"/>
  <c r="O162" i="1"/>
  <c r="M162" i="1"/>
  <c r="K162" i="1"/>
  <c r="T167" i="1"/>
  <c r="U167" i="1" s="1"/>
  <c r="R167" i="1"/>
  <c r="S167" i="1" s="1"/>
  <c r="P167" i="1"/>
  <c r="Q167" i="1" s="1"/>
  <c r="N167" i="1"/>
  <c r="O167" i="1" s="1"/>
  <c r="L167" i="1"/>
  <c r="M167" i="1" s="1"/>
  <c r="J167" i="1"/>
  <c r="K167" i="1" s="1"/>
  <c r="H167" i="1"/>
  <c r="I167" i="1" s="1"/>
  <c r="J101" i="1"/>
  <c r="K101" i="1" s="1"/>
  <c r="H101" i="1"/>
  <c r="I101" i="1" s="1"/>
  <c r="V101" i="1"/>
  <c r="W101" i="1" s="1"/>
  <c r="T101" i="1"/>
  <c r="U101" i="1" s="1"/>
  <c r="R101" i="1"/>
  <c r="S101" i="1" s="1"/>
  <c r="P101" i="1"/>
  <c r="Q101" i="1" s="1"/>
  <c r="L101" i="1"/>
  <c r="M101" i="1" s="1"/>
  <c r="N101" i="1"/>
  <c r="O101" i="1" s="1"/>
  <c r="V219" i="1"/>
  <c r="W219" i="1" s="1"/>
  <c r="T219" i="1"/>
  <c r="U219" i="1" s="1"/>
  <c r="R219" i="1"/>
  <c r="S219" i="1" s="1"/>
  <c r="P219" i="1"/>
  <c r="Q219" i="1" s="1"/>
  <c r="N219" i="1"/>
  <c r="O219" i="1" s="1"/>
  <c r="L219" i="1"/>
  <c r="M219" i="1" s="1"/>
  <c r="J219" i="1"/>
  <c r="K219" i="1" s="1"/>
  <c r="V104" i="1"/>
  <c r="W104" i="1" s="1"/>
  <c r="T104" i="1"/>
  <c r="U104" i="1" s="1"/>
  <c r="R104" i="1"/>
  <c r="S104" i="1" s="1"/>
  <c r="P104" i="1"/>
  <c r="Q104" i="1" s="1"/>
  <c r="N104" i="1"/>
  <c r="O104" i="1" s="1"/>
  <c r="L104" i="1"/>
  <c r="M104" i="1" s="1"/>
  <c r="J104" i="1"/>
  <c r="K104" i="1" s="1"/>
  <c r="H104" i="1"/>
  <c r="I104" i="1" s="1"/>
  <c r="V223" i="1"/>
  <c r="T223" i="1"/>
  <c r="R223" i="1"/>
  <c r="S223" i="1" s="1"/>
  <c r="P223" i="1"/>
  <c r="Q223" i="1" s="1"/>
  <c r="N223" i="1"/>
  <c r="O223" i="1" s="1"/>
  <c r="L223" i="1"/>
  <c r="M223" i="1" s="1"/>
  <c r="J223" i="1"/>
  <c r="K223" i="1" s="1"/>
  <c r="H223" i="1"/>
  <c r="I223" i="1" s="1"/>
  <c r="G540" i="1"/>
  <c r="F388" i="1"/>
  <c r="V388" i="1" l="1"/>
  <c r="W388" i="1" s="1"/>
  <c r="T388" i="1"/>
  <c r="U388" i="1" s="1"/>
  <c r="R388" i="1"/>
  <c r="S388" i="1" s="1"/>
  <c r="P388" i="1"/>
  <c r="Q388" i="1" s="1"/>
  <c r="N388" i="1"/>
  <c r="O388" i="1" s="1"/>
  <c r="J388" i="1"/>
  <c r="K388" i="1" s="1"/>
  <c r="H388" i="1"/>
  <c r="I388" i="1" s="1"/>
  <c r="L388" i="1"/>
  <c r="M388" i="1" s="1"/>
  <c r="G388" i="1"/>
  <c r="F487" i="1" l="1"/>
  <c r="J487" i="1" l="1"/>
  <c r="K487" i="1" s="1"/>
  <c r="H487" i="1"/>
  <c r="I487" i="1" s="1"/>
  <c r="L487" i="1"/>
  <c r="M487" i="1" s="1"/>
  <c r="V487" i="1"/>
  <c r="W487" i="1" s="1"/>
  <c r="T487" i="1"/>
  <c r="U487" i="1" s="1"/>
  <c r="R487" i="1"/>
  <c r="S487" i="1" s="1"/>
  <c r="P487" i="1"/>
  <c r="Q487" i="1" s="1"/>
  <c r="N487" i="1"/>
  <c r="O487" i="1" s="1"/>
  <c r="G487" i="1"/>
  <c r="G363" i="1" l="1"/>
  <c r="P552" i="1" l="1"/>
  <c r="Q552" i="1" s="1"/>
  <c r="R552" i="1"/>
  <c r="S552" i="1" s="1"/>
  <c r="T552" i="1"/>
  <c r="U552" i="1" s="1"/>
  <c r="N552" i="1"/>
  <c r="O552" i="1" s="1"/>
  <c r="H552" i="1"/>
  <c r="I552" i="1" s="1"/>
  <c r="V552" i="1"/>
  <c r="W552" i="1" s="1"/>
  <c r="L552" i="1"/>
  <c r="M552" i="1" s="1"/>
  <c r="J552" i="1"/>
  <c r="K552" i="1" s="1"/>
  <c r="F509" i="1"/>
  <c r="G509" i="1" l="1"/>
  <c r="R509" i="1"/>
  <c r="S509" i="1" s="1"/>
  <c r="P509" i="1"/>
  <c r="Q509" i="1" s="1"/>
  <c r="N509" i="1"/>
  <c r="O509" i="1" s="1"/>
  <c r="L509" i="1"/>
  <c r="M509" i="1" s="1"/>
  <c r="J509" i="1"/>
  <c r="K509" i="1" s="1"/>
  <c r="H509" i="1"/>
  <c r="I509" i="1" s="1"/>
  <c r="T509" i="1"/>
  <c r="U509" i="1" s="1"/>
  <c r="V509" i="1"/>
  <c r="W509" i="1" s="1"/>
  <c r="G365" i="1" l="1"/>
  <c r="F361" i="1"/>
  <c r="V361" i="1" l="1"/>
  <c r="W361" i="1" s="1"/>
  <c r="N361" i="1"/>
  <c r="O361" i="1" s="1"/>
  <c r="T361" i="1"/>
  <c r="U361" i="1" s="1"/>
  <c r="L361" i="1"/>
  <c r="M361" i="1" s="1"/>
  <c r="P361" i="1"/>
  <c r="Q361" i="1" s="1"/>
  <c r="R361" i="1"/>
  <c r="S361" i="1" s="1"/>
  <c r="G361" i="1"/>
  <c r="P623" i="1" l="1"/>
  <c r="Q623" i="1" s="1"/>
  <c r="F248" i="1"/>
  <c r="L248" i="1" l="1"/>
  <c r="M248" i="1" s="1"/>
  <c r="J248" i="1"/>
  <c r="K248" i="1" s="1"/>
  <c r="H248" i="1"/>
  <c r="I248" i="1" s="1"/>
  <c r="V248" i="1"/>
  <c r="W248" i="1" s="1"/>
  <c r="T248" i="1"/>
  <c r="U248" i="1" s="1"/>
  <c r="P248" i="1"/>
  <c r="Q248" i="1" s="1"/>
  <c r="N248" i="1"/>
  <c r="O248" i="1" s="1"/>
  <c r="R248" i="1"/>
  <c r="S248" i="1" s="1"/>
  <c r="T523" i="1"/>
  <c r="U523" i="1" s="1"/>
  <c r="V523" i="1"/>
  <c r="W523" i="1" s="1"/>
  <c r="H523" i="1"/>
  <c r="I523" i="1" s="1"/>
  <c r="J523" i="1"/>
  <c r="K523" i="1" s="1"/>
  <c r="L523" i="1"/>
  <c r="M523" i="1" s="1"/>
  <c r="N523" i="1"/>
  <c r="O523" i="1" s="1"/>
  <c r="P523" i="1"/>
  <c r="Q523" i="1" s="1"/>
  <c r="R523" i="1"/>
  <c r="S523" i="1" s="1"/>
  <c r="T522" i="1"/>
  <c r="U522" i="1" s="1"/>
  <c r="V522" i="1"/>
  <c r="W522" i="1" s="1"/>
  <c r="H522" i="1"/>
  <c r="I522" i="1" s="1"/>
  <c r="J522" i="1"/>
  <c r="K522" i="1" s="1"/>
  <c r="L522" i="1"/>
  <c r="M522" i="1" s="1"/>
  <c r="N522" i="1"/>
  <c r="O522" i="1" s="1"/>
  <c r="R522" i="1"/>
  <c r="S522" i="1" s="1"/>
  <c r="P522" i="1"/>
  <c r="Q522" i="1" s="1"/>
  <c r="M623" i="1"/>
  <c r="V623" i="1"/>
  <c r="W623" i="1" s="1"/>
  <c r="G623" i="1"/>
  <c r="R623" i="1"/>
  <c r="S623" i="1" s="1"/>
  <c r="N623" i="1"/>
  <c r="O623" i="1" s="1"/>
  <c r="T623" i="1"/>
  <c r="U623" i="1" s="1"/>
  <c r="G523" i="1"/>
  <c r="G552" i="1"/>
  <c r="G101" i="1"/>
  <c r="G147" i="1"/>
  <c r="R630" i="1" l="1"/>
  <c r="R629" i="1"/>
  <c r="P630" i="1"/>
  <c r="P629" i="1"/>
  <c r="N630" i="1"/>
  <c r="N629" i="1"/>
  <c r="T629" i="1"/>
  <c r="T630" i="1"/>
  <c r="G428" i="1" l="1"/>
  <c r="V622" i="1"/>
  <c r="W622" i="1" s="1"/>
  <c r="G427" i="1"/>
  <c r="P622" i="1"/>
  <c r="Q622" i="1" s="1"/>
  <c r="R622" i="1"/>
  <c r="S622" i="1" s="1"/>
  <c r="N622" i="1"/>
  <c r="O622" i="1" s="1"/>
  <c r="T622" i="1"/>
  <c r="U622" i="1" s="1"/>
  <c r="G622" i="1"/>
  <c r="M622" i="1"/>
  <c r="F433" i="1"/>
  <c r="F430" i="1"/>
  <c r="F429" i="1"/>
  <c r="F432" i="1"/>
  <c r="P429" i="1" l="1"/>
  <c r="Q429" i="1" s="1"/>
  <c r="N429" i="1"/>
  <c r="O429" i="1" s="1"/>
  <c r="L429" i="1"/>
  <c r="M429" i="1" s="1"/>
  <c r="J429" i="1"/>
  <c r="K429" i="1" s="1"/>
  <c r="H429" i="1"/>
  <c r="I429" i="1" s="1"/>
  <c r="V429" i="1"/>
  <c r="W429" i="1" s="1"/>
  <c r="T429" i="1"/>
  <c r="U429" i="1" s="1"/>
  <c r="R429" i="1"/>
  <c r="S429" i="1" s="1"/>
  <c r="L430" i="1"/>
  <c r="M430" i="1" s="1"/>
  <c r="J430" i="1"/>
  <c r="K430" i="1" s="1"/>
  <c r="V430" i="1"/>
  <c r="W430" i="1" s="1"/>
  <c r="H430" i="1"/>
  <c r="I430" i="1" s="1"/>
  <c r="T430" i="1"/>
  <c r="U430" i="1" s="1"/>
  <c r="R430" i="1"/>
  <c r="S430" i="1" s="1"/>
  <c r="P430" i="1"/>
  <c r="Q430" i="1" s="1"/>
  <c r="N430" i="1"/>
  <c r="O430" i="1" s="1"/>
  <c r="V433" i="1"/>
  <c r="W433" i="1" s="1"/>
  <c r="T433" i="1"/>
  <c r="U433" i="1" s="1"/>
  <c r="L433" i="1"/>
  <c r="M433" i="1" s="1"/>
  <c r="J433" i="1"/>
  <c r="K433" i="1" s="1"/>
  <c r="H433" i="1"/>
  <c r="I433" i="1" s="1"/>
  <c r="R433" i="1"/>
  <c r="S433" i="1" s="1"/>
  <c r="P433" i="1"/>
  <c r="Q433" i="1" s="1"/>
  <c r="N433" i="1"/>
  <c r="O433" i="1" s="1"/>
  <c r="R432" i="1"/>
  <c r="S432" i="1" s="1"/>
  <c r="P432" i="1"/>
  <c r="Q432" i="1" s="1"/>
  <c r="V432" i="1"/>
  <c r="W432" i="1" s="1"/>
  <c r="T432" i="1"/>
  <c r="U432" i="1" s="1"/>
  <c r="N432" i="1"/>
  <c r="O432" i="1" s="1"/>
  <c r="L432" i="1"/>
  <c r="M432" i="1" s="1"/>
  <c r="J432" i="1"/>
  <c r="K432" i="1" s="1"/>
  <c r="H432" i="1"/>
  <c r="I432" i="1" s="1"/>
  <c r="G429" i="1"/>
  <c r="G430" i="1"/>
  <c r="G432" i="1"/>
  <c r="G433" i="1"/>
  <c r="G362" i="1" l="1"/>
  <c r="I309" i="1" l="1"/>
  <c r="S309" i="1" l="1"/>
  <c r="Q309" i="1"/>
  <c r="O309" i="1"/>
  <c r="M309" i="1"/>
  <c r="K309" i="1"/>
  <c r="U309" i="1"/>
  <c r="W309" i="1"/>
  <c r="W148" i="1"/>
  <c r="U148" i="1"/>
  <c r="S148" i="1"/>
  <c r="Q148" i="1"/>
  <c r="O148" i="1"/>
  <c r="M148" i="1"/>
  <c r="K148" i="1"/>
  <c r="W445" i="1"/>
  <c r="W444" i="1"/>
  <c r="W441" i="1"/>
  <c r="W440" i="1"/>
  <c r="U445" i="1"/>
  <c r="U444" i="1"/>
  <c r="U441" i="1"/>
  <c r="U440" i="1"/>
  <c r="S445" i="1"/>
  <c r="S444" i="1"/>
  <c r="S441" i="1"/>
  <c r="S440" i="1"/>
  <c r="Q445" i="1"/>
  <c r="Q444" i="1"/>
  <c r="Q441" i="1"/>
  <c r="Q440" i="1"/>
  <c r="O445" i="1"/>
  <c r="O444" i="1"/>
  <c r="O441" i="1"/>
  <c r="O440" i="1"/>
  <c r="G443" i="1"/>
  <c r="G444" i="1"/>
  <c r="G445" i="1"/>
  <c r="G442" i="1"/>
  <c r="G441" i="1"/>
  <c r="G440" i="1"/>
  <c r="F374" i="1" l="1"/>
  <c r="L374" i="1" l="1"/>
  <c r="M374" i="1" s="1"/>
  <c r="N374" i="1"/>
  <c r="O374" i="1" s="1"/>
  <c r="P374" i="1"/>
  <c r="Q374" i="1" s="1"/>
  <c r="V374" i="1"/>
  <c r="W374" i="1" s="1"/>
  <c r="R374" i="1"/>
  <c r="S374" i="1" s="1"/>
  <c r="T374" i="1"/>
  <c r="U374" i="1" s="1"/>
  <c r="F359" i="1"/>
  <c r="F357" i="1"/>
  <c r="T359" i="1" l="1"/>
  <c r="U359" i="1" s="1"/>
  <c r="V359" i="1"/>
  <c r="W359" i="1" s="1"/>
  <c r="L359" i="1"/>
  <c r="M359" i="1" s="1"/>
  <c r="R359" i="1"/>
  <c r="S359" i="1" s="1"/>
  <c r="N359" i="1"/>
  <c r="O359" i="1" s="1"/>
  <c r="P359" i="1"/>
  <c r="Q359" i="1" s="1"/>
  <c r="R357" i="1"/>
  <c r="S357" i="1" s="1"/>
  <c r="T357" i="1"/>
  <c r="U357" i="1" s="1"/>
  <c r="V357" i="1"/>
  <c r="W357" i="1" s="1"/>
  <c r="L357" i="1"/>
  <c r="M357" i="1" s="1"/>
  <c r="N357" i="1"/>
  <c r="O357" i="1" s="1"/>
  <c r="P357" i="1"/>
  <c r="Q357" i="1" s="1"/>
  <c r="G337" i="1"/>
  <c r="U321" i="1" l="1"/>
  <c r="S321" i="1"/>
  <c r="W321" i="1"/>
  <c r="M321" i="1"/>
  <c r="O321" i="1"/>
  <c r="Q321" i="1"/>
  <c r="F471" i="1"/>
  <c r="R471" i="1" l="1"/>
  <c r="J471" i="1"/>
  <c r="V471" i="1"/>
  <c r="N471" i="1"/>
  <c r="L471" i="1"/>
  <c r="T471" i="1"/>
  <c r="P471" i="1"/>
  <c r="H471" i="1"/>
  <c r="M128" i="1"/>
  <c r="F510" i="1" l="1"/>
  <c r="R510" i="1" l="1"/>
  <c r="S510" i="1" s="1"/>
  <c r="P510" i="1"/>
  <c r="Q510" i="1" s="1"/>
  <c r="N510" i="1"/>
  <c r="O510" i="1" s="1"/>
  <c r="L510" i="1"/>
  <c r="M510" i="1" s="1"/>
  <c r="T510" i="1"/>
  <c r="U510" i="1" s="1"/>
  <c r="J510" i="1"/>
  <c r="K510" i="1" s="1"/>
  <c r="H510" i="1"/>
  <c r="I510" i="1" s="1"/>
  <c r="V510" i="1"/>
  <c r="W510" i="1" s="1"/>
  <c r="I19" i="1"/>
  <c r="I20" i="1"/>
  <c r="F394" i="1"/>
  <c r="R394" i="1" l="1"/>
  <c r="S394" i="1" s="1"/>
  <c r="P394" i="1"/>
  <c r="Q394" i="1" s="1"/>
  <c r="L394" i="1"/>
  <c r="M394" i="1" s="1"/>
  <c r="J394" i="1"/>
  <c r="K394" i="1" s="1"/>
  <c r="H394" i="1"/>
  <c r="I394" i="1" s="1"/>
  <c r="V394" i="1"/>
  <c r="W394" i="1" s="1"/>
  <c r="T394" i="1"/>
  <c r="U394" i="1" s="1"/>
  <c r="N394" i="1"/>
  <c r="O394" i="1" s="1"/>
  <c r="G282" i="1"/>
  <c r="G301" i="1"/>
  <c r="F501" i="1" l="1"/>
  <c r="F503" i="1"/>
  <c r="F502" i="1"/>
  <c r="V503" i="1" l="1"/>
  <c r="W503" i="1" s="1"/>
  <c r="T503" i="1"/>
  <c r="U503" i="1" s="1"/>
  <c r="R503" i="1"/>
  <c r="S503" i="1" s="1"/>
  <c r="P503" i="1"/>
  <c r="Q503" i="1" s="1"/>
  <c r="N503" i="1"/>
  <c r="O503" i="1" s="1"/>
  <c r="L503" i="1"/>
  <c r="M503" i="1" s="1"/>
  <c r="J503" i="1"/>
  <c r="K503" i="1" s="1"/>
  <c r="H503" i="1"/>
  <c r="I503" i="1" s="1"/>
  <c r="T501" i="1"/>
  <c r="U501" i="1" s="1"/>
  <c r="R501" i="1"/>
  <c r="S501" i="1" s="1"/>
  <c r="P501" i="1"/>
  <c r="Q501" i="1" s="1"/>
  <c r="N501" i="1"/>
  <c r="O501" i="1" s="1"/>
  <c r="L501" i="1"/>
  <c r="M501" i="1" s="1"/>
  <c r="J501" i="1"/>
  <c r="K501" i="1" s="1"/>
  <c r="H501" i="1"/>
  <c r="I501" i="1" s="1"/>
  <c r="V501" i="1"/>
  <c r="W501" i="1" s="1"/>
  <c r="L502" i="1"/>
  <c r="M502" i="1" s="1"/>
  <c r="J502" i="1"/>
  <c r="K502" i="1" s="1"/>
  <c r="H502" i="1"/>
  <c r="I502" i="1" s="1"/>
  <c r="V502" i="1"/>
  <c r="W502" i="1" s="1"/>
  <c r="T502" i="1"/>
  <c r="U502" i="1" s="1"/>
  <c r="R502" i="1"/>
  <c r="S502" i="1" s="1"/>
  <c r="P502" i="1"/>
  <c r="Q502" i="1" s="1"/>
  <c r="N502" i="1"/>
  <c r="O502" i="1" s="1"/>
  <c r="G501" i="1"/>
  <c r="G353" i="1"/>
  <c r="F373" i="1" l="1"/>
  <c r="F368" i="1"/>
  <c r="F348" i="1"/>
  <c r="F174" i="1"/>
  <c r="F173" i="1"/>
  <c r="F172" i="1"/>
  <c r="F171" i="1"/>
  <c r="H171" i="1" s="1"/>
  <c r="F170" i="1"/>
  <c r="F169" i="1"/>
  <c r="L368" i="1" l="1"/>
  <c r="M368" i="1" s="1"/>
  <c r="P368" i="1"/>
  <c r="Q368" i="1" s="1"/>
  <c r="R368" i="1"/>
  <c r="S368" i="1" s="1"/>
  <c r="T368" i="1"/>
  <c r="U368" i="1" s="1"/>
  <c r="V368" i="1"/>
  <c r="W368" i="1" s="1"/>
  <c r="N368" i="1"/>
  <c r="O368" i="1" s="1"/>
  <c r="L348" i="1"/>
  <c r="M348" i="1" s="1"/>
  <c r="T348" i="1"/>
  <c r="R348" i="1"/>
  <c r="P348" i="1"/>
  <c r="Q348" i="1" s="1"/>
  <c r="N348" i="1"/>
  <c r="O348" i="1" s="1"/>
  <c r="T373" i="1"/>
  <c r="U373" i="1" s="1"/>
  <c r="V373" i="1"/>
  <c r="W373" i="1" s="1"/>
  <c r="R373" i="1"/>
  <c r="S373" i="1" s="1"/>
  <c r="N373" i="1"/>
  <c r="O373" i="1" s="1"/>
  <c r="P373" i="1"/>
  <c r="Q373" i="1" s="1"/>
  <c r="T173" i="1"/>
  <c r="U173" i="1" s="1"/>
  <c r="N173" i="1"/>
  <c r="O173" i="1" s="1"/>
  <c r="R173" i="1"/>
  <c r="S173" i="1" s="1"/>
  <c r="H173" i="1"/>
  <c r="I173" i="1" s="1"/>
  <c r="P173" i="1"/>
  <c r="Q173" i="1" s="1"/>
  <c r="L173" i="1"/>
  <c r="M173" i="1" s="1"/>
  <c r="J173" i="1"/>
  <c r="K173" i="1" s="1"/>
  <c r="T169" i="1"/>
  <c r="U169" i="1" s="1"/>
  <c r="N169" i="1"/>
  <c r="O169" i="1" s="1"/>
  <c r="L169" i="1"/>
  <c r="M169" i="1" s="1"/>
  <c r="H169" i="1"/>
  <c r="I169" i="1" s="1"/>
  <c r="R169" i="1"/>
  <c r="S169" i="1" s="1"/>
  <c r="P169" i="1"/>
  <c r="Q169" i="1" s="1"/>
  <c r="J169" i="1"/>
  <c r="K169" i="1" s="1"/>
  <c r="L170" i="1"/>
  <c r="M170" i="1" s="1"/>
  <c r="J170" i="1"/>
  <c r="K170" i="1" s="1"/>
  <c r="H170" i="1"/>
  <c r="I170" i="1" s="1"/>
  <c r="N170" i="1"/>
  <c r="O170" i="1" s="1"/>
  <c r="T170" i="1"/>
  <c r="U170" i="1" s="1"/>
  <c r="R170" i="1"/>
  <c r="S170" i="1" s="1"/>
  <c r="P170" i="1"/>
  <c r="Q170" i="1" s="1"/>
  <c r="L172" i="1"/>
  <c r="M172" i="1" s="1"/>
  <c r="N172" i="1"/>
  <c r="O172" i="1" s="1"/>
  <c r="P172" i="1"/>
  <c r="Q172" i="1" s="1"/>
  <c r="R172" i="1"/>
  <c r="T172" i="1"/>
  <c r="J172" i="1"/>
  <c r="T174" i="1"/>
  <c r="U174" i="1" s="1"/>
  <c r="R174" i="1"/>
  <c r="S174" i="1" s="1"/>
  <c r="P174" i="1"/>
  <c r="Q174" i="1" s="1"/>
  <c r="N174" i="1"/>
  <c r="O174" i="1" s="1"/>
  <c r="L174" i="1"/>
  <c r="M174" i="1" s="1"/>
  <c r="J174" i="1"/>
  <c r="K174" i="1" s="1"/>
  <c r="H174" i="1"/>
  <c r="I174" i="1" s="1"/>
  <c r="L171" i="1"/>
  <c r="R171" i="1"/>
  <c r="P171" i="1"/>
  <c r="N171" i="1"/>
  <c r="J171" i="1"/>
  <c r="S172" i="1"/>
  <c r="K172" i="1"/>
  <c r="U172" i="1"/>
  <c r="U348" i="1"/>
  <c r="S348" i="1"/>
  <c r="T171" i="1"/>
  <c r="F371" i="1" l="1"/>
  <c r="R371" i="1" l="1"/>
  <c r="S371" i="1" s="1"/>
  <c r="T371" i="1"/>
  <c r="U371" i="1" s="1"/>
  <c r="V371" i="1"/>
  <c r="W371" i="1" s="1"/>
  <c r="L371" i="1"/>
  <c r="M371" i="1" s="1"/>
  <c r="N371" i="1"/>
  <c r="O371" i="1" s="1"/>
  <c r="P371" i="1"/>
  <c r="Q371" i="1" s="1"/>
  <c r="F257" i="1"/>
  <c r="F256" i="1"/>
  <c r="F247" i="1"/>
  <c r="F243" i="1"/>
  <c r="F222" i="1"/>
  <c r="H204" i="1"/>
  <c r="F164" i="1"/>
  <c r="H164" i="1" s="1"/>
  <c r="I164" i="1" s="1"/>
  <c r="V245" i="1" l="1"/>
  <c r="W245" i="1" s="1"/>
  <c r="T245" i="1"/>
  <c r="U245" i="1" s="1"/>
  <c r="R245" i="1"/>
  <c r="S245" i="1" s="1"/>
  <c r="P245" i="1"/>
  <c r="Q245" i="1" s="1"/>
  <c r="N245" i="1"/>
  <c r="O245" i="1" s="1"/>
  <c r="L245" i="1"/>
  <c r="M245" i="1" s="1"/>
  <c r="J245" i="1"/>
  <c r="K245" i="1" s="1"/>
  <c r="H245" i="1"/>
  <c r="I245" i="1" s="1"/>
  <c r="J247" i="1"/>
  <c r="K247" i="1" s="1"/>
  <c r="H247" i="1"/>
  <c r="I247" i="1" s="1"/>
  <c r="V247" i="1"/>
  <c r="W247" i="1" s="1"/>
  <c r="T247" i="1"/>
  <c r="U247" i="1" s="1"/>
  <c r="R247" i="1"/>
  <c r="S247" i="1" s="1"/>
  <c r="P247" i="1"/>
  <c r="Q247" i="1" s="1"/>
  <c r="N247" i="1"/>
  <c r="O247" i="1" s="1"/>
  <c r="L247" i="1"/>
  <c r="M247" i="1" s="1"/>
  <c r="V204" i="1"/>
  <c r="W204" i="1" s="1"/>
  <c r="T204" i="1"/>
  <c r="U204" i="1" s="1"/>
  <c r="R204" i="1"/>
  <c r="S204" i="1" s="1"/>
  <c r="P204" i="1"/>
  <c r="Q204" i="1" s="1"/>
  <c r="N204" i="1"/>
  <c r="O204" i="1" s="1"/>
  <c r="L204" i="1"/>
  <c r="M204" i="1" s="1"/>
  <c r="J204" i="1"/>
  <c r="K204" i="1" s="1"/>
  <c r="I204" i="1"/>
  <c r="V217" i="1"/>
  <c r="W217" i="1" s="1"/>
  <c r="T217" i="1"/>
  <c r="U217" i="1" s="1"/>
  <c r="R217" i="1"/>
  <c r="S217" i="1" s="1"/>
  <c r="P217" i="1"/>
  <c r="Q217" i="1" s="1"/>
  <c r="N217" i="1"/>
  <c r="O217" i="1" s="1"/>
  <c r="J217" i="1"/>
  <c r="K217" i="1" s="1"/>
  <c r="L217" i="1"/>
  <c r="M217" i="1" s="1"/>
  <c r="R103" i="1"/>
  <c r="S103" i="1" s="1"/>
  <c r="P103" i="1"/>
  <c r="Q103" i="1" s="1"/>
  <c r="N103" i="1"/>
  <c r="O103" i="1" s="1"/>
  <c r="L103" i="1"/>
  <c r="M103" i="1" s="1"/>
  <c r="J103" i="1"/>
  <c r="K103" i="1" s="1"/>
  <c r="H103" i="1"/>
  <c r="I103" i="1" s="1"/>
  <c r="T103" i="1"/>
  <c r="U103" i="1" s="1"/>
  <c r="V103" i="1"/>
  <c r="W103" i="1" s="1"/>
  <c r="J222" i="1"/>
  <c r="K222" i="1" s="1"/>
  <c r="H222" i="1"/>
  <c r="I222" i="1" s="1"/>
  <c r="R256" i="1"/>
  <c r="S256" i="1" s="1"/>
  <c r="P256" i="1"/>
  <c r="Q256" i="1" s="1"/>
  <c r="N256" i="1"/>
  <c r="O256" i="1" s="1"/>
  <c r="L256" i="1"/>
  <c r="M256" i="1" s="1"/>
  <c r="V256" i="1"/>
  <c r="W256" i="1" s="1"/>
  <c r="J256" i="1"/>
  <c r="K256" i="1" s="1"/>
  <c r="H256" i="1"/>
  <c r="I256" i="1" s="1"/>
  <c r="T256" i="1"/>
  <c r="U256" i="1" s="1"/>
  <c r="L243" i="1"/>
  <c r="M243" i="1" s="1"/>
  <c r="J243" i="1"/>
  <c r="K243" i="1" s="1"/>
  <c r="H243" i="1"/>
  <c r="I243" i="1" s="1"/>
  <c r="V243" i="1"/>
  <c r="W243" i="1" s="1"/>
  <c r="T243" i="1"/>
  <c r="U243" i="1" s="1"/>
  <c r="P243" i="1"/>
  <c r="Q243" i="1" s="1"/>
  <c r="R243" i="1"/>
  <c r="S243" i="1" s="1"/>
  <c r="N243" i="1"/>
  <c r="O243" i="1" s="1"/>
  <c r="L253" i="1"/>
  <c r="M253" i="1" s="1"/>
  <c r="J253" i="1"/>
  <c r="K253" i="1" s="1"/>
  <c r="H253" i="1"/>
  <c r="I253" i="1" s="1"/>
  <c r="V253" i="1"/>
  <c r="W253" i="1" s="1"/>
  <c r="T253" i="1"/>
  <c r="U253" i="1" s="1"/>
  <c r="R253" i="1"/>
  <c r="S253" i="1" s="1"/>
  <c r="P253" i="1"/>
  <c r="Q253" i="1" s="1"/>
  <c r="N253" i="1"/>
  <c r="O253" i="1" s="1"/>
  <c r="T257" i="1"/>
  <c r="U257" i="1" s="1"/>
  <c r="R257" i="1"/>
  <c r="S257" i="1" s="1"/>
  <c r="P257" i="1"/>
  <c r="Q257" i="1" s="1"/>
  <c r="N257" i="1"/>
  <c r="O257" i="1" s="1"/>
  <c r="L257" i="1"/>
  <c r="M257" i="1" s="1"/>
  <c r="J257" i="1"/>
  <c r="K257" i="1" s="1"/>
  <c r="H257" i="1"/>
  <c r="I257" i="1" s="1"/>
  <c r="V257" i="1"/>
  <c r="W257" i="1" s="1"/>
  <c r="V221" i="1"/>
  <c r="W221" i="1" s="1"/>
  <c r="T221" i="1"/>
  <c r="U221" i="1" s="1"/>
  <c r="R221" i="1"/>
  <c r="S221" i="1" s="1"/>
  <c r="P221" i="1"/>
  <c r="Q221" i="1" s="1"/>
  <c r="N221" i="1"/>
  <c r="O221" i="1" s="1"/>
  <c r="L221" i="1"/>
  <c r="M221" i="1" s="1"/>
  <c r="J221" i="1"/>
  <c r="K221" i="1" s="1"/>
  <c r="L231" i="1"/>
  <c r="M231" i="1" s="1"/>
  <c r="J231" i="1"/>
  <c r="K231" i="1" s="1"/>
  <c r="H231" i="1"/>
  <c r="I231" i="1" s="1"/>
  <c r="V231" i="1"/>
  <c r="W231" i="1" s="1"/>
  <c r="T231" i="1"/>
  <c r="U231" i="1" s="1"/>
  <c r="R231" i="1"/>
  <c r="S231" i="1" s="1"/>
  <c r="P231" i="1"/>
  <c r="Q231" i="1" s="1"/>
  <c r="N231" i="1"/>
  <c r="O231" i="1" s="1"/>
  <c r="J102" i="1"/>
  <c r="K102" i="1" s="1"/>
  <c r="H102" i="1"/>
  <c r="I102" i="1" s="1"/>
  <c r="V102" i="1"/>
  <c r="W102" i="1" s="1"/>
  <c r="T102" i="1"/>
  <c r="U102" i="1" s="1"/>
  <c r="R102" i="1"/>
  <c r="S102" i="1" s="1"/>
  <c r="L102" i="1"/>
  <c r="M102" i="1" s="1"/>
  <c r="P102" i="1"/>
  <c r="Q102" i="1" s="1"/>
  <c r="N102" i="1"/>
  <c r="O102" i="1" s="1"/>
  <c r="V100" i="1"/>
  <c r="W100" i="1" s="1"/>
  <c r="T100" i="1"/>
  <c r="U100" i="1" s="1"/>
  <c r="R100" i="1"/>
  <c r="S100" i="1" s="1"/>
  <c r="P100" i="1"/>
  <c r="Q100" i="1" s="1"/>
  <c r="N100" i="1"/>
  <c r="O100" i="1" s="1"/>
  <c r="L100" i="1"/>
  <c r="M100" i="1" s="1"/>
  <c r="J100" i="1"/>
  <c r="K100" i="1" s="1"/>
  <c r="H100" i="1"/>
  <c r="L220" i="1"/>
  <c r="M220" i="1" s="1"/>
  <c r="J220" i="1"/>
  <c r="K220" i="1" s="1"/>
  <c r="V220" i="1"/>
  <c r="W220" i="1" s="1"/>
  <c r="T220" i="1"/>
  <c r="U220" i="1" s="1"/>
  <c r="R220" i="1"/>
  <c r="S220" i="1" s="1"/>
  <c r="P220" i="1"/>
  <c r="Q220" i="1" s="1"/>
  <c r="N220" i="1"/>
  <c r="O220" i="1" s="1"/>
  <c r="J230" i="1"/>
  <c r="K230" i="1" s="1"/>
  <c r="H230" i="1"/>
  <c r="I230" i="1" s="1"/>
  <c r="V230" i="1"/>
  <c r="W230" i="1" s="1"/>
  <c r="T230" i="1"/>
  <c r="U230" i="1" s="1"/>
  <c r="R230" i="1"/>
  <c r="S230" i="1" s="1"/>
  <c r="P230" i="1"/>
  <c r="Q230" i="1" s="1"/>
  <c r="N230" i="1"/>
  <c r="O230" i="1" s="1"/>
  <c r="L230" i="1"/>
  <c r="M230" i="1" s="1"/>
  <c r="V233" i="1"/>
  <c r="W233" i="1" s="1"/>
  <c r="T233" i="1"/>
  <c r="U233" i="1" s="1"/>
  <c r="R233" i="1"/>
  <c r="S233" i="1" s="1"/>
  <c r="P233" i="1"/>
  <c r="Q233" i="1" s="1"/>
  <c r="N233" i="1"/>
  <c r="O233" i="1" s="1"/>
  <c r="L233" i="1"/>
  <c r="M233" i="1" s="1"/>
  <c r="H233" i="1"/>
  <c r="I233" i="1" s="1"/>
  <c r="J233" i="1"/>
  <c r="K233" i="1" s="1"/>
  <c r="T216" i="1"/>
  <c r="U216" i="1" s="1"/>
  <c r="R216" i="1"/>
  <c r="S216" i="1" s="1"/>
  <c r="P216" i="1"/>
  <c r="Q216" i="1" s="1"/>
  <c r="N216" i="1"/>
  <c r="O216" i="1" s="1"/>
  <c r="L216" i="1"/>
  <c r="M216" i="1" s="1"/>
  <c r="J216" i="1"/>
  <c r="K216" i="1" s="1"/>
  <c r="V216" i="1"/>
  <c r="W216" i="1" s="1"/>
  <c r="J164" i="1"/>
  <c r="K164" i="1" s="1"/>
  <c r="P218" i="1"/>
  <c r="Q218" i="1" s="1"/>
  <c r="N218" i="1"/>
  <c r="O218" i="1" s="1"/>
  <c r="L218" i="1"/>
  <c r="M218" i="1" s="1"/>
  <c r="J218" i="1"/>
  <c r="K218" i="1" s="1"/>
  <c r="V218" i="1"/>
  <c r="W218" i="1" s="1"/>
  <c r="T218" i="1"/>
  <c r="U218" i="1" s="1"/>
  <c r="R218" i="1"/>
  <c r="S218" i="1" s="1"/>
  <c r="V242" i="1"/>
  <c r="W242" i="1" s="1"/>
  <c r="T242" i="1"/>
  <c r="U242" i="1" s="1"/>
  <c r="R242" i="1"/>
  <c r="S242" i="1" s="1"/>
  <c r="P242" i="1"/>
  <c r="Q242" i="1" s="1"/>
  <c r="N242" i="1"/>
  <c r="O242" i="1" s="1"/>
  <c r="L242" i="1"/>
  <c r="M242" i="1" s="1"/>
  <c r="H242" i="1"/>
  <c r="I242" i="1" s="1"/>
  <c r="J242" i="1"/>
  <c r="K242" i="1" s="1"/>
  <c r="F129" i="1"/>
  <c r="F130" i="1"/>
  <c r="F634" i="1"/>
  <c r="F379" i="1"/>
  <c r="R379" i="1" l="1"/>
  <c r="S379" i="1" s="1"/>
  <c r="T379" i="1"/>
  <c r="U379" i="1" s="1"/>
  <c r="V379" i="1"/>
  <c r="W379" i="1" s="1"/>
  <c r="L379" i="1"/>
  <c r="M379" i="1" s="1"/>
  <c r="N379" i="1"/>
  <c r="O379" i="1" s="1"/>
  <c r="P379" i="1"/>
  <c r="Q379" i="1" s="1"/>
  <c r="V130" i="1"/>
  <c r="W130" i="1" s="1"/>
  <c r="J130" i="1"/>
  <c r="K130" i="1" s="1"/>
  <c r="T130" i="1"/>
  <c r="U130" i="1" s="1"/>
  <c r="R130" i="1"/>
  <c r="S130" i="1" s="1"/>
  <c r="P130" i="1"/>
  <c r="Q130" i="1" s="1"/>
  <c r="N130" i="1"/>
  <c r="O130" i="1" s="1"/>
  <c r="L130" i="1"/>
  <c r="M130" i="1" s="1"/>
  <c r="N129" i="1"/>
  <c r="O129" i="1" s="1"/>
  <c r="L129" i="1"/>
  <c r="M129" i="1" s="1"/>
  <c r="J129" i="1"/>
  <c r="K129" i="1" s="1"/>
  <c r="T634" i="1"/>
  <c r="U634" i="1" s="1"/>
  <c r="R634" i="1"/>
  <c r="S634" i="1" s="1"/>
  <c r="P634" i="1"/>
  <c r="Q634" i="1" s="1"/>
  <c r="N634" i="1"/>
  <c r="O634" i="1" s="1"/>
  <c r="L634" i="1"/>
  <c r="M634" i="1" s="1"/>
  <c r="J634" i="1"/>
  <c r="K634" i="1" s="1"/>
  <c r="G369" i="1"/>
  <c r="G377" i="1"/>
  <c r="F624" i="1"/>
  <c r="L624" i="1" s="1"/>
  <c r="V624" i="1" l="1"/>
  <c r="T624" i="1"/>
  <c r="R624" i="1"/>
  <c r="P624" i="1"/>
  <c r="N624" i="1"/>
  <c r="F413" i="1"/>
  <c r="F425" i="1"/>
  <c r="O650" i="1"/>
  <c r="L626" i="1"/>
  <c r="F556" i="1"/>
  <c r="N425" i="1" l="1"/>
  <c r="O425" i="1" s="1"/>
  <c r="H425" i="1"/>
  <c r="I425" i="1" s="1"/>
  <c r="V425" i="1"/>
  <c r="W425" i="1" s="1"/>
  <c r="R425" i="1"/>
  <c r="S425" i="1" s="1"/>
  <c r="P425" i="1"/>
  <c r="Q425" i="1" s="1"/>
  <c r="L425" i="1"/>
  <c r="M425" i="1" s="1"/>
  <c r="J425" i="1"/>
  <c r="K425" i="1" s="1"/>
  <c r="T425" i="1"/>
  <c r="U425" i="1" s="1"/>
  <c r="N105" i="1"/>
  <c r="O105" i="1" s="1"/>
  <c r="L105" i="1"/>
  <c r="M105" i="1" s="1"/>
  <c r="J105" i="1"/>
  <c r="K105" i="1" s="1"/>
  <c r="T105" i="1"/>
  <c r="U105" i="1" s="1"/>
  <c r="R105" i="1"/>
  <c r="S105" i="1" s="1"/>
  <c r="P105" i="1"/>
  <c r="Q105" i="1" s="1"/>
  <c r="H547" i="1"/>
  <c r="I547" i="1" s="1"/>
  <c r="V547" i="1"/>
  <c r="W547" i="1" s="1"/>
  <c r="T547" i="1"/>
  <c r="U547" i="1" s="1"/>
  <c r="J547" i="1"/>
  <c r="K547" i="1" s="1"/>
  <c r="L547" i="1"/>
  <c r="M547" i="1" s="1"/>
  <c r="R547" i="1"/>
  <c r="S547" i="1" s="1"/>
  <c r="N547" i="1"/>
  <c r="O547" i="1" s="1"/>
  <c r="P547" i="1"/>
  <c r="Q547" i="1" s="1"/>
  <c r="L196" i="1"/>
  <c r="M196" i="1" s="1"/>
  <c r="J196" i="1"/>
  <c r="K196" i="1" s="1"/>
  <c r="V196" i="1"/>
  <c r="W196" i="1" s="1"/>
  <c r="T196" i="1"/>
  <c r="U196" i="1" s="1"/>
  <c r="R196" i="1"/>
  <c r="S196" i="1" s="1"/>
  <c r="N196" i="1"/>
  <c r="O196" i="1" s="1"/>
  <c r="P196" i="1"/>
  <c r="Q196" i="1" s="1"/>
  <c r="N413" i="1"/>
  <c r="O413" i="1" s="1"/>
  <c r="J413" i="1"/>
  <c r="K413" i="1" s="1"/>
  <c r="T413" i="1"/>
  <c r="U413" i="1" s="1"/>
  <c r="P413" i="1"/>
  <c r="Q413" i="1" s="1"/>
  <c r="L413" i="1"/>
  <c r="M413" i="1" s="1"/>
  <c r="V413" i="1"/>
  <c r="W413" i="1" s="1"/>
  <c r="R413" i="1"/>
  <c r="S413" i="1" s="1"/>
  <c r="P489" i="1"/>
  <c r="Q489" i="1" s="1"/>
  <c r="N489" i="1"/>
  <c r="O489" i="1" s="1"/>
  <c r="R489" i="1"/>
  <c r="S489" i="1" s="1"/>
  <c r="L489" i="1"/>
  <c r="M489" i="1" s="1"/>
  <c r="J489" i="1"/>
  <c r="K489" i="1" s="1"/>
  <c r="H489" i="1"/>
  <c r="I489" i="1" s="1"/>
  <c r="T489" i="1"/>
  <c r="U489" i="1" s="1"/>
  <c r="V489" i="1"/>
  <c r="W489" i="1" s="1"/>
  <c r="T529" i="1"/>
  <c r="U529" i="1" s="1"/>
  <c r="V529" i="1"/>
  <c r="W529" i="1" s="1"/>
  <c r="H529" i="1"/>
  <c r="I529" i="1" s="1"/>
  <c r="J529" i="1"/>
  <c r="K529" i="1" s="1"/>
  <c r="P529" i="1"/>
  <c r="Q529" i="1" s="1"/>
  <c r="L529" i="1"/>
  <c r="M529" i="1" s="1"/>
  <c r="N529" i="1"/>
  <c r="O529" i="1" s="1"/>
  <c r="R529" i="1"/>
  <c r="S529" i="1" s="1"/>
  <c r="T532" i="1"/>
  <c r="U532" i="1" s="1"/>
  <c r="V532" i="1"/>
  <c r="W532" i="1" s="1"/>
  <c r="R532" i="1"/>
  <c r="S532" i="1" s="1"/>
  <c r="H532" i="1"/>
  <c r="I532" i="1" s="1"/>
  <c r="P532" i="1"/>
  <c r="Q532" i="1" s="1"/>
  <c r="J532" i="1"/>
  <c r="K532" i="1" s="1"/>
  <c r="L532" i="1"/>
  <c r="M532" i="1" s="1"/>
  <c r="N532" i="1"/>
  <c r="O532" i="1" s="1"/>
  <c r="N556" i="1"/>
  <c r="O556" i="1" s="1"/>
  <c r="L556" i="1"/>
  <c r="M556" i="1" s="1"/>
  <c r="J556" i="1"/>
  <c r="K556" i="1" s="1"/>
  <c r="H556" i="1"/>
  <c r="I556" i="1" s="1"/>
  <c r="T556" i="1"/>
  <c r="U556" i="1" s="1"/>
  <c r="V556" i="1"/>
  <c r="W556" i="1" s="1"/>
  <c r="R556" i="1"/>
  <c r="S556" i="1" s="1"/>
  <c r="P556" i="1"/>
  <c r="Q556" i="1" s="1"/>
  <c r="V189" i="1"/>
  <c r="W189" i="1" s="1"/>
  <c r="T189" i="1"/>
  <c r="U189" i="1" s="1"/>
  <c r="R189" i="1"/>
  <c r="S189" i="1" s="1"/>
  <c r="P189" i="1"/>
  <c r="Q189" i="1" s="1"/>
  <c r="N189" i="1"/>
  <c r="O189" i="1" s="1"/>
  <c r="L189" i="1"/>
  <c r="M189" i="1" s="1"/>
  <c r="J189" i="1"/>
  <c r="K189" i="1" s="1"/>
  <c r="H189" i="1"/>
  <c r="I189" i="1" s="1"/>
  <c r="T530" i="1"/>
  <c r="U530" i="1" s="1"/>
  <c r="V530" i="1"/>
  <c r="W530" i="1" s="1"/>
  <c r="H530" i="1"/>
  <c r="I530" i="1" s="1"/>
  <c r="J530" i="1"/>
  <c r="K530" i="1" s="1"/>
  <c r="L530" i="1"/>
  <c r="M530" i="1" s="1"/>
  <c r="N530" i="1"/>
  <c r="O530" i="1" s="1"/>
  <c r="P530" i="1"/>
  <c r="Q530" i="1" s="1"/>
  <c r="R530" i="1"/>
  <c r="S530" i="1" s="1"/>
  <c r="V548" i="1"/>
  <c r="W548" i="1" s="1"/>
  <c r="T548" i="1"/>
  <c r="U548" i="1" s="1"/>
  <c r="H548" i="1"/>
  <c r="I548" i="1" s="1"/>
  <c r="J548" i="1"/>
  <c r="K548" i="1" s="1"/>
  <c r="L548" i="1"/>
  <c r="M548" i="1" s="1"/>
  <c r="R548" i="1"/>
  <c r="S548" i="1" s="1"/>
  <c r="N548" i="1"/>
  <c r="O548" i="1" s="1"/>
  <c r="P548" i="1"/>
  <c r="Q548" i="1" s="1"/>
  <c r="V105" i="1"/>
  <c r="W105" i="1" s="1"/>
  <c r="H105" i="1"/>
  <c r="I105" i="1" s="1"/>
  <c r="R494" i="1"/>
  <c r="S494" i="1" s="1"/>
  <c r="J494" i="1"/>
  <c r="K494" i="1" s="1"/>
  <c r="T494" i="1"/>
  <c r="U494" i="1" s="1"/>
  <c r="P494" i="1"/>
  <c r="Q494" i="1" s="1"/>
  <c r="N494" i="1"/>
  <c r="O494" i="1" s="1"/>
  <c r="L494" i="1"/>
  <c r="M494" i="1" s="1"/>
  <c r="V494" i="1"/>
  <c r="W494" i="1" s="1"/>
  <c r="N488" i="1"/>
  <c r="L488" i="1"/>
  <c r="J488" i="1"/>
  <c r="H488" i="1"/>
  <c r="R488" i="1"/>
  <c r="P488" i="1"/>
  <c r="T488" i="1"/>
  <c r="V488" i="1"/>
  <c r="V492" i="1"/>
  <c r="W492" i="1" s="1"/>
  <c r="L492" i="1"/>
  <c r="M492" i="1" s="1"/>
  <c r="T492" i="1"/>
  <c r="U492" i="1" s="1"/>
  <c r="R492" i="1"/>
  <c r="S492" i="1" s="1"/>
  <c r="P492" i="1"/>
  <c r="Q492" i="1" s="1"/>
  <c r="N492" i="1"/>
  <c r="O492" i="1" s="1"/>
  <c r="J492" i="1"/>
  <c r="K492" i="1" s="1"/>
  <c r="H492" i="1"/>
  <c r="I492" i="1" s="1"/>
  <c r="N504" i="1"/>
  <c r="O504" i="1" s="1"/>
  <c r="L504" i="1"/>
  <c r="M504" i="1" s="1"/>
  <c r="J504" i="1"/>
  <c r="K504" i="1" s="1"/>
  <c r="V504" i="1"/>
  <c r="W504" i="1" s="1"/>
  <c r="H504" i="1"/>
  <c r="I504" i="1" s="1"/>
  <c r="T504" i="1"/>
  <c r="U504" i="1" s="1"/>
  <c r="R504" i="1"/>
  <c r="S504" i="1" s="1"/>
  <c r="P504" i="1"/>
  <c r="Q504" i="1" s="1"/>
  <c r="V511" i="1"/>
  <c r="W511" i="1" s="1"/>
  <c r="T511" i="1"/>
  <c r="U511" i="1" s="1"/>
  <c r="R511" i="1"/>
  <c r="S511" i="1" s="1"/>
  <c r="P511" i="1"/>
  <c r="Q511" i="1" s="1"/>
  <c r="N511" i="1"/>
  <c r="O511" i="1" s="1"/>
  <c r="L511" i="1"/>
  <c r="M511" i="1" s="1"/>
  <c r="J511" i="1"/>
  <c r="K511" i="1" s="1"/>
  <c r="H511" i="1"/>
  <c r="I511" i="1" s="1"/>
  <c r="T626" i="1"/>
  <c r="R626" i="1"/>
  <c r="P626" i="1"/>
  <c r="N626" i="1"/>
  <c r="G307" i="1" l="1"/>
  <c r="F186" i="1" l="1"/>
  <c r="V186" i="1" l="1"/>
  <c r="W186" i="1" s="1"/>
  <c r="T186" i="1"/>
  <c r="U186" i="1" s="1"/>
  <c r="R186" i="1"/>
  <c r="S186" i="1" s="1"/>
  <c r="P186" i="1"/>
  <c r="Q186" i="1" s="1"/>
  <c r="N186" i="1"/>
  <c r="O186" i="1" s="1"/>
  <c r="L186" i="1"/>
  <c r="M186" i="1" s="1"/>
  <c r="G306" i="1"/>
  <c r="O344" i="1" l="1"/>
  <c r="M344" i="1"/>
  <c r="K344" i="1"/>
  <c r="H344" i="1"/>
  <c r="I344" i="1" s="1"/>
  <c r="F342" i="1"/>
  <c r="N342" i="1" l="1"/>
  <c r="O342" i="1" s="1"/>
  <c r="P342" i="1"/>
  <c r="Q342" i="1" s="1"/>
  <c r="R342" i="1"/>
  <c r="S342" i="1" s="1"/>
  <c r="T342" i="1"/>
  <c r="U342" i="1" s="1"/>
  <c r="V342" i="1"/>
  <c r="W342" i="1" s="1"/>
  <c r="L342" i="1"/>
  <c r="M342" i="1" s="1"/>
  <c r="G635" i="1"/>
  <c r="G505" i="1" l="1"/>
  <c r="G504" i="1" l="1"/>
  <c r="G494" i="1" l="1"/>
  <c r="H494" i="1"/>
  <c r="I494" i="1" s="1"/>
  <c r="G489" i="1"/>
  <c r="I488" i="1"/>
  <c r="M488" i="1" l="1"/>
  <c r="K488" i="1"/>
  <c r="Q488" i="1"/>
  <c r="S488" i="1"/>
  <c r="U488" i="1"/>
  <c r="W488" i="1"/>
  <c r="O488" i="1"/>
  <c r="G488" i="1"/>
  <c r="G251" i="1" l="1"/>
  <c r="G248" i="1"/>
  <c r="G233" i="1" l="1"/>
  <c r="G230" i="1"/>
  <c r="G555" i="1" l="1"/>
  <c r="G556" i="1"/>
  <c r="G470" i="1" l="1"/>
  <c r="G198" i="1" l="1"/>
  <c r="G197" i="1" l="1"/>
  <c r="G213" i="1"/>
  <c r="G533" i="1" l="1"/>
  <c r="G532" i="1"/>
  <c r="G531" i="1"/>
  <c r="G554" i="1" l="1"/>
  <c r="G352" i="1" l="1"/>
  <c r="F407" i="1"/>
  <c r="R407" i="1" l="1"/>
  <c r="S407" i="1" s="1"/>
  <c r="P407" i="1"/>
  <c r="Q407" i="1" s="1"/>
  <c r="L407" i="1"/>
  <c r="M407" i="1" s="1"/>
  <c r="J407" i="1"/>
  <c r="K407" i="1" s="1"/>
  <c r="H407" i="1"/>
  <c r="I407" i="1" s="1"/>
  <c r="V407" i="1"/>
  <c r="W407" i="1" s="1"/>
  <c r="T407" i="1"/>
  <c r="U407" i="1" s="1"/>
  <c r="N407" i="1"/>
  <c r="O407" i="1" s="1"/>
  <c r="G232" i="1"/>
  <c r="G364" i="1" l="1"/>
  <c r="G173" i="1" l="1"/>
  <c r="G174" i="1"/>
  <c r="U171" i="1"/>
  <c r="G166" i="1" l="1"/>
  <c r="G170" i="1"/>
  <c r="G172" i="1"/>
  <c r="I171" i="1"/>
  <c r="S171" i="1"/>
  <c r="Q171" i="1"/>
  <c r="M171" i="1"/>
  <c r="G171" i="1"/>
  <c r="K171" i="1"/>
  <c r="O171" i="1"/>
  <c r="G169" i="1"/>
  <c r="G167" i="1"/>
  <c r="G165" i="1"/>
  <c r="I165" i="1"/>
  <c r="G410" i="1" l="1"/>
  <c r="G300" i="1" l="1"/>
  <c r="G538" i="1" l="1"/>
  <c r="W558" i="1" l="1"/>
  <c r="U558" i="1"/>
  <c r="S558" i="1"/>
  <c r="Q558" i="1"/>
  <c r="O558" i="1"/>
  <c r="M558" i="1"/>
  <c r="K558" i="1"/>
  <c r="I558" i="1"/>
  <c r="W514" i="1" l="1"/>
  <c r="U514" i="1"/>
  <c r="S514" i="1"/>
  <c r="Q514" i="1"/>
  <c r="O514" i="1"/>
  <c r="M514" i="1"/>
  <c r="K514" i="1"/>
  <c r="I514" i="1"/>
  <c r="W36" i="1" l="1"/>
  <c r="U36" i="1"/>
  <c r="S36" i="1"/>
  <c r="Q36" i="1"/>
  <c r="O36" i="1"/>
  <c r="W57" i="1"/>
  <c r="U57" i="1"/>
  <c r="S57" i="1"/>
  <c r="Q57" i="1"/>
  <c r="O57" i="1"/>
  <c r="M57" i="1"/>
  <c r="J57" i="1"/>
  <c r="K57" i="1" s="1"/>
  <c r="W56" i="1"/>
  <c r="U56" i="1"/>
  <c r="S56" i="1"/>
  <c r="Q56" i="1"/>
  <c r="O56" i="1"/>
  <c r="M56" i="1"/>
  <c r="J56" i="1"/>
  <c r="K56" i="1" s="1"/>
  <c r="W55" i="1"/>
  <c r="U55" i="1"/>
  <c r="S55" i="1"/>
  <c r="Q55" i="1"/>
  <c r="O55" i="1"/>
  <c r="M55" i="1"/>
  <c r="J55" i="1"/>
  <c r="K55" i="1" s="1"/>
  <c r="J54" i="1"/>
  <c r="G61" i="1"/>
  <c r="U13" i="1"/>
  <c r="S13" i="1"/>
  <c r="Q13" i="1"/>
  <c r="O13" i="1"/>
  <c r="M13" i="1"/>
  <c r="K13" i="1"/>
  <c r="Q28" i="1"/>
  <c r="U20" i="1"/>
  <c r="S20" i="1"/>
  <c r="Q20" i="1"/>
  <c r="O20" i="1"/>
  <c r="M20" i="1"/>
  <c r="K20" i="1"/>
  <c r="U19" i="1"/>
  <c r="S19" i="1"/>
  <c r="Q19" i="1"/>
  <c r="O19" i="1"/>
  <c r="M19" i="1"/>
  <c r="U28" i="1" l="1"/>
  <c r="S28" i="1"/>
  <c r="K28" i="1"/>
  <c r="M28" i="1"/>
  <c r="O28" i="1"/>
  <c r="G283" i="1" l="1"/>
  <c r="G259" i="1" l="1"/>
  <c r="G407" i="1" l="1"/>
  <c r="G257" i="1"/>
  <c r="G245" i="1"/>
  <c r="G250" i="1" l="1"/>
  <c r="G493" i="1" l="1"/>
  <c r="G492" i="1" l="1"/>
  <c r="G184" i="1"/>
  <c r="G183" i="1"/>
  <c r="G180" i="1"/>
  <c r="G178" i="1"/>
  <c r="G177" i="1"/>
  <c r="G176" i="1"/>
  <c r="G175" i="1"/>
  <c r="W178" i="1"/>
  <c r="W177" i="1"/>
  <c r="W176" i="1"/>
  <c r="W175" i="1"/>
  <c r="U175" i="1"/>
  <c r="S175" i="1"/>
  <c r="Q175" i="1"/>
  <c r="O175" i="1"/>
  <c r="I224" i="1"/>
  <c r="K616" i="1"/>
  <c r="G182" i="1" l="1"/>
  <c r="G181" i="1"/>
  <c r="W180" i="1"/>
  <c r="G185" i="1"/>
  <c r="G542" i="1"/>
  <c r="I653" i="1" l="1"/>
  <c r="I652" i="1"/>
  <c r="I650" i="1"/>
  <c r="I651" i="1"/>
  <c r="W650" i="1"/>
  <c r="U650" i="1"/>
  <c r="S650" i="1"/>
  <c r="Q650" i="1"/>
  <c r="M650" i="1"/>
  <c r="K650" i="1"/>
  <c r="W513" i="1" l="1"/>
  <c r="U513" i="1" l="1"/>
  <c r="I513" i="1"/>
  <c r="M513" i="1"/>
  <c r="Q513" i="1"/>
  <c r="K513" i="1"/>
  <c r="O513" i="1"/>
  <c r="S513" i="1"/>
  <c r="G491" i="1" l="1"/>
  <c r="G490" i="1"/>
  <c r="Q349" i="1" l="1"/>
  <c r="O349" i="1"/>
  <c r="M349" i="1"/>
  <c r="U349" i="1"/>
  <c r="S349" i="1"/>
  <c r="K343" i="1"/>
  <c r="W343" i="1"/>
  <c r="Q343" i="1"/>
  <c r="I343" i="1"/>
  <c r="S343" i="1"/>
  <c r="M343" i="1"/>
  <c r="U343" i="1"/>
  <c r="O343" i="1"/>
  <c r="K311" i="1" l="1"/>
  <c r="H255" i="1" l="1"/>
  <c r="I255" i="1" s="1"/>
  <c r="W223" i="1"/>
  <c r="U223" i="1"/>
  <c r="V469" i="1" l="1"/>
  <c r="T469" i="1"/>
  <c r="R469" i="1"/>
  <c r="P469" i="1"/>
  <c r="N469" i="1"/>
  <c r="I469" i="1"/>
  <c r="W471" i="1"/>
  <c r="U471" i="1"/>
  <c r="S471" i="1"/>
  <c r="Q471" i="1"/>
  <c r="O471" i="1"/>
  <c r="M471" i="1"/>
  <c r="K471" i="1"/>
  <c r="I471" i="1"/>
  <c r="I567" i="1"/>
  <c r="G231" i="1" l="1"/>
  <c r="G539" i="1" l="1"/>
  <c r="G548" i="1" l="1"/>
  <c r="G545" i="1"/>
  <c r="G547" i="1"/>
  <c r="G526" i="1" l="1"/>
  <c r="S519" i="1" l="1"/>
  <c r="Q519" i="1"/>
  <c r="W519" i="1"/>
  <c r="O519" i="1"/>
  <c r="U519" i="1"/>
  <c r="M519" i="1"/>
  <c r="K519" i="1"/>
  <c r="G521" i="1"/>
  <c r="G530" i="1"/>
  <c r="G522" i="1" l="1"/>
  <c r="G529" i="1"/>
  <c r="G525" i="1"/>
  <c r="I519" i="1"/>
  <c r="G546" i="1"/>
  <c r="G544" i="1"/>
  <c r="G543" i="1"/>
  <c r="G537" i="1"/>
  <c r="G536" i="1"/>
  <c r="G535" i="1"/>
  <c r="G534" i="1"/>
  <c r="G524" i="1"/>
  <c r="G519" i="1"/>
  <c r="G285" i="1" l="1"/>
  <c r="G382" i="1" l="1"/>
  <c r="G284" i="1" l="1"/>
  <c r="G308" i="1"/>
  <c r="G298" i="1"/>
  <c r="G296" i="1"/>
  <c r="G297" i="1"/>
  <c r="I15" i="1"/>
  <c r="I16" i="1"/>
  <c r="G16" i="1"/>
  <c r="G15" i="1"/>
  <c r="N16" i="1"/>
  <c r="G46" i="1"/>
  <c r="G45" i="1"/>
  <c r="W44" i="1"/>
  <c r="U44" i="1"/>
  <c r="S44" i="1"/>
  <c r="Q44" i="1"/>
  <c r="O44" i="1"/>
  <c r="G44" i="1"/>
  <c r="G128" i="1"/>
  <c r="G155" i="1" l="1"/>
  <c r="G220" i="1" l="1"/>
  <c r="G386" i="1" l="1"/>
  <c r="G633" i="1" l="1"/>
  <c r="U628" i="1" l="1"/>
  <c r="K628" i="1"/>
  <c r="S628" i="1"/>
  <c r="Q628" i="1"/>
  <c r="O628" i="1"/>
  <c r="M628" i="1"/>
  <c r="G628" i="1"/>
  <c r="U630" i="1"/>
  <c r="S630" i="1"/>
  <c r="Q630" i="1"/>
  <c r="O630" i="1"/>
  <c r="M630" i="1"/>
  <c r="K630" i="1"/>
  <c r="G630" i="1"/>
  <c r="G419" i="1" l="1"/>
  <c r="G418" i="1"/>
  <c r="Q58" i="1" l="1"/>
  <c r="M58" i="1"/>
  <c r="K58" i="1"/>
  <c r="W58" i="1"/>
  <c r="U58" i="1"/>
  <c r="S58" i="1"/>
  <c r="O58" i="1"/>
  <c r="G58" i="1"/>
  <c r="G338" i="1" l="1"/>
  <c r="G222" i="1" l="1"/>
  <c r="G354" i="1" l="1"/>
  <c r="G293" i="1"/>
  <c r="G224" i="1" l="1"/>
  <c r="G225" i="1"/>
  <c r="G227" i="1" l="1"/>
  <c r="I646" i="1" l="1"/>
  <c r="K646" i="1"/>
  <c r="W646" i="1"/>
  <c r="U646" i="1"/>
  <c r="S646" i="1"/>
  <c r="Q646" i="1"/>
  <c r="O646" i="1"/>
  <c r="M646" i="1"/>
  <c r="W645" i="1"/>
  <c r="U645" i="1"/>
  <c r="S645" i="1"/>
  <c r="Q645" i="1"/>
  <c r="O645" i="1"/>
  <c r="M645" i="1"/>
  <c r="S651" i="1"/>
  <c r="U651" i="1"/>
  <c r="W651" i="1"/>
  <c r="S652" i="1"/>
  <c r="U652" i="1"/>
  <c r="W652" i="1"/>
  <c r="S653" i="1"/>
  <c r="U653" i="1"/>
  <c r="W653" i="1"/>
  <c r="Q653" i="1"/>
  <c r="O653" i="1"/>
  <c r="M653" i="1"/>
  <c r="K653" i="1"/>
  <c r="I100" i="1" l="1"/>
  <c r="M125" i="1" l="1"/>
  <c r="M121" i="1"/>
  <c r="M120" i="1"/>
  <c r="M116" i="1"/>
  <c r="M115" i="1"/>
  <c r="O110" i="1"/>
  <c r="O109" i="1"/>
  <c r="Q75" i="1" l="1"/>
  <c r="Q74" i="1"/>
  <c r="Q72" i="1"/>
  <c r="Q70" i="1"/>
  <c r="Q71" i="1"/>
  <c r="U629" i="1" l="1"/>
  <c r="S629" i="1"/>
  <c r="Q629" i="1"/>
  <c r="O629" i="1"/>
  <c r="M629" i="1"/>
  <c r="W624" i="1"/>
  <c r="U624" i="1"/>
  <c r="S624" i="1"/>
  <c r="Q624" i="1"/>
  <c r="O624" i="1"/>
  <c r="M624" i="1"/>
  <c r="W469" i="1"/>
  <c r="U469" i="1"/>
  <c r="S469" i="1"/>
  <c r="Q469" i="1"/>
  <c r="O469" i="1"/>
  <c r="M469" i="1"/>
  <c r="K469" i="1"/>
  <c r="Q435" i="1"/>
  <c r="Q416" i="1"/>
  <c r="Q414" i="1"/>
  <c r="G617" i="1" l="1"/>
  <c r="G616" i="1"/>
  <c r="O214" i="1" l="1"/>
  <c r="K214" i="1"/>
  <c r="Q179" i="1"/>
  <c r="W144" i="1" l="1"/>
  <c r="U144" i="1"/>
  <c r="S144" i="1"/>
  <c r="Q144" i="1"/>
  <c r="O144" i="1"/>
  <c r="M144" i="1"/>
  <c r="K144" i="1"/>
  <c r="Q125" i="1"/>
  <c r="Q121" i="1"/>
  <c r="Q120" i="1"/>
  <c r="Q116" i="1"/>
  <c r="Q115" i="1"/>
  <c r="Q111" i="1"/>
  <c r="Q110" i="1"/>
  <c r="Q109" i="1"/>
  <c r="Q108" i="1"/>
  <c r="Q107" i="1"/>
  <c r="K106" i="1"/>
  <c r="K54" i="1"/>
  <c r="Q54" i="1"/>
  <c r="Q127" i="1" l="1"/>
  <c r="Q47" i="1" l="1"/>
  <c r="Q41" i="1"/>
  <c r="Q39" i="1"/>
  <c r="Q38" i="1"/>
  <c r="Q35" i="1"/>
  <c r="Q30" i="1"/>
  <c r="G510" i="1" l="1"/>
  <c r="G221" i="1"/>
  <c r="G235" i="1" l="1"/>
  <c r="G208" i="1"/>
  <c r="G425" i="1" l="1"/>
  <c r="G380" i="1" l="1"/>
  <c r="G413" i="1"/>
  <c r="G290" i="1"/>
  <c r="G359" i="1"/>
  <c r="G358" i="1"/>
  <c r="Q143" i="1"/>
  <c r="Q142" i="1"/>
  <c r="W39" i="1"/>
  <c r="W112" i="1" l="1"/>
  <c r="O112" i="1"/>
  <c r="G130" i="1" l="1"/>
  <c r="G254" i="1" l="1"/>
  <c r="G188" i="1"/>
  <c r="G286" i="1" l="1"/>
  <c r="G379" i="1"/>
  <c r="O72" i="1" l="1"/>
  <c r="G203" i="1"/>
  <c r="G291" i="1" l="1"/>
  <c r="W70" i="1" l="1"/>
  <c r="U70" i="1"/>
  <c r="S70" i="1"/>
  <c r="O70" i="1"/>
  <c r="G287" i="1"/>
  <c r="G371" i="1" l="1"/>
  <c r="G163" i="1" l="1"/>
  <c r="G342" i="1" l="1"/>
  <c r="G634" i="1"/>
  <c r="G636" i="1"/>
  <c r="G423" i="1" l="1"/>
  <c r="G495" i="1" l="1"/>
  <c r="G40" i="1" l="1"/>
  <c r="U39" i="1"/>
  <c r="S39" i="1"/>
  <c r="O39" i="1"/>
  <c r="G39" i="1"/>
  <c r="G288" i="1" l="1"/>
  <c r="I566" i="1" l="1"/>
  <c r="G243" i="1" l="1"/>
  <c r="G247" i="1" l="1"/>
  <c r="G244" i="1"/>
  <c r="G164" i="1" l="1"/>
  <c r="G575" i="1" l="1"/>
  <c r="G574" i="1"/>
  <c r="G573" i="1"/>
  <c r="V99" i="1" l="1"/>
  <c r="T99" i="1"/>
  <c r="R99" i="1"/>
  <c r="N99" i="1"/>
  <c r="K99" i="1"/>
  <c r="G391" i="1" l="1"/>
  <c r="G503" i="1" l="1"/>
  <c r="G204" i="1" l="1"/>
  <c r="G459" i="1" l="1"/>
  <c r="G394" i="1"/>
  <c r="I677" i="1" l="1"/>
  <c r="M127" i="1"/>
  <c r="W125" i="1"/>
  <c r="W121" i="1"/>
  <c r="W120" i="1"/>
  <c r="W116" i="1"/>
  <c r="W115" i="1"/>
  <c r="U125" i="1"/>
  <c r="U121" i="1"/>
  <c r="U120" i="1"/>
  <c r="U116" i="1"/>
  <c r="U115" i="1"/>
  <c r="S125" i="1"/>
  <c r="S121" i="1"/>
  <c r="S116" i="1"/>
  <c r="S115" i="1"/>
  <c r="O116" i="1"/>
  <c r="O120" i="1"/>
  <c r="O121" i="1"/>
  <c r="O125" i="1"/>
  <c r="O115" i="1"/>
  <c r="W107" i="1"/>
  <c r="W108" i="1"/>
  <c r="W109" i="1"/>
  <c r="W110" i="1"/>
  <c r="U107" i="1"/>
  <c r="U108" i="1"/>
  <c r="U109" i="1"/>
  <c r="U110" i="1"/>
  <c r="S107" i="1"/>
  <c r="S108" i="1"/>
  <c r="S109" i="1"/>
  <c r="S110" i="1"/>
  <c r="W127" i="1" l="1"/>
  <c r="G512" i="1" l="1"/>
  <c r="G511" i="1"/>
  <c r="G498" i="1"/>
  <c r="G500" i="1"/>
  <c r="G508" i="1"/>
  <c r="G507" i="1"/>
  <c r="G452" i="1" l="1"/>
  <c r="G385" i="1" l="1"/>
  <c r="G289" i="1" l="1"/>
  <c r="G305" i="1"/>
  <c r="G292" i="1"/>
  <c r="G304" i="1" l="1"/>
  <c r="G303" i="1"/>
  <c r="G219" i="1" l="1"/>
  <c r="G10" i="1"/>
  <c r="G210" i="1" l="1"/>
  <c r="G624" i="1" l="1"/>
  <c r="G211" i="1" l="1"/>
  <c r="O35" i="1"/>
  <c r="G187" i="1" l="1"/>
  <c r="G274" i="1" l="1"/>
  <c r="G276" i="1"/>
  <c r="G275" i="1"/>
  <c r="G383" i="1" l="1"/>
  <c r="G384" i="1"/>
  <c r="S41" i="1" l="1"/>
  <c r="G112" i="1" l="1"/>
  <c r="G449" i="1" l="1"/>
  <c r="G632" i="1" l="1"/>
  <c r="G629" i="1"/>
  <c r="G273" i="1"/>
  <c r="G212" i="1"/>
  <c r="G209" i="1"/>
  <c r="G207" i="1"/>
  <c r="G201" i="1"/>
  <c r="G202" i="1"/>
  <c r="G200" i="1"/>
  <c r="G106" i="1"/>
  <c r="G65" i="1"/>
  <c r="G23" i="1"/>
  <c r="G21" i="1"/>
  <c r="G22" i="1"/>
  <c r="G376" i="1" l="1"/>
  <c r="U414" i="1" l="1"/>
  <c r="S414" i="1"/>
  <c r="M414" i="1"/>
  <c r="O414" i="1"/>
  <c r="G414" i="1"/>
  <c r="J457" i="1" l="1"/>
  <c r="J455" i="1"/>
  <c r="J454" i="1"/>
  <c r="J453" i="1"/>
  <c r="J456" i="1"/>
  <c r="J452" i="1"/>
  <c r="W111" i="1" l="1"/>
  <c r="U111" i="1"/>
  <c r="S111" i="1"/>
  <c r="O111" i="1"/>
  <c r="G20" i="1"/>
  <c r="K19" i="1"/>
  <c r="G416" i="1"/>
  <c r="M416" i="1"/>
  <c r="O416" i="1"/>
  <c r="S416" i="1"/>
  <c r="U416" i="1"/>
  <c r="W349" i="1"/>
  <c r="G154" i="1"/>
  <c r="G263" i="1" l="1"/>
  <c r="G266" i="1" l="1"/>
  <c r="G25" i="1" l="1"/>
  <c r="G502" i="1" l="1"/>
  <c r="G55" i="1" l="1"/>
  <c r="G57" i="1"/>
  <c r="O30" i="1"/>
  <c r="G59" i="1"/>
  <c r="U30" i="1" l="1"/>
  <c r="G196" i="1"/>
  <c r="W564" i="1" l="1"/>
  <c r="U564" i="1"/>
  <c r="S564" i="1"/>
  <c r="Q564" i="1"/>
  <c r="O564" i="1"/>
  <c r="M564" i="1"/>
  <c r="K564" i="1"/>
  <c r="G28" i="1"/>
  <c r="G309" i="1"/>
  <c r="O127" i="1"/>
  <c r="S127" i="1"/>
  <c r="U127" i="1"/>
  <c r="G302" i="1" l="1"/>
  <c r="G571" i="1" l="1"/>
  <c r="G13" i="1" l="1"/>
  <c r="G471" i="1" l="1"/>
  <c r="G146" i="1" l="1"/>
  <c r="G114" i="1"/>
  <c r="G113" i="1"/>
  <c r="G12" i="1"/>
  <c r="G19" i="1"/>
  <c r="G30" i="1"/>
  <c r="S30" i="1"/>
  <c r="W30" i="1"/>
  <c r="G31" i="1"/>
  <c r="G32" i="1"/>
  <c r="G33" i="1"/>
  <c r="G34" i="1"/>
  <c r="G35" i="1"/>
  <c r="S35" i="1"/>
  <c r="U35" i="1"/>
  <c r="W35" i="1"/>
  <c r="G36" i="1"/>
  <c r="G37" i="1"/>
  <c r="G38" i="1"/>
  <c r="O38" i="1"/>
  <c r="S38" i="1"/>
  <c r="U38" i="1"/>
  <c r="W38" i="1"/>
  <c r="G41" i="1"/>
  <c r="O41" i="1"/>
  <c r="U41" i="1"/>
  <c r="W41" i="1"/>
  <c r="G42" i="1"/>
  <c r="G43" i="1"/>
  <c r="G47" i="1"/>
  <c r="O47" i="1"/>
  <c r="S47" i="1"/>
  <c r="U47" i="1"/>
  <c r="W47" i="1"/>
  <c r="G48" i="1"/>
  <c r="G49" i="1"/>
  <c r="G54" i="1"/>
  <c r="M54" i="1"/>
  <c r="O54" i="1"/>
  <c r="S54" i="1"/>
  <c r="U54" i="1"/>
  <c r="W54" i="1"/>
  <c r="G56" i="1"/>
  <c r="G60" i="1"/>
  <c r="G66" i="1"/>
  <c r="G69" i="1"/>
  <c r="O71" i="1"/>
  <c r="S71" i="1"/>
  <c r="U71" i="1"/>
  <c r="W71" i="1"/>
  <c r="S72" i="1"/>
  <c r="U72" i="1"/>
  <c r="W72" i="1"/>
  <c r="M74" i="1"/>
  <c r="O74" i="1"/>
  <c r="S74" i="1"/>
  <c r="U74" i="1"/>
  <c r="M75" i="1"/>
  <c r="O75" i="1"/>
  <c r="S75" i="1"/>
  <c r="U75" i="1"/>
  <c r="G96" i="1"/>
  <c r="K96" i="1"/>
  <c r="M96" i="1"/>
  <c r="N96" i="1"/>
  <c r="G97" i="1"/>
  <c r="G98" i="1"/>
  <c r="G99" i="1"/>
  <c r="G100" i="1"/>
  <c r="G102" i="1"/>
  <c r="G103" i="1"/>
  <c r="G104" i="1"/>
  <c r="G105" i="1"/>
  <c r="G111" i="1"/>
  <c r="G127" i="1"/>
  <c r="G129" i="1"/>
  <c r="G138" i="1"/>
  <c r="Q138" i="1"/>
  <c r="G139" i="1"/>
  <c r="Q139" i="1"/>
  <c r="G142" i="1"/>
  <c r="G143" i="1"/>
  <c r="G148" i="1"/>
  <c r="G161" i="1"/>
  <c r="G162" i="1"/>
  <c r="G179" i="1"/>
  <c r="M179" i="1"/>
  <c r="O179" i="1"/>
  <c r="S179" i="1"/>
  <c r="U179" i="1"/>
  <c r="W179" i="1"/>
  <c r="G186" i="1"/>
  <c r="G189" i="1"/>
  <c r="G206" i="1"/>
  <c r="G214" i="1"/>
  <c r="G215" i="1"/>
  <c r="M215" i="1"/>
  <c r="P215" i="1"/>
  <c r="G216" i="1"/>
  <c r="G217" i="1"/>
  <c r="G218" i="1"/>
  <c r="G223" i="1"/>
  <c r="G242" i="1"/>
  <c r="G253" i="1"/>
  <c r="G255" i="1"/>
  <c r="G256" i="1"/>
  <c r="G258" i="1"/>
  <c r="G260" i="1"/>
  <c r="G261" i="1"/>
  <c r="G262" i="1"/>
  <c r="G264" i="1"/>
  <c r="G265" i="1"/>
  <c r="G277" i="1"/>
  <c r="G278" i="1"/>
  <c r="G310" i="1"/>
  <c r="G311" i="1"/>
  <c r="G312" i="1"/>
  <c r="G313" i="1"/>
  <c r="G314" i="1"/>
  <c r="G315" i="1"/>
  <c r="G321" i="1"/>
  <c r="G322" i="1"/>
  <c r="G323" i="1"/>
  <c r="G324" i="1"/>
  <c r="G325" i="1"/>
  <c r="G326" i="1"/>
  <c r="G327" i="1"/>
  <c r="G328" i="1"/>
  <c r="G329" i="1"/>
  <c r="G330" i="1"/>
  <c r="G331" i="1"/>
  <c r="G332" i="1"/>
  <c r="G333" i="1"/>
  <c r="G334" i="1"/>
  <c r="G335" i="1"/>
  <c r="G336" i="1"/>
  <c r="G339" i="1"/>
  <c r="G340" i="1"/>
  <c r="G341" i="1"/>
  <c r="G343" i="1"/>
  <c r="G344" i="1"/>
  <c r="G348" i="1"/>
  <c r="G349" i="1"/>
  <c r="G350" i="1"/>
  <c r="G351" i="1"/>
  <c r="G355" i="1"/>
  <c r="G356" i="1"/>
  <c r="G357" i="1"/>
  <c r="G360" i="1"/>
  <c r="G366" i="1"/>
  <c r="G367" i="1"/>
  <c r="G368" i="1"/>
  <c r="G370" i="1"/>
  <c r="G372" i="1"/>
  <c r="G373" i="1"/>
  <c r="G374" i="1"/>
  <c r="G375" i="1"/>
  <c r="G387" i="1"/>
  <c r="G389" i="1"/>
  <c r="G393" i="1"/>
  <c r="G395" i="1"/>
  <c r="G401" i="1"/>
  <c r="G417" i="1"/>
  <c r="G424" i="1"/>
  <c r="G435" i="1"/>
  <c r="O435" i="1"/>
  <c r="S435" i="1"/>
  <c r="U435" i="1"/>
  <c r="W435" i="1"/>
  <c r="G436" i="1"/>
  <c r="G437" i="1"/>
  <c r="G438" i="1"/>
  <c r="G439" i="1"/>
  <c r="G446" i="1"/>
  <c r="G447" i="1"/>
  <c r="G450" i="1"/>
  <c r="G453" i="1"/>
  <c r="G454" i="1"/>
  <c r="G455" i="1"/>
  <c r="G456" i="1"/>
  <c r="G457" i="1"/>
  <c r="G460" i="1"/>
  <c r="G461" i="1"/>
  <c r="G462" i="1"/>
  <c r="G464" i="1"/>
  <c r="G465" i="1"/>
  <c r="G467" i="1"/>
  <c r="G468" i="1"/>
  <c r="G469" i="1"/>
  <c r="G506" i="1"/>
  <c r="G626" i="1"/>
  <c r="M626" i="1"/>
  <c r="O626" i="1"/>
  <c r="Q626" i="1"/>
  <c r="S626" i="1"/>
  <c r="U626" i="1"/>
  <c r="M643" i="1"/>
  <c r="O643" i="1"/>
  <c r="Q643" i="1"/>
  <c r="S643" i="1"/>
  <c r="U643" i="1"/>
  <c r="W643" i="1"/>
  <c r="K644" i="1"/>
  <c r="M644" i="1"/>
  <c r="O644" i="1"/>
  <c r="Q644" i="1"/>
  <c r="S644" i="1"/>
  <c r="U644" i="1"/>
  <c r="W644" i="1"/>
  <c r="K651" i="1"/>
  <c r="M651" i="1"/>
  <c r="O651" i="1"/>
  <c r="Q651" i="1"/>
  <c r="K652" i="1"/>
  <c r="M652" i="1"/>
  <c r="O652" i="1"/>
  <c r="Q652" i="1"/>
  <c r="M655" i="1"/>
  <c r="Q655" i="1"/>
  <c r="I676" i="1"/>
</calcChain>
</file>

<file path=xl/comments1.xml><?xml version="1.0" encoding="utf-8"?>
<comments xmlns="http://schemas.openxmlformats.org/spreadsheetml/2006/main">
  <authors>
    <author>Usuario</author>
  </authors>
  <commentList>
    <comment ref="B14" authorId="0" shapeId="0">
      <text>
        <r>
          <rPr>
            <b/>
            <sz val="9"/>
            <color indexed="81"/>
            <rFont val="Tahoma"/>
            <charset val="1"/>
          </rPr>
          <t>CONSULTAR ADICIONAL POR IMPRESIÓN DE LOGO EN LA CAJA</t>
        </r>
      </text>
    </comment>
    <comment ref="B482" authorId="0" shapeId="0">
      <text>
        <r>
          <rPr>
            <b/>
            <sz val="9"/>
            <color indexed="81"/>
            <rFont val="Tahoma"/>
            <family val="2"/>
          </rPr>
          <t>LOGO FULL COLOR</t>
        </r>
      </text>
    </comment>
    <comment ref="B483" authorId="0" shapeId="0">
      <text>
        <r>
          <rPr>
            <b/>
            <sz val="9"/>
            <color indexed="81"/>
            <rFont val="Tahoma"/>
            <family val="2"/>
          </rPr>
          <t>LOGO 200cm2
Por estampado de logo de mayor tamaño solicitar cotización</t>
        </r>
      </text>
    </comment>
    <comment ref="B484" authorId="0" shapeId="0">
      <text>
        <r>
          <rPr>
            <b/>
            <sz val="9"/>
            <color indexed="81"/>
            <rFont val="Tahoma"/>
            <family val="2"/>
          </rPr>
          <t>LOGO 200cm2
Por estampado de logo de mayor tamaño solicitar cotización</t>
        </r>
      </text>
    </comment>
    <comment ref="B485" authorId="0" shapeId="0">
      <text>
        <r>
          <rPr>
            <b/>
            <sz val="9"/>
            <color indexed="81"/>
            <rFont val="Tahoma"/>
            <family val="2"/>
          </rPr>
          <t>LOGO FULL COLOR TAMAÑO A4</t>
        </r>
      </text>
    </comment>
    <comment ref="B486" authorId="0" shapeId="0">
      <text>
        <r>
          <rPr>
            <b/>
            <sz val="9"/>
            <color indexed="81"/>
            <rFont val="Tahoma"/>
            <family val="2"/>
          </rPr>
          <t>LOGO 200cm2
Por estampado de logo de mayor tamaño solicitar cotización</t>
        </r>
      </text>
    </comment>
    <comment ref="B487" authorId="0" shapeId="0">
      <text>
        <r>
          <rPr>
            <b/>
            <sz val="9"/>
            <color indexed="81"/>
            <rFont val="Tahoma"/>
            <family val="2"/>
          </rPr>
          <t>LOGO 200cm2
Por estampado de logo de mayor tamaño solicitar cotización</t>
        </r>
      </text>
    </comment>
    <comment ref="B488" authorId="0" shapeId="0">
      <text>
        <r>
          <rPr>
            <b/>
            <sz val="9"/>
            <color indexed="81"/>
            <rFont val="Tahoma"/>
            <family val="2"/>
          </rPr>
          <t>LOGO FULL COLOR TAMAÑO A4</t>
        </r>
      </text>
    </comment>
    <comment ref="B489" authorId="0" shapeId="0">
      <text>
        <r>
          <rPr>
            <b/>
            <sz val="9"/>
            <color indexed="81"/>
            <rFont val="Tahoma"/>
            <family val="2"/>
          </rPr>
          <t>LOGO 200cm2
Por estampado de logo de mayor tamaño solicitar cotización</t>
        </r>
      </text>
    </comment>
    <comment ref="B490" authorId="0" shapeId="0">
      <text>
        <r>
          <rPr>
            <b/>
            <sz val="9"/>
            <color indexed="81"/>
            <rFont val="Tahoma"/>
            <family val="2"/>
          </rPr>
          <t>LOGO FULL COLOR TAMAÑO A4</t>
        </r>
      </text>
    </comment>
    <comment ref="B491" authorId="0" shapeId="0">
      <text>
        <r>
          <rPr>
            <b/>
            <sz val="9"/>
            <color indexed="81"/>
            <rFont val="Tahoma"/>
            <family val="2"/>
          </rPr>
          <t>LOGO 200cm</t>
        </r>
        <r>
          <rPr>
            <b/>
            <sz val="8"/>
            <color indexed="81"/>
            <rFont val="Tahoma"/>
            <family val="2"/>
          </rPr>
          <t>2
Por estampado de logo de mayor tamaño solicitar cotización</t>
        </r>
      </text>
    </comment>
    <comment ref="B492" authorId="0" shapeId="0">
      <text>
        <r>
          <rPr>
            <b/>
            <sz val="9"/>
            <color indexed="81"/>
            <rFont val="Tahoma"/>
            <family val="2"/>
          </rPr>
          <t>LOGO FULL COLOR TAMAÑO A4</t>
        </r>
      </text>
    </comment>
    <comment ref="B493" authorId="0" shapeId="0">
      <text>
        <r>
          <rPr>
            <b/>
            <sz val="9"/>
            <color indexed="81"/>
            <rFont val="Tahoma"/>
            <family val="2"/>
          </rPr>
          <t>LOGO 200cm</t>
        </r>
        <r>
          <rPr>
            <b/>
            <sz val="8"/>
            <color indexed="81"/>
            <rFont val="Tahoma"/>
            <family val="2"/>
          </rPr>
          <t>2
Por estampado de logo de mayor tamaño solicitar cotización</t>
        </r>
      </text>
    </comment>
    <comment ref="B494" authorId="0" shapeId="0">
      <text>
        <r>
          <rPr>
            <b/>
            <sz val="9"/>
            <color indexed="81"/>
            <rFont val="Tahoma"/>
            <family val="2"/>
          </rPr>
          <t>LOGO 200cm2
Por estampado de logo de mayor tamaño solicitar cotización</t>
        </r>
      </text>
    </comment>
    <comment ref="B495" authorId="0" shapeId="0">
      <text>
        <r>
          <rPr>
            <b/>
            <sz val="9"/>
            <color indexed="81"/>
            <rFont val="Tahoma"/>
            <family val="2"/>
          </rPr>
          <t>LOGO 200cm</t>
        </r>
        <r>
          <rPr>
            <b/>
            <sz val="8"/>
            <color indexed="81"/>
            <rFont val="Tahoma"/>
            <family val="2"/>
          </rPr>
          <t>2
Por estampado de logo de mayor tamaño solicitar cotización</t>
        </r>
      </text>
    </comment>
    <comment ref="B496" authorId="0" shapeId="0">
      <text>
        <r>
          <rPr>
            <b/>
            <sz val="9"/>
            <color indexed="81"/>
            <rFont val="Tahoma"/>
            <family val="2"/>
          </rPr>
          <t>LOGO FULL COLOR TAMAÑO A4</t>
        </r>
      </text>
    </comment>
    <comment ref="B497" authorId="0" shapeId="0">
      <text>
        <r>
          <rPr>
            <b/>
            <sz val="9"/>
            <color indexed="81"/>
            <rFont val="Tahoma"/>
            <family val="2"/>
          </rPr>
          <t>LOGO 200cm2
Por estampado de logo de mayor tamaño solicitar cotización</t>
        </r>
      </text>
    </comment>
    <comment ref="B498" authorId="0" shapeId="0">
      <text>
        <r>
          <rPr>
            <b/>
            <sz val="9"/>
            <color indexed="81"/>
            <rFont val="Tahoma"/>
            <family val="2"/>
          </rPr>
          <t>LOGO 200cm2
Por estampado de logo de mayor tamaño solicitar cotización</t>
        </r>
      </text>
    </comment>
    <comment ref="B499" authorId="0" shapeId="0">
      <text>
        <r>
          <rPr>
            <b/>
            <sz val="9"/>
            <color indexed="81"/>
            <rFont val="Tahoma"/>
            <family val="2"/>
          </rPr>
          <t>LOGO 200cm2
Por estampado de logo de mayor tamaño solicitar cotización</t>
        </r>
      </text>
    </comment>
    <comment ref="B500" authorId="0" shapeId="0">
      <text>
        <r>
          <rPr>
            <b/>
            <sz val="9"/>
            <color indexed="81"/>
            <rFont val="Tahoma"/>
            <family val="2"/>
          </rPr>
          <t>LOGO 200cm2
Por estampado de logo de mayor tamaño solicitar cotización</t>
        </r>
      </text>
    </comment>
    <comment ref="B501" authorId="0" shapeId="0">
      <text>
        <r>
          <rPr>
            <b/>
            <sz val="9"/>
            <color indexed="81"/>
            <rFont val="Tahoma"/>
            <family val="2"/>
          </rPr>
          <t>LOGO 200cm2
Por estampado de logo de mayor tamaño solicitar cotización</t>
        </r>
      </text>
    </comment>
    <comment ref="B502" authorId="0" shapeId="0">
      <text>
        <r>
          <rPr>
            <b/>
            <sz val="9"/>
            <color indexed="81"/>
            <rFont val="Tahoma"/>
            <family val="2"/>
          </rPr>
          <t>LOGO FULL COLOR TAMAÑO A4</t>
        </r>
      </text>
    </comment>
    <comment ref="B503" authorId="0" shapeId="0">
      <text>
        <r>
          <rPr>
            <b/>
            <sz val="9"/>
            <color indexed="81"/>
            <rFont val="Tahoma"/>
            <family val="2"/>
          </rPr>
          <t>LOGO 200cm2
Por estampado de logo de mayor tamaño solicitar cotización</t>
        </r>
      </text>
    </comment>
    <comment ref="B504" authorId="0" shapeId="0">
      <text>
        <r>
          <rPr>
            <b/>
            <sz val="9"/>
            <color indexed="81"/>
            <rFont val="Tahoma"/>
            <family val="2"/>
          </rPr>
          <t>LOGO FULL COLOR TAMAÑO A4</t>
        </r>
      </text>
    </comment>
    <comment ref="B505" authorId="0" shapeId="0">
      <text>
        <r>
          <rPr>
            <b/>
            <sz val="9"/>
            <color indexed="81"/>
            <rFont val="Tahoma"/>
            <family val="2"/>
          </rPr>
          <t>LOGO 200cm2
Por estampado de logo de mayor tamaño solicitar cotización</t>
        </r>
      </text>
    </comment>
    <comment ref="B506" authorId="0" shapeId="0">
      <text>
        <r>
          <rPr>
            <b/>
            <sz val="9"/>
            <color indexed="81"/>
            <rFont val="Tahoma"/>
            <family val="2"/>
          </rPr>
          <t>LOGO FULL COLOR TAMAÑO A4</t>
        </r>
      </text>
    </comment>
    <comment ref="B507" authorId="0" shapeId="0">
      <text>
        <r>
          <rPr>
            <b/>
            <sz val="9"/>
            <color indexed="81"/>
            <rFont val="Tahoma"/>
            <family val="2"/>
          </rPr>
          <t>LOGO NEGRO TAMAÑO A4</t>
        </r>
      </text>
    </comment>
    <comment ref="B508" authorId="0" shapeId="0">
      <text>
        <r>
          <rPr>
            <b/>
            <sz val="9"/>
            <color indexed="81"/>
            <rFont val="Tahoma"/>
            <family val="2"/>
          </rPr>
          <t>LOGO 200cm2
Por estampado de logo de mayor tamaño solicitar cotización</t>
        </r>
      </text>
    </comment>
    <comment ref="B509" authorId="0" shapeId="0">
      <text>
        <r>
          <rPr>
            <b/>
            <sz val="9"/>
            <color indexed="81"/>
            <rFont val="Tahoma"/>
            <family val="2"/>
          </rPr>
          <t>LOGO FULL COLOR TAMAÑO A4</t>
        </r>
      </text>
    </comment>
    <comment ref="B510" authorId="0" shapeId="0">
      <text>
        <r>
          <rPr>
            <b/>
            <sz val="9"/>
            <color indexed="81"/>
            <rFont val="Tahoma"/>
            <family val="2"/>
          </rPr>
          <t>LOGO 200cm2
Por estampado de logo de mayor tamaño solicitar cotización</t>
        </r>
      </text>
    </comment>
    <comment ref="B511" authorId="0" shapeId="0">
      <text>
        <r>
          <rPr>
            <b/>
            <sz val="9"/>
            <color indexed="81"/>
            <rFont val="Tahoma"/>
            <family val="2"/>
          </rPr>
          <t>LOGO FULL COLOR TAMAÑO A4</t>
        </r>
      </text>
    </comment>
    <comment ref="B512" authorId="0" shapeId="0">
      <text>
        <r>
          <rPr>
            <b/>
            <sz val="9"/>
            <color indexed="81"/>
            <rFont val="Tahoma"/>
            <family val="2"/>
          </rPr>
          <t>LOGO 200cm2
Por estampado de logo de mayor tamaño solicitar cotización</t>
        </r>
      </text>
    </comment>
  </commentList>
</comments>
</file>

<file path=xl/sharedStrings.xml><?xml version="1.0" encoding="utf-8"?>
<sst xmlns="http://schemas.openxmlformats.org/spreadsheetml/2006/main" count="1124" uniqueCount="934">
  <si>
    <t>PRESIONE CONTROL+B PARA BUSCAR UN PRODUCTO POR NOMBRE O POR CÓDIGO COMPLETO Ej. 02193</t>
  </si>
  <si>
    <t xml:space="preserve">Ingrese aquí su porcentaje </t>
  </si>
  <si>
    <t>Cómo funciona este sistema?</t>
  </si>
  <si>
    <t>IR A PAGINA 1</t>
  </si>
  <si>
    <t>(por ejemplo 40% se ingresa 1.40)</t>
  </si>
  <si>
    <t>CLICK AQUÍ</t>
  </si>
  <si>
    <t>LOS PRECIOS PUEDEN VARIAR SIN PREVIO AVISO</t>
  </si>
  <si>
    <t>20% DE DESCUENTO PARA REVENDEDORES</t>
  </si>
  <si>
    <t>Consultas  WHATSAPP  11-2615-1932</t>
  </si>
  <si>
    <t>Al posicionarse sobre los casilleros que tienen triangulito rojo puede visualizar comentarios importantes del producto.</t>
  </si>
  <si>
    <t>PARA IR A LOS RECARGOS POR IMPRESIONES ADICIONALES CLICK AQUÍ</t>
  </si>
  <si>
    <t xml:space="preserve"> ART.</t>
  </si>
  <si>
    <t>DETALLE</t>
  </si>
  <si>
    <t>Sin Impresión</t>
  </si>
  <si>
    <t>TERMINADOS IMPRESOS A 1 COLOR</t>
  </si>
  <si>
    <t>ACLARACIONES IMPORTANTES SOBRE EL PRODUCTO</t>
  </si>
  <si>
    <t>VISITAR PRODUCTO EN WEB</t>
  </si>
  <si>
    <t>REGISTRATE EN NUESTRA WEB PARA BAJAR LISTA DE PRECIOS DESDE CUALQUIER PC</t>
  </si>
  <si>
    <t>x30</t>
  </si>
  <si>
    <t>x50</t>
  </si>
  <si>
    <t>x100</t>
  </si>
  <si>
    <t>x300</t>
  </si>
  <si>
    <t>x500</t>
  </si>
  <si>
    <t>x1000</t>
  </si>
  <si>
    <t>IR A PAGINA 3</t>
  </si>
  <si>
    <t>IR A PAGINA 7</t>
  </si>
  <si>
    <t>00024 - Mate de algarrobo encerado</t>
  </si>
  <si>
    <t>00030 - Mate geométrico de Eucalyptus Grandis rústico</t>
  </si>
  <si>
    <t>00033-1 - Mate copita torneado con base de aluminio</t>
  </si>
  <si>
    <t>00033-1</t>
  </si>
  <si>
    <t xml:space="preserve">00034-1 - Mate redondo torneado base forrada aluminio          </t>
  </si>
  <si>
    <t>00034-1</t>
  </si>
  <si>
    <t>00036-1 - Bombilla coco 16 cm.</t>
  </si>
  <si>
    <t>00036-1</t>
  </si>
  <si>
    <t>IR A CARPITAS</t>
  </si>
  <si>
    <t>00037-1 - Bombilla 16cm con portalogo - Dome full color</t>
  </si>
  <si>
    <t>00037-1</t>
  </si>
  <si>
    <t>IR A PINES</t>
  </si>
  <si>
    <t>00039 - Mate aluminio c/cinta cuero. Grabado Laser 7x3,5cm</t>
  </si>
  <si>
    <t>00039-1 - Mate aluminio con cuerina impresión full color</t>
  </si>
  <si>
    <t>00039-1</t>
  </si>
  <si>
    <t>IR A GORROS</t>
  </si>
  <si>
    <t>00040 - Mate canela forrado aluminio imp. 1 color</t>
  </si>
  <si>
    <t>IR A PORTADOCUMENTOS</t>
  </si>
  <si>
    <t>00046-1 - Llavero plástico dome full color - OVALADO</t>
  </si>
  <si>
    <t>s/imp. MINIMO 200</t>
  </si>
  <si>
    <t>00046-1</t>
  </si>
  <si>
    <t>00046-2 - Llavero plástico dome full color - ESCUDO</t>
  </si>
  <si>
    <t>00046-2</t>
  </si>
  <si>
    <t>00046-3 - Llavero plástico dome full color - RECT. CORTO</t>
  </si>
  <si>
    <t>00046-3</t>
  </si>
  <si>
    <t>00046-4 - Llavero plástico dome full color - RECT. LARGO</t>
  </si>
  <si>
    <t>00046-4</t>
  </si>
  <si>
    <t>00046-5 - Llavero plástico dome full color - REDONDO</t>
  </si>
  <si>
    <t>00046-5</t>
  </si>
  <si>
    <r>
      <t xml:space="preserve">00046-6 - Llavero plástico dome full color 1 lado - </t>
    </r>
    <r>
      <rPr>
        <sz val="8"/>
        <rFont val="Arial Narrow"/>
        <family val="2"/>
      </rPr>
      <t>AUTO</t>
    </r>
  </si>
  <si>
    <t>00046-7 - Llavero plástico dome full color 1 lado - REDONDO</t>
  </si>
  <si>
    <r>
      <t xml:space="preserve">00046-8 - Llavero plástico dome full color 1 lado - </t>
    </r>
    <r>
      <rPr>
        <sz val="8"/>
        <rFont val="Arial Narrow"/>
        <family val="2"/>
      </rPr>
      <t>RECT.LARGO</t>
    </r>
  </si>
  <si>
    <r>
      <t xml:space="preserve">00046-9 - Llavero plástico dome full color 1 lado - </t>
    </r>
    <r>
      <rPr>
        <sz val="8"/>
        <rFont val="Arial Narrow"/>
        <family val="2"/>
      </rPr>
      <t>CAMISETA</t>
    </r>
  </si>
  <si>
    <t>00046-1M - Llavero metálico c/dome full color - OVALADO</t>
  </si>
  <si>
    <t>s/imp. MINIMO 100</t>
  </si>
  <si>
    <t>00046-1M</t>
  </si>
  <si>
    <t>00046-4M - Llavero metálico c/dome full color - RECT. LARGO</t>
  </si>
  <si>
    <t>00046-4M</t>
  </si>
  <si>
    <t>00046-5M - Llavero metálico c/dome full color - REDONDO</t>
  </si>
  <si>
    <t>00046-5M</t>
  </si>
  <si>
    <t>00046-1SC - Llavero metal y simil cuero c/dome - OVALADO</t>
  </si>
  <si>
    <t>00046-1SC</t>
  </si>
  <si>
    <t>00046-4SC - Llavero metal y simil cuero c/dome RECT.LARGO</t>
  </si>
  <si>
    <t>00046-4SC</t>
  </si>
  <si>
    <t>00046-5SC - Llavero metal y simil cuero c/dome - REDONDO</t>
  </si>
  <si>
    <t>00046-5SC</t>
  </si>
  <si>
    <t>00047R1 - Llavero de cuero simple</t>
  </si>
  <si>
    <t>00047R1</t>
  </si>
  <si>
    <t>00047R2 - Llavero de cuero doble, grabado ambos lados</t>
  </si>
  <si>
    <t>00047R2</t>
  </si>
  <si>
    <t>S1</t>
  </si>
  <si>
    <t>S2</t>
  </si>
  <si>
    <t>S3</t>
  </si>
  <si>
    <t>00054 - Llavero simil cuero con dome full color frente</t>
  </si>
  <si>
    <t>00060 - Cubo Portalápices blanco inyectado (imp. 2 lados)</t>
  </si>
  <si>
    <t>00062 - Cubo Portalápices de color inyectado (imp. 2 lados)</t>
  </si>
  <si>
    <r>
      <t xml:space="preserve">00063 - Cubo Portalápices de color inyectado </t>
    </r>
    <r>
      <rPr>
        <sz val="8"/>
        <color indexed="10"/>
        <rFont val="Arial"/>
        <family val="2"/>
      </rPr>
      <t xml:space="preserve">con calendario </t>
    </r>
  </si>
  <si>
    <t xml:space="preserve"> </t>
  </si>
  <si>
    <t>00091-1 - Portatarjeta SUBE tela plástica</t>
  </si>
  <si>
    <t>00091-1</t>
  </si>
  <si>
    <t>00092 - Pluviómetro acrilico excelente calidad (Alto 20 cm)</t>
  </si>
  <si>
    <t>00102N</t>
  </si>
  <si>
    <t>00102D</t>
  </si>
  <si>
    <t>00102-1</t>
  </si>
  <si>
    <t>00102-2</t>
  </si>
  <si>
    <t xml:space="preserve">00104A - Llavero Cuero con Costura 1/2/3/4/5                                 </t>
  </si>
  <si>
    <t>00104A</t>
  </si>
  <si>
    <t>A1</t>
  </si>
  <si>
    <t>A2</t>
  </si>
  <si>
    <t>A3</t>
  </si>
  <si>
    <t>A4</t>
  </si>
  <si>
    <t>A5</t>
  </si>
  <si>
    <t xml:space="preserve">00105B - Llavero Cuero con Costura 1/2/3/4/5/6                             </t>
  </si>
  <si>
    <t>00105B</t>
  </si>
  <si>
    <t>B1</t>
  </si>
  <si>
    <t>B2</t>
  </si>
  <si>
    <t>B3</t>
  </si>
  <si>
    <t>B4</t>
  </si>
  <si>
    <t>B5</t>
  </si>
  <si>
    <t>B6</t>
  </si>
  <si>
    <t xml:space="preserve">00106C - Llavero Cuero Pegado 1/2/3/4/5/6 (costura opcional)                      </t>
  </si>
  <si>
    <t>00106C</t>
  </si>
  <si>
    <t>C1</t>
  </si>
  <si>
    <t>C2</t>
  </si>
  <si>
    <t>C3</t>
  </si>
  <si>
    <t>C4</t>
  </si>
  <si>
    <t>C5</t>
  </si>
  <si>
    <t>C6</t>
  </si>
  <si>
    <t xml:space="preserve">00107D - Llavero Cuero Pegado 1/2/3/4 (costura opcional) </t>
  </si>
  <si>
    <t>00107D</t>
  </si>
  <si>
    <t>D1</t>
  </si>
  <si>
    <t>D2</t>
  </si>
  <si>
    <t>D3</t>
  </si>
  <si>
    <t>D4</t>
  </si>
  <si>
    <t>00108H - Llavero Cuero - FULL COLOR 1/2/3/4/5</t>
  </si>
  <si>
    <t>00108H</t>
  </si>
  <si>
    <t>H1</t>
  </si>
  <si>
    <t>H2</t>
  </si>
  <si>
    <t>H3</t>
  </si>
  <si>
    <t>H4</t>
  </si>
  <si>
    <t>H5</t>
  </si>
  <si>
    <t>00108K - Llavero Cuero con ventana - FULL COLOR  1/2/3</t>
  </si>
  <si>
    <t>00108K</t>
  </si>
  <si>
    <t>K1</t>
  </si>
  <si>
    <t>K2</t>
  </si>
  <si>
    <t>K3</t>
  </si>
  <si>
    <t>00109Q - Llavero Cuero c/cadena - 1/2/3/4/5/6 (costura opcional)</t>
  </si>
  <si>
    <t>00109Q</t>
  </si>
  <si>
    <t>Q1</t>
  </si>
  <si>
    <t>Q2</t>
  </si>
  <si>
    <t>Q3</t>
  </si>
  <si>
    <t>Q4</t>
  </si>
  <si>
    <t>Q5</t>
  </si>
  <si>
    <t>Q6</t>
  </si>
  <si>
    <t xml:space="preserve">00110G - Llavero Cuero Forma adaptada a Logo                    </t>
  </si>
  <si>
    <t>00110G</t>
  </si>
  <si>
    <t>00111H - Llavero Cuero de un lado y goma del otro</t>
  </si>
  <si>
    <t>00111H</t>
  </si>
  <si>
    <t xml:space="preserve">00112J - Llavero Cuero de ambos lados                                                        </t>
  </si>
  <si>
    <t>00112J</t>
  </si>
  <si>
    <t>00113G - 1/2/3/4/5 Llavero Cuero - Grabado de un solo lado</t>
  </si>
  <si>
    <t>00113G</t>
  </si>
  <si>
    <t>G1</t>
  </si>
  <si>
    <t>G2</t>
  </si>
  <si>
    <t>G3</t>
  </si>
  <si>
    <t>G4</t>
  </si>
  <si>
    <t>G5</t>
  </si>
  <si>
    <t>ULTIMAS UNIDADES</t>
  </si>
  <si>
    <t>00257-2</t>
  </si>
  <si>
    <t>00273 - Reloj portalápices de acrílico</t>
  </si>
  <si>
    <t xml:space="preserve">00274-1 - Reloj portalápices acrílico traslúcido </t>
  </si>
  <si>
    <t>00274-1</t>
  </si>
  <si>
    <t xml:space="preserve">00278 - Reloj con calendario y temperatura 10 x 5 cm </t>
  </si>
  <si>
    <t xml:space="preserve">00288 - Llavero destapador luz led plástico </t>
  </si>
  <si>
    <t>00289 - Llavero inmobiliaria 7,5x4 cm</t>
  </si>
  <si>
    <t>00290 - Cinta Llavero Corta 13cm blanca con aro sin fin</t>
  </si>
  <si>
    <t>00290-1</t>
  </si>
  <si>
    <t>00291-1</t>
  </si>
  <si>
    <t>00296 - Llavero Cristal Bombé con aro sin fin. 3,5 x 6 cm</t>
  </si>
  <si>
    <t>00297 - Llavero Cristal Bombé con aro y cadena. 3,5 x 6 cm</t>
  </si>
  <si>
    <t>00301-1</t>
  </si>
  <si>
    <t>00301-2</t>
  </si>
  <si>
    <t>00302-1</t>
  </si>
  <si>
    <t>00302-2</t>
  </si>
  <si>
    <t>00310 - Llavero destapador de aluminio</t>
  </si>
  <si>
    <t xml:space="preserve">00313-1 - Juego truco caja doble fibrofacil tapa biselada </t>
  </si>
  <si>
    <t>00313-1</t>
  </si>
  <si>
    <t>00315-C - Naipes chinchón (50 cartas) caja fibrofacil biselada</t>
  </si>
  <si>
    <t>00315-C</t>
  </si>
  <si>
    <t>00315-T - Naipes de Truco caja fibrofacil tapa biselada</t>
  </si>
  <si>
    <t>00315-T</t>
  </si>
  <si>
    <t>00315-P - Naipes de Poker en caja fibro facil tapa biselada</t>
  </si>
  <si>
    <t>00315-P</t>
  </si>
  <si>
    <t>00316 - Dome para auto 12 x 3cm</t>
  </si>
  <si>
    <t>00318 - Dome para auto 15 x 4 cm</t>
  </si>
  <si>
    <t>DOBLADO ADICIONAR</t>
  </si>
  <si>
    <t xml:space="preserve">00321 - Carpita inyectada calendario 2 colores logo 1 color  </t>
  </si>
  <si>
    <t>00324 - Carpita inyectada posalapiz calendario impreso 2 col.</t>
  </si>
  <si>
    <t>00325 - Carpita inyectada posalapiz calend. 2 col. logo 1 col.</t>
  </si>
  <si>
    <t xml:space="preserve">00347 - Pad Mouse Goma Eva - Redondo -19 cm - Blanco </t>
  </si>
  <si>
    <t>00349 - Pad Mouse Full color esmerilado 20x20 cm</t>
  </si>
  <si>
    <t>00350 - Pad Mouse Full Color esmerilado redondo 18 cm diám.</t>
  </si>
  <si>
    <t>00351 - Pad Mouse Full Color esmerilado redondo 20 cm diám.</t>
  </si>
  <si>
    <t>00352 - Pad Mouse Full Color esmerilado c/gel apoya muñeca</t>
  </si>
  <si>
    <t>00375 - Soporte anillo plástico para celular con cinta bifaz</t>
  </si>
  <si>
    <t>00376 - Soporte anillo metálico para celular con cinta bifaz 3M</t>
  </si>
  <si>
    <t>00379 - Soporte de celular para automóvil</t>
  </si>
  <si>
    <t>00403-3</t>
  </si>
  <si>
    <t>00421 - Llavero acrílico 3mm grabado laser formato especial</t>
  </si>
  <si>
    <t>00442 - Pastillero plástico blanco 4 espacios</t>
  </si>
  <si>
    <t>00450 - Llavero PVC alta frecuencia redondo chico 5 cm diám.</t>
  </si>
  <si>
    <t>00451 - Llavero PVC alta frecuencia redondo grande 6 cm diám.</t>
  </si>
  <si>
    <t>00452 - Llavero PVC alta frecuencia rectangular 7,5x4 cm</t>
  </si>
  <si>
    <t>00453 - Llavero PVC alta frecuencia ovalado chico 7x4,3 cm</t>
  </si>
  <si>
    <t>00454 - Llavero PVC alta frecuencia ovalado grande 8x4,8 cm</t>
  </si>
  <si>
    <t>00460 - Llavero camiseta PVC alta frecuencia 5,5x5,5 cm</t>
  </si>
  <si>
    <t xml:space="preserve">00539 - Portacredencial Cristal o Tela y Cristal - 8,5x12 cm.                     </t>
  </si>
  <si>
    <t xml:space="preserve">00547 - Porta Voucher 13 x 20cm PVC </t>
  </si>
  <si>
    <t>00624 - Set de maquillaje plástico 5 piezas</t>
  </si>
  <si>
    <r>
      <t>00628-1 - Set de manicura en estuche</t>
    </r>
    <r>
      <rPr>
        <sz val="8"/>
        <color indexed="10"/>
        <rFont val="Arial"/>
        <family val="2"/>
      </rPr>
      <t xml:space="preserve"> </t>
    </r>
  </si>
  <si>
    <t>00628-1</t>
  </si>
  <si>
    <t>00629 - Set de Manicura estuche símil cuero negro</t>
  </si>
  <si>
    <t>00705 - Mini Linterna Led metálica a pilas (no inlcuidas)</t>
  </si>
  <si>
    <t>00918 - Carpeta Eco A4 con bolígrafo</t>
  </si>
  <si>
    <t>00945 - Dispenser de notas adhesivas 16x12,5cm</t>
  </si>
  <si>
    <t>00949 - Set de notas adhesivas simil cuero negro 8,5 x 13 cm</t>
  </si>
  <si>
    <t>00950 - Set de notas simil cuero negro 9x9cm</t>
  </si>
  <si>
    <t xml:space="preserve">00965 - Tabla asado algarrobo con ensaladero </t>
  </si>
  <si>
    <t>00967 - Tabla de asado algarrobo  20 x 30 cm</t>
  </si>
  <si>
    <t>00969 - Tabla pizzera algarrobo 35cm diám.</t>
  </si>
  <si>
    <t>00970 - Tabla picada algarrobo 3 espacios (formas irregulares)</t>
  </si>
  <si>
    <t>00971 - Tabla picada algarrobo 4 espacios (formas irregulares)</t>
  </si>
  <si>
    <t>00980 - Set asado 1 plato cubiertos Tramontina mango plástico</t>
  </si>
  <si>
    <t>00981 - Set asado 2 platos cubiertos Tramontina mango plástico</t>
  </si>
  <si>
    <t>00984 - Set asado 1 plato s/carpincho Tramontina mango plas.</t>
  </si>
  <si>
    <t>00985 - Set asado 2 platos s/carpincho Tramontina mango plást.</t>
  </si>
  <si>
    <t>01001 - Tabla pino para asado 18,5 x 24 con agujero</t>
  </si>
  <si>
    <t>01002 - Tabla pino 3 espacios p/picada 18,5 x 24 c/agujero</t>
  </si>
  <si>
    <t>01006 - Tabla pino para asado 18,5 x 44 cm</t>
  </si>
  <si>
    <t>01075 - Botella de PVC Cristal con toalla de microfibra</t>
  </si>
  <si>
    <t xml:space="preserve">02145 - Bolígrafo retráctil traslúcido   </t>
  </si>
  <si>
    <t>02149 - Estuche de cartulina para bolígrafo</t>
  </si>
  <si>
    <t xml:space="preserve">02151 - Funda de Pana para un bolígrafo (color negro)                 </t>
  </si>
  <si>
    <t xml:space="preserve">02153 - Bolígrafo retráctil clip curvo </t>
  </si>
  <si>
    <t>02160 - Bolígrafo silver clip negro pulsador de color</t>
  </si>
  <si>
    <t>02174 - Bolígrafo cuerpo silver retráctil</t>
  </si>
  <si>
    <t>02174-1- Bolígrafo cuerpo de color retráctil</t>
  </si>
  <si>
    <t xml:space="preserve">02184 - Bolígrafo cuerpo de color - Clip metálico </t>
  </si>
  <si>
    <t>02184-1- Bolígrafo cuerpo silver detalle color - Clip metálico</t>
  </si>
  <si>
    <t>02184-1</t>
  </si>
  <si>
    <t>02189 - Bolígrafo plástico cuerpo blanco detalle color</t>
  </si>
  <si>
    <t>02190 - Bolígrafo plástico silver grip color clip metálico</t>
  </si>
  <si>
    <t>02193 - Bolígrafo plástico blanco</t>
  </si>
  <si>
    <t>02194 - Bolígrafo clip metálico calado</t>
  </si>
  <si>
    <t>02195 - Bolígrafo clip metálico</t>
  </si>
  <si>
    <t>02198 - Bolígrafo grueso grip de goma</t>
  </si>
  <si>
    <t>02202-1</t>
  </si>
  <si>
    <t>02202-2</t>
  </si>
  <si>
    <t>02202-9 - Bolígrafo medio giro TOUCH</t>
  </si>
  <si>
    <t>02202-9</t>
  </si>
  <si>
    <t>02203 - Roller con capuchón</t>
  </si>
  <si>
    <t>02205 - Bolígrafo silver medio giro con anillos</t>
  </si>
  <si>
    <t>02207 - Bolígrafo cuerpo de color clip curvo</t>
  </si>
  <si>
    <t xml:space="preserve">02209 - Bolígrafo cuerpo blanco grip de goma </t>
  </si>
  <si>
    <t>02216 - Bolígrafo metálico touch</t>
  </si>
  <si>
    <t>02234-1</t>
  </si>
  <si>
    <t>02238 - Bolígrafo Frost grip traslúcido</t>
  </si>
  <si>
    <t>02239 - Bolígrafo transparente grip negro pulsador color</t>
  </si>
  <si>
    <t>02244 - Lápiz negro con goma del color del cuerpo sin punta</t>
  </si>
  <si>
    <t>02254 - Bolígrafo blanco retráctil clip color</t>
  </si>
  <si>
    <r>
      <t>02255 - Bolígrafo blanco retráctil clip calado</t>
    </r>
    <r>
      <rPr>
        <b/>
        <sz val="8"/>
        <color indexed="10"/>
        <rFont val="Arial"/>
        <family val="2"/>
      </rPr>
      <t xml:space="preserve"> </t>
    </r>
  </si>
  <si>
    <t>02268 - Bolígrafo plástico medio giro con luz interna</t>
  </si>
  <si>
    <t>02270 - Bolígrafo plástico blanco detalle color</t>
  </si>
  <si>
    <t>02271 - Bolígrafo plástico con apoya celular en clip</t>
  </si>
  <si>
    <t>02272 - Bolígrafo plástico Touch con apoya celular</t>
  </si>
  <si>
    <t>02275 - Bolígrafo con puntera y pulsador metalizado</t>
  </si>
  <si>
    <t>02280 - Boligrafo cuerpo blanco puntera silver</t>
  </si>
  <si>
    <t>02321 - Bolígrafo metálico grip negro</t>
  </si>
  <si>
    <t>02330 - Bolígrafo de madera con estuche de cartulina</t>
  </si>
  <si>
    <t>02336 - Bolígrafo de Bambú Touch clip de metal</t>
  </si>
  <si>
    <t>02337 - Boligrafo metálico Touch negro interior de color</t>
  </si>
  <si>
    <t>02338 - Bolígrafo metálico con estuche de pana</t>
  </si>
  <si>
    <t>11611 - Base de Art. 11604 (sin calendario y sin troquelar)</t>
  </si>
  <si>
    <t xml:space="preserve">11612 - Estuche de cartulina para almanaque 11604 </t>
  </si>
  <si>
    <t>M-22 - Llavero extensible frost plástico y metal</t>
  </si>
  <si>
    <t>M-22</t>
  </si>
  <si>
    <t>M-30</t>
  </si>
  <si>
    <t>M-31</t>
  </si>
  <si>
    <t>M-33 - Llavero rectangular 45x25mm, dome 1 lado</t>
  </si>
  <si>
    <t>M-33</t>
  </si>
  <si>
    <t>M-33-1 - Llavero rectangular 45x25mm, dome 2 lados</t>
  </si>
  <si>
    <t>M-33-1</t>
  </si>
  <si>
    <t>M-35 - Llavero multifunción metálico 3 funciones azul</t>
  </si>
  <si>
    <t>M-35</t>
  </si>
  <si>
    <t>M-35 -1  - Llavero multifunción metálico 3 funciones plateado</t>
  </si>
  <si>
    <r>
      <t xml:space="preserve">M-46 - Llavero simil cuero con dome </t>
    </r>
    <r>
      <rPr>
        <sz val="8"/>
        <color indexed="8"/>
        <rFont val="Arial"/>
        <family val="2"/>
      </rPr>
      <t xml:space="preserve"> </t>
    </r>
    <r>
      <rPr>
        <b/>
        <sz val="8"/>
        <color indexed="8"/>
        <rFont val="Arial"/>
        <family val="2"/>
      </rPr>
      <t>ULTIMAS UNIDADES</t>
    </r>
  </si>
  <si>
    <t>M-46</t>
  </si>
  <si>
    <t>EN REMERAS, BUZOS, CHOMBAS Y CHALECOS EL PRECIO DE LISTA INCLUYE IMPRESION A 1 COLOR DE UN SOLO LADO</t>
  </si>
  <si>
    <t>P5520V - Remera BLANCA Infantil talle 2 al 10 (100% alg.)</t>
  </si>
  <si>
    <t>P5520</t>
  </si>
  <si>
    <t>P5520-1V - Remera BLANCA Juvenil talle 12 al 16 (100% alg.)</t>
  </si>
  <si>
    <t>P5521V - Remera COLOR Infantil talle 2 al 10 (100% alg.)</t>
  </si>
  <si>
    <t>P5521</t>
  </si>
  <si>
    <t>P5521-1V - Remera COLOR Juvenil talle 12 al 16  (100% alg.)</t>
  </si>
  <si>
    <t>P5525</t>
  </si>
  <si>
    <t>P5527</t>
  </si>
  <si>
    <t>P5530</t>
  </si>
  <si>
    <t>P5532</t>
  </si>
  <si>
    <t>P5533</t>
  </si>
  <si>
    <t>P5536</t>
  </si>
  <si>
    <t>P5539-1</t>
  </si>
  <si>
    <t>P5540-1</t>
  </si>
  <si>
    <t>P5543</t>
  </si>
  <si>
    <t>P5545 - Remera Blanca manga larga superior (100% alg.24/1)</t>
  </si>
  <si>
    <t>P5545</t>
  </si>
  <si>
    <t>P5546 - Remera Color manga larga superior (100% alg.24/1)</t>
  </si>
  <si>
    <t>P5546</t>
  </si>
  <si>
    <t>P5556</t>
  </si>
  <si>
    <t xml:space="preserve"> Sin Impresión</t>
  </si>
  <si>
    <t>IMPRESOS CON LOGO O FOTO FULL COLOR</t>
  </si>
  <si>
    <t>x5</t>
  </si>
  <si>
    <t>x10</t>
  </si>
  <si>
    <t>x25</t>
  </si>
  <si>
    <t>x200</t>
  </si>
  <si>
    <t xml:space="preserve">IP-T18M - Chopp Cerveza cerámica mate </t>
  </si>
  <si>
    <t>IP-T19 - Taza de vidrio esmerilado mate</t>
  </si>
  <si>
    <t xml:space="preserve">IP-T21 - Vaso Whisky vidrio esmerilado mate 300ml      </t>
  </si>
  <si>
    <t>00553-2 - Portadocumento cordura</t>
  </si>
  <si>
    <t>00553-2</t>
  </si>
  <si>
    <t>00553-3 - portadocumento cuerina</t>
  </si>
  <si>
    <t>00730 - Canopla 1 piso 20x15,5 cm</t>
  </si>
  <si>
    <t>00731 - Canopla 2 pisos 20,5x14,5 cm</t>
  </si>
  <si>
    <t>00986 - Set asado simple  (con plato y cubiertos)</t>
  </si>
  <si>
    <t>00989 - Estuche asado simple  (sin plato y cubiertos)</t>
  </si>
  <si>
    <t>30/02 - Estuche con cubiertos Tramontina mango de plástico</t>
  </si>
  <si>
    <t>30/02</t>
  </si>
  <si>
    <t>30/03 - Estuche porta cubiertos (sin cubiertos)</t>
  </si>
  <si>
    <t>ARTICULOS DE CUERO - MADERA - CUCHILLERIA - SET DE VINO - BAZAR - ETC.</t>
  </si>
  <si>
    <r>
      <t>CON LOGO IMPRESO O GRABADO</t>
    </r>
    <r>
      <rPr>
        <b/>
        <sz val="8"/>
        <color indexed="8"/>
        <rFont val="Arial"/>
        <family val="2"/>
      </rPr>
      <t xml:space="preserve"> (según producto)</t>
    </r>
  </si>
  <si>
    <t>11/01 - Cuchillo acero inox. 420 con vaina de cuero</t>
  </si>
  <si>
    <t>11/01</t>
  </si>
  <si>
    <t>12/01 - Cuchillo, Tenedor y Chaira con vaina de cuero</t>
  </si>
  <si>
    <t>12/01</t>
  </si>
  <si>
    <t>14/01 - Cuchillo Acero Español - Mango Guayabira Est. Cuero</t>
  </si>
  <si>
    <t>14/01</t>
  </si>
  <si>
    <t xml:space="preserve">20/01 - Cuchillo y Tenedor Mini con funda cuero </t>
  </si>
  <si>
    <t>20/01</t>
  </si>
  <si>
    <t>25/02 - Cuchillo Inoxidable con vaina de cuero</t>
  </si>
  <si>
    <t>25/02</t>
  </si>
  <si>
    <t xml:space="preserve">27/02 - Set parrilero tenedor, cuchillo y chaira </t>
  </si>
  <si>
    <t>30/01 - Cuchillo y tenedor Tramontina mango plast. estuche c/cierre</t>
  </si>
  <si>
    <t>30/01</t>
  </si>
  <si>
    <t>33/01 - Estuche cordura 2 cuch.y tened.Tramont. mango plast.</t>
  </si>
  <si>
    <t>33/01</t>
  </si>
  <si>
    <r>
      <t>85/01 - Mate Algarrobo con pie Grabado sobre Cuer</t>
    </r>
    <r>
      <rPr>
        <sz val="8"/>
        <color indexed="8"/>
        <rFont val="Arial"/>
        <family val="2"/>
      </rPr>
      <t xml:space="preserve">o </t>
    </r>
  </si>
  <si>
    <t>85/01</t>
  </si>
  <si>
    <t xml:space="preserve">85/02 - Mate Algarrobo Grabado sobre Cuero </t>
  </si>
  <si>
    <t>85/02</t>
  </si>
  <si>
    <r>
      <t>85/03 - Mate Algarrobo totalmente forrado en Cuer</t>
    </r>
    <r>
      <rPr>
        <sz val="8"/>
        <color indexed="8"/>
        <rFont val="Arial"/>
        <family val="2"/>
      </rPr>
      <t xml:space="preserve">o </t>
    </r>
  </si>
  <si>
    <t>129/01</t>
  </si>
  <si>
    <t>130/01 - Billetera cuero y nobuk con portadocumento</t>
  </si>
  <si>
    <t>130/01</t>
  </si>
  <si>
    <t xml:space="preserve">131/01 - Billetera de cuero con aplique                                    </t>
  </si>
  <si>
    <t>131/01</t>
  </si>
  <si>
    <t>139/01 - Portadocumento auto c/cierre y divisiones símil cuero</t>
  </si>
  <si>
    <t>139/01</t>
  </si>
  <si>
    <t>10523 - Set de vino Barril 5 elementos</t>
  </si>
  <si>
    <t>10530</t>
  </si>
  <si>
    <t>RECARGOS POR IMPRESIONES O COLORES ADICIONALES</t>
  </si>
  <si>
    <r>
      <t xml:space="preserve">Recargo por impresión o color adicional en </t>
    </r>
    <r>
      <rPr>
        <b/>
        <sz val="9"/>
        <color indexed="10"/>
        <rFont val="Arial"/>
        <family val="2"/>
      </rPr>
      <t>SERIGRAFIA</t>
    </r>
  </si>
  <si>
    <t>REMERAS / BUZOS / CHOMBAS</t>
  </si>
  <si>
    <t>Remeras Talle especial XXL Recargo</t>
  </si>
  <si>
    <t>Chombas Talle especial XXL Recargo</t>
  </si>
  <si>
    <t>Buzos y Chalecos Talle especial XXL Recargo</t>
  </si>
  <si>
    <t xml:space="preserve">             Los productos marcados con este número tienen un mínimo de 100 unidades en las ventas SIN IMPRESIÓN</t>
  </si>
  <si>
    <t xml:space="preserve">             Los productos marcados con este número tienen un mínimo de 200 unidades en las ventas SIN IMPRESIÓN</t>
  </si>
  <si>
    <t xml:space="preserve">             Los productos marcados con este número tienen un mínimo de 500 unidades en las ventas SIN IMPRESIÓN</t>
  </si>
  <si>
    <t xml:space="preserve">  EL ENVÍO SE REALIZA UNA VEZ ACREDITADO EL DINERO EN CUENTA</t>
  </si>
  <si>
    <t>LA MERCADERIA VIAJA POR CUENTA Y RIESGO DEL CLIENTE  • EN CASO DE PERDIDA DE MERCADERIA PARCIAL O TOTAL SE DEBERÁ REALIZAR EL RECLAMO EN EL TRANSPORTE CORRESPONDIENTE • LOS BULTOS SE ENVIAN CON CINTA DE EMBALAJE , VERIFICAR QUE ESTÉ INTACTA LA CINTA AL RETIRAR EL O LOS PAQUETES DEL CENTRO DE ENCOMIENDAS</t>
  </si>
  <si>
    <t>Existiendo opciones para verificar los precios nuestra empresa no se responsabiliza por el mal uso que se le pueda dar a esta lista de precios.</t>
  </si>
  <si>
    <t>Para evitar inconvenientes recomendamos no modificar valores existentes en las columnas ocultas F, H, J, L, N, P, R, T, V.</t>
  </si>
  <si>
    <t>PAGOS POR TRANSFERENCIA BANCARIA 20% DE DESCUENTO DEL PRECIO DE LISTA</t>
  </si>
  <si>
    <r>
      <rPr>
        <b/>
        <sz val="11"/>
        <color indexed="56"/>
        <rFont val="Arial"/>
        <family val="2"/>
      </rPr>
      <t>Lista de precios modificable automáticamente. Cómo funciona??</t>
    </r>
    <r>
      <rPr>
        <sz val="9"/>
        <rFont val="Arial"/>
        <family val="2"/>
      </rPr>
      <t xml:space="preserve">
Simplemente ingrese el porcentaje de ganancia deseado en el lugar donde indica la flecha verde, teniendo en cuenta que para un margen de ganancia del 40% se debe ingresar 1.40, para un margen del 70% se ingresa 1.70 y asi sucesivamente. En caso de que desee ingresar un margen del 100% ingresar 2.00
Al ingresar el número automáticamente se modificarán todos los precios de la lista, incrementándose según el porcentaje ingresado.
Si desea volver a los precios originales ingresar 1.00
Ante cualquier duda por favor escriba a ventas@jivi.com.ar</t>
    </r>
  </si>
  <si>
    <t>PARA SUBIR AL PRINCIPIO DE LA LISTA CLICK AQUÍ</t>
  </si>
  <si>
    <t xml:space="preserve">02341 - Set de bolígrafo y roller metálicos </t>
  </si>
  <si>
    <t>02340 - Bolígrafo slim metálico medio giro con touch</t>
  </si>
  <si>
    <t>02245 - Lápiz negro madera natural sin goma</t>
  </si>
  <si>
    <t xml:space="preserve">P5536 - Gorro Sandwich 6 gajos con abrojo   </t>
  </si>
  <si>
    <r>
      <t xml:space="preserve">P5530 - Gorro 100% algodón 6 gajos hebilla metal </t>
    </r>
    <r>
      <rPr>
        <b/>
        <sz val="8"/>
        <color indexed="10"/>
        <rFont val="Arial"/>
        <family val="2"/>
      </rPr>
      <t xml:space="preserve"> </t>
    </r>
  </si>
  <si>
    <t>02202 - Bolígrafo cuerpo de color - Clip metálico</t>
  </si>
  <si>
    <t>02202-1 - Bolígrafo cuerpo silver grip color clip metálico</t>
  </si>
  <si>
    <t>02202-2 - Bolígrafo cuerpo blanco grip color clip metálico</t>
  </si>
  <si>
    <t>00319 - Carpita inyectada plana sin impresión</t>
  </si>
  <si>
    <t>00320 - Carpita inyectada plana con calendario impreso 2 col.</t>
  </si>
  <si>
    <t>00323 - Carpita inyectada plana con posalapiz sin impresión</t>
  </si>
  <si>
    <r>
      <t>00403-3 - Pen Drive</t>
    </r>
    <r>
      <rPr>
        <b/>
        <sz val="8"/>
        <color indexed="10"/>
        <rFont val="Arial"/>
        <family val="2"/>
      </rPr>
      <t xml:space="preserve"> 16 GB </t>
    </r>
    <r>
      <rPr>
        <sz val="8"/>
        <rFont val="Arial"/>
        <family val="2"/>
      </rPr>
      <t>metálico giratorio</t>
    </r>
    <r>
      <rPr>
        <sz val="8"/>
        <color indexed="10"/>
        <rFont val="Arial"/>
        <family val="2"/>
      </rPr>
      <t xml:space="preserve"> </t>
    </r>
  </si>
  <si>
    <t xml:space="preserve">00102N - Pin con dome full color base estandar </t>
  </si>
  <si>
    <t>00102D - Pin con dome full color base estandar</t>
  </si>
  <si>
    <t>02285 - Bolígrafo medio giro cuerpo color clip blanco</t>
  </si>
  <si>
    <t>02286 - Bolígrafo retráctil con cuerpo de color</t>
  </si>
  <si>
    <t>02174-1</t>
  </si>
  <si>
    <t>M-30 - Llavero redondo 32mm diám., dome 1 lado</t>
  </si>
  <si>
    <t>M-30-1 - Llavero redondo 32mm diám, dome 2 lados</t>
  </si>
  <si>
    <t>M-13 - Llavero base fundida ovalado 35x25mm con dome</t>
  </si>
  <si>
    <t>M-14 - Llavero base fundida rectangular 35x25mm con dome</t>
  </si>
  <si>
    <t>M-15 - Llavero base fundida cuadrado 30x30mm con dome</t>
  </si>
  <si>
    <t>00091-3 - Portatarjeta SUBE plástico pp transparente horizontal</t>
  </si>
  <si>
    <t>00091-4 - Portatarjeta SUBE plástico pp transparente vertical</t>
  </si>
  <si>
    <r>
      <t xml:space="preserve">00405 - Pen Drive </t>
    </r>
    <r>
      <rPr>
        <b/>
        <sz val="8"/>
        <color indexed="10"/>
        <rFont val="Arial"/>
        <family val="2"/>
      </rPr>
      <t xml:space="preserve">16 GB </t>
    </r>
    <r>
      <rPr>
        <sz val="8"/>
        <rFont val="Arial"/>
        <family val="2"/>
      </rPr>
      <t xml:space="preserve">simil cuero negro     </t>
    </r>
  </si>
  <si>
    <t>00036 - Bombilla Niquelada 17 cm.</t>
  </si>
  <si>
    <t>00035 - Bombilla aluminio anodizado</t>
  </si>
  <si>
    <t>IR A REMERAS</t>
  </si>
  <si>
    <t>IR A TABLAS DE MADERA</t>
  </si>
  <si>
    <t>00300H - Porta credencial PVC horizontal 90x60 - 180 micr.</t>
  </si>
  <si>
    <t>CON PERFORACIONES PARA COLGAR EN CINTAS LÍNEA 00301 Y 00302</t>
  </si>
  <si>
    <t>00300V - Porta credencial PVC vertical 60x90 - 180 micrones</t>
  </si>
  <si>
    <t>00332 - Portatarjeta metálico con símil cuero, interior pana</t>
  </si>
  <si>
    <t xml:space="preserve">00968 - Plato de algarrobo redondo 22 cm </t>
  </si>
  <si>
    <t xml:space="preserve">01929 - Canasta matera símil cuero </t>
  </si>
  <si>
    <t>01921 - Matera uruguaya abierta símil cuero</t>
  </si>
  <si>
    <t>01923 - Matera símil cuero con guarda pampa</t>
  </si>
  <si>
    <t>01924 - Matera gamuzada con símil cuero</t>
  </si>
  <si>
    <t xml:space="preserve">M-31 - Llavero cuadrado 30x30mm, dome 1 lado </t>
  </si>
  <si>
    <t>M-31-1 - Llavero cuadrado 30x30mm, dome 2 lados</t>
  </si>
  <si>
    <t xml:space="preserve">  </t>
  </si>
  <si>
    <t>Sin impresión Mín. 300</t>
  </si>
  <si>
    <t xml:space="preserve">02131 - Bolígrafo con base triangular adhesiva </t>
  </si>
  <si>
    <t>00044 - Mate madera forrado aluminio con pintura bicapa</t>
  </si>
  <si>
    <t xml:space="preserve">00257-2 - Dispenser de clips rojo centro imantado </t>
  </si>
  <si>
    <t>00987 - Set asado doble platos y cubiertos Tramontina plástico</t>
  </si>
  <si>
    <r>
      <rPr>
        <sz val="8"/>
        <rFont val="Arial"/>
        <family val="2"/>
      </rPr>
      <t xml:space="preserve">00618 - Indice Magnético blanco - 5,5x8,5 cm </t>
    </r>
    <r>
      <rPr>
        <sz val="8"/>
        <color indexed="10"/>
        <rFont val="Arial"/>
        <family val="2"/>
      </rPr>
      <t xml:space="preserve">  </t>
    </r>
  </si>
  <si>
    <t xml:space="preserve">02176 - Bolígrafo frost grip de goma        </t>
  </si>
  <si>
    <t xml:space="preserve">02222 - Bolígrafo metálico pesado detalles cromados </t>
  </si>
  <si>
    <t>P5543 - Chaleco Polar c/cierre bolsillo  (consultar menos cant)</t>
  </si>
  <si>
    <t>DOMES FULL COLOR A MEDIDA</t>
  </si>
  <si>
    <t>00465 - Llavero destapador 3 funciones apoya y limpia celular</t>
  </si>
  <si>
    <t>00529 - Sobre portadocumentos c/fuelle c/divisiones 17x23cm</t>
  </si>
  <si>
    <t>00538 - Porta documento sobre común 18 x 25 cm</t>
  </si>
  <si>
    <t>00549 - Sobre portadocumentos acolchado 18x26cm</t>
  </si>
  <si>
    <t>IR A PAGINA 5</t>
  </si>
  <si>
    <t>IR A PAGINA 6</t>
  </si>
  <si>
    <t>129/01 - Portadocumentos de auto c/divisiones  15 x 24cm</t>
  </si>
  <si>
    <t>00370 - Webcam cover - Protector de cámara web</t>
  </si>
  <si>
    <t>00969-1 - Tabla pizzera algarrobo 32 cm diám.</t>
  </si>
  <si>
    <t>00972 - Plato de algarrobo cuadrado 22 x 22 cm</t>
  </si>
  <si>
    <t>MÍNIMO 500 UNIDADES. PLAZO DE ENTREGA ENTRE 15 Y 25 DÍAS. INCLUYE IMPRESIÓN HASTA 2 COLORES DE AMBOS LADOS MISMO DISEÑO. CONFIRMAR PRECIO</t>
  </si>
  <si>
    <t>00302-2 - Cinta colgante blanca 20mm mosq. gatillo zamak</t>
  </si>
  <si>
    <t>02287 - Boligrafo Eco Friendly biodegradable reciclado trigo</t>
  </si>
  <si>
    <t>00998 - Salvatraje tela plástica 200 MICRONES</t>
  </si>
  <si>
    <t>TRANSFERENCIA BANCARIA 20% DE DESCUENTO. MERCADO PAGO 8% DE DESCUENTO</t>
  </si>
  <si>
    <t>PAGOS POR MERCADO PAGO 8% DE DESCUENTO DEL PRECIO DE LISTA</t>
  </si>
  <si>
    <t>02154 - Bolígrafo medio giro frost puntera metalizada</t>
  </si>
  <si>
    <r>
      <t xml:space="preserve">02156 - Bolígrafo silver grip goma clip metálico  </t>
    </r>
    <r>
      <rPr>
        <sz val="8"/>
        <color indexed="10"/>
        <rFont val="Arial"/>
        <family val="2"/>
      </rPr>
      <t xml:space="preserve"> </t>
    </r>
  </si>
  <si>
    <t xml:space="preserve">P5533 - Gorro Liso 5 gajos con abrojo </t>
  </si>
  <si>
    <t xml:space="preserve">P5532 - Gorro Combinado 5 gajos casco blanco con abrojo     </t>
  </si>
  <si>
    <t>IR A BOLIGRAFOS</t>
  </si>
  <si>
    <t>IR A CINTAS COLGANTES</t>
  </si>
  <si>
    <t>M-45 - Mosquetón metálico 6cm con aro sin fin</t>
  </si>
  <si>
    <t xml:space="preserve">01078 - Botella de aluminio tapa a rosca 750ml </t>
  </si>
  <si>
    <t>02289 - Boligrafo bambú clip mix trigo biodegradable</t>
  </si>
  <si>
    <t>00425 - Cutter Grande</t>
  </si>
  <si>
    <t xml:space="preserve">01079 - Botella de aluminio tapa a rosca 400ml </t>
  </si>
  <si>
    <t>02296 - Boligrafo ATOMIZER sanitizante y apoya celular</t>
  </si>
  <si>
    <t>02334 - Bolígrafo de Bambú clip de metal</t>
  </si>
  <si>
    <t>00251 - Puzzle 7x5,5 cm blanco</t>
  </si>
  <si>
    <r>
      <t>00247 - Dispenser automático de papel</t>
    </r>
    <r>
      <rPr>
        <sz val="8"/>
        <color rgb="FFFF0000"/>
        <rFont val="Arial"/>
        <family val="2"/>
      </rPr>
      <t/>
    </r>
  </si>
  <si>
    <t xml:space="preserve">00382 - Soporte de escritorio para celular </t>
  </si>
  <si>
    <t>00931 - Portalápiz ecológico con notas adhesivas</t>
  </si>
  <si>
    <t>P5559 - Gorro visera plegable</t>
  </si>
  <si>
    <t xml:space="preserve">ID-TZ0001 - Taza plástica/polímero apilable blanca </t>
  </si>
  <si>
    <t xml:space="preserve">00736 - Carpeta 30x24,5cm CON CIERRE </t>
  </si>
  <si>
    <t xml:space="preserve">00735 - Carpeta 30x24,5cm SIN CIERRE    </t>
  </si>
  <si>
    <t>TERMINACIÓN RÚSTICA. NO INCLUYE ENCERADO NI LUSTRADO. MINIMO 100 UNIDADES CON O SIN GRABADO</t>
  </si>
  <si>
    <t>M-27-2 - Porta credencial extensible plástico</t>
  </si>
  <si>
    <r>
      <t>00102-1 - Pin</t>
    </r>
    <r>
      <rPr>
        <b/>
        <sz val="8"/>
        <color rgb="FFFF0000"/>
        <rFont val="Arial"/>
        <family val="2"/>
      </rPr>
      <t xml:space="preserve"> identificador</t>
    </r>
    <r>
      <rPr>
        <sz val="8"/>
        <rFont val="Arial"/>
        <family val="2"/>
      </rPr>
      <t xml:space="preserve"> nombres individuales</t>
    </r>
  </si>
  <si>
    <r>
      <t xml:space="preserve">00102-2 - Pin </t>
    </r>
    <r>
      <rPr>
        <b/>
        <sz val="8"/>
        <color rgb="FFFF0000"/>
        <rFont val="Arial"/>
        <family val="2"/>
      </rPr>
      <t>identificador</t>
    </r>
    <r>
      <rPr>
        <b/>
        <sz val="8"/>
        <rFont val="Arial"/>
        <family val="2"/>
      </rPr>
      <t xml:space="preserve"> con imán</t>
    </r>
  </si>
  <si>
    <t>IR A PARAGUAS</t>
  </si>
  <si>
    <t>IMPRESAS UN LADO</t>
  </si>
  <si>
    <t>IMPRESAS DOS LADOS</t>
  </si>
  <si>
    <t>IMP. FULL COLOR PAPEL FOTO MATE</t>
  </si>
  <si>
    <t>00290-1 - Cinta Llavero Corta 13cm blanca con aro sin fin</t>
  </si>
  <si>
    <t>00291 - Cinta Llavero Larga 22cm blanca con aro sin fin</t>
  </si>
  <si>
    <t>00291-1 - Cinta Llavero Larga 22cm blanca con aro sin fin</t>
  </si>
  <si>
    <t>00302 - Cinta colgante blanca 20mm con aro sin fin</t>
  </si>
  <si>
    <t xml:space="preserve">00302-1 - Cinta colgante blanca 20mm con mosquetón alambre </t>
  </si>
  <si>
    <t xml:space="preserve">00553 - Portadocumento p/auto tapas goma rígidas 16x26cm </t>
  </si>
  <si>
    <t>00089 - Billetera Gastronómica (imp. 2 lados) abierta 16x16cm</t>
  </si>
  <si>
    <t>00986-1 - Estuche Set asado simple (sin plato y cubiertos)</t>
  </si>
  <si>
    <t>00987-1 - Estuche Set asado doble (sin platos y cubiertos)</t>
  </si>
  <si>
    <r>
      <t xml:space="preserve">1 a 29 Planchas  </t>
    </r>
    <r>
      <rPr>
        <sz val="8"/>
        <color indexed="10"/>
        <rFont val="Arial"/>
        <family val="2"/>
      </rPr>
      <t>PRECIO NETO SIN DESCUENTO</t>
    </r>
  </si>
  <si>
    <t>00028 - Mate de madera forrado en cuero</t>
  </si>
  <si>
    <t>IR A PAGINA 4</t>
  </si>
  <si>
    <t>00630 - Set de Manicura estuche símil cuero negro</t>
  </si>
  <si>
    <t>00017 - Bombilla aluminio pintado con resorte fijo</t>
  </si>
  <si>
    <t>02298 - Bolígrafo clic pen ECO cereal fibra de trigo</t>
  </si>
  <si>
    <t>CONFIRMAR PRECIO. ENTREGA ENTRE 20 Y 30 DÍAS</t>
  </si>
  <si>
    <r>
      <t xml:space="preserve">T5400 - Delantal </t>
    </r>
    <r>
      <rPr>
        <b/>
        <sz val="8"/>
        <rFont val="Arial"/>
        <family val="2"/>
      </rPr>
      <t>TEO</t>
    </r>
    <r>
      <rPr>
        <sz val="8"/>
        <rFont val="Arial"/>
        <family val="2"/>
      </rPr>
      <t xml:space="preserve"> jean con cuero, bolsillos, gancho</t>
    </r>
  </si>
  <si>
    <r>
      <t xml:space="preserve">T5200 - Delantal </t>
    </r>
    <r>
      <rPr>
        <b/>
        <sz val="8"/>
        <rFont val="Arial"/>
        <family val="2"/>
      </rPr>
      <t>VICENT</t>
    </r>
    <r>
      <rPr>
        <sz val="8"/>
        <rFont val="Arial"/>
        <family val="2"/>
      </rPr>
      <t xml:space="preserve"> jean con cuero, aplique y bolsillo</t>
    </r>
  </si>
  <si>
    <t>IR A DELANTALES</t>
  </si>
  <si>
    <t>T5400</t>
  </si>
  <si>
    <t>T5200</t>
  </si>
  <si>
    <t>10489</t>
  </si>
  <si>
    <t>00905 - Paraguas gigante con sistema anti viento</t>
  </si>
  <si>
    <t>00902 - Paraguas ejecutivo mango curvo colores claros</t>
  </si>
  <si>
    <t>00894 - Paraguas ejecutivo automático gris o azul oscuro</t>
  </si>
  <si>
    <t xml:space="preserve">PERSONALIZADOS CON LOGO </t>
  </si>
  <si>
    <t>M-35-1</t>
  </si>
  <si>
    <t>M-45</t>
  </si>
  <si>
    <t>85/03</t>
  </si>
  <si>
    <t>02322 - Bolígrafo metálico retráctil aros cromados</t>
  </si>
  <si>
    <t>00928 - Mini carpeta Eco cartón 23x16,5 cm con boligrafo</t>
  </si>
  <si>
    <t>00920 - Cuaderno Eco cuero soft mate 21x14 cm</t>
  </si>
  <si>
    <t>00542 - Tablilla porta block A4 de corcho</t>
  </si>
  <si>
    <t>01064 - Vaso térmico acero y plástico 500ml</t>
  </si>
  <si>
    <t>M-27-2</t>
  </si>
  <si>
    <t>01040 - Botella de aluminio tapa con tira de silicona 600ml</t>
  </si>
  <si>
    <t>00048 - S1/S2/S3 - Llavero cuero ecológico (marrón o negro)</t>
  </si>
  <si>
    <t>01083 - Vaso térmico acero PAMPERO® CHALTEN 400ml</t>
  </si>
  <si>
    <t>10530 - Caja de pino para una botella de vino</t>
  </si>
  <si>
    <t>10523</t>
  </si>
  <si>
    <t>02295 - Boligrafo Spray Sanitizante medio giro</t>
  </si>
  <si>
    <t>02346 - Bolígrafo acero negro mate trazo negro con estuche</t>
  </si>
  <si>
    <t>P5530-1</t>
  </si>
  <si>
    <t>00919 - Portalápiz ecológico negro con notas adhesivas</t>
  </si>
  <si>
    <t>IP-T12M - Taza cerámica mate</t>
  </si>
  <si>
    <t>ST-N27</t>
  </si>
  <si>
    <t>ST-N28 - Pad Mouse sublimable PVC grande 29x19cm</t>
  </si>
  <si>
    <t>ST-N28</t>
  </si>
  <si>
    <t>ST-N27 - Pad Mouse sublimable PVC redondo 19,5 cm diám.</t>
  </si>
  <si>
    <t>ST-N26</t>
  </si>
  <si>
    <t>ST-N26 - Pad Mouse sublimable PVC cuadrado 19x19 cm</t>
  </si>
  <si>
    <t>00551-1</t>
  </si>
  <si>
    <t>00551-1 - Portadocumento goma 17x26cm Flexible Fuelle 4cm</t>
  </si>
  <si>
    <t>00551-2 - Portadocumento goma 17x26cm Rígido Fuelle 4cm</t>
  </si>
  <si>
    <t>00551 - Portadocumento tapas goma 17x26cm flexible</t>
  </si>
  <si>
    <t>00551-2</t>
  </si>
  <si>
    <t>00969-1</t>
  </si>
  <si>
    <t>00046-7</t>
  </si>
  <si>
    <t>00046-9</t>
  </si>
  <si>
    <t>00046-6</t>
  </si>
  <si>
    <t>00046-8</t>
  </si>
  <si>
    <t>00046AR - Llavero plástico dome full color 1 lado ARGENTINA</t>
  </si>
  <si>
    <t>00046CA - Llavero plástico dome full color 1 lado CASITA</t>
  </si>
  <si>
    <t>00046AR</t>
  </si>
  <si>
    <t>00046CA</t>
  </si>
  <si>
    <t>01053 - Vaso térmico doble pared de acero 350ml</t>
  </si>
  <si>
    <t>00883 - Paraguas gigante reforzado automático</t>
  </si>
  <si>
    <t>P5559</t>
  </si>
  <si>
    <t>T6200 - Lona Playera Rayada de algodón y poliéster</t>
  </si>
  <si>
    <t>T6100 - Lona Playera Lisa con hilo de color</t>
  </si>
  <si>
    <t xml:space="preserve">00117 - Copa de vino 17cm  alto. Grabado laser  </t>
  </si>
  <si>
    <t xml:space="preserve">00129 - Chopp de vidrio 350cc. Grabado laser </t>
  </si>
  <si>
    <t>00982 - Set asado 1 plato s/cuero Tramontina mango plástico</t>
  </si>
  <si>
    <t>01034 - Jarro térmico acero y bambú tapa presión 300ml</t>
  </si>
  <si>
    <t xml:space="preserve">00101N - Pin con dome full color base estandar </t>
  </si>
  <si>
    <t>00101N</t>
  </si>
  <si>
    <r>
      <t>00102NIM - Pin con dome full color</t>
    </r>
    <r>
      <rPr>
        <b/>
        <sz val="8"/>
        <rFont val="Arial"/>
        <family val="2"/>
      </rPr>
      <t xml:space="preserve"> con imán</t>
    </r>
  </si>
  <si>
    <t>00102NIM</t>
  </si>
  <si>
    <r>
      <t xml:space="preserve">02251 - Bolígrafo Ecológico cartón reciclado </t>
    </r>
    <r>
      <rPr>
        <b/>
        <sz val="8"/>
        <color rgb="FF0070C0"/>
        <rFont val="Arial"/>
        <family val="2"/>
      </rPr>
      <t>TRAZO AZUL</t>
    </r>
  </si>
  <si>
    <t>00540 - Marbete - Identificador de valijas tela industrial liviana</t>
  </si>
  <si>
    <t>00544 - Tablilla porta block A4</t>
  </si>
  <si>
    <t>00540-1 - Marbete - Identificador de valijas tela folia</t>
  </si>
  <si>
    <t>MEDIDAS EN WEB</t>
  </si>
  <si>
    <t>02291 - Boligrafo de bambú puntera plástica de color</t>
  </si>
  <si>
    <t>01033 - Botella de aluminio tapa plástica a rosca con aro</t>
  </si>
  <si>
    <t>02281 - Bolígrafo curvo cuerpo de color</t>
  </si>
  <si>
    <t xml:space="preserve">00946 - Set de notas adhesivas plástico frost </t>
  </si>
  <si>
    <t>00428 - Cutter chico cuerpo de color</t>
  </si>
  <si>
    <t>00312 - Destapador clásico de aluminio</t>
  </si>
  <si>
    <t xml:space="preserve">00117-1 - Copa de vino 21cm alto. Grabado laser </t>
  </si>
  <si>
    <t xml:space="preserve">00621 - Revolvedor de pintura blanco </t>
  </si>
  <si>
    <t xml:space="preserve">02254-1 - Bolígrafo cuerpo de color retráctil </t>
  </si>
  <si>
    <t>03001 - Dispenser de bolsas sanitarias para mascotas</t>
  </si>
  <si>
    <t>LL-102 - Llavero de metal con forma de hueso</t>
  </si>
  <si>
    <t>00268 - Calculadora blanca con detalle de color</t>
  </si>
  <si>
    <r>
      <t xml:space="preserve">02254TA - Bolígrafo cuerpo blanco retráctil </t>
    </r>
    <r>
      <rPr>
        <b/>
        <sz val="8"/>
        <color rgb="FF0070C0"/>
        <rFont val="Arial"/>
        <family val="2"/>
      </rPr>
      <t>TRAZO AZUL</t>
    </r>
  </si>
  <si>
    <t>10489 - Destapador dos tiempos metálico</t>
  </si>
  <si>
    <t>00550 - Porta credenciales 11,5x9cm 4 bolsillos</t>
  </si>
  <si>
    <t>00916 - Cuaderno Plain tapa dura 21x14 cm con elástico</t>
  </si>
  <si>
    <t>00426-1 - Cutter chico cuerpo blanco</t>
  </si>
  <si>
    <r>
      <t xml:space="preserve">00900 - Paraguas gigante </t>
    </r>
    <r>
      <rPr>
        <b/>
        <sz val="8"/>
        <rFont val="Arial"/>
        <family val="2"/>
      </rPr>
      <t>combinado</t>
    </r>
    <r>
      <rPr>
        <sz val="8"/>
        <rFont val="Arial"/>
        <family val="2"/>
      </rPr>
      <t xml:space="preserve"> con sistema anti viento</t>
    </r>
  </si>
  <si>
    <t>PARAGUAS</t>
  </si>
  <si>
    <t>IR A PROD. SUBLIMADOS</t>
  </si>
  <si>
    <t xml:space="preserve">DOME FULL COLOR. Baño niquelado. </t>
  </si>
  <si>
    <t>02293 - Boligrafo Ecocereal slim medio giro</t>
  </si>
  <si>
    <t>00116 - Vaso de trago largo (14cm o 16 cm)</t>
  </si>
  <si>
    <t xml:space="preserve">00249 - Anotador plástico 10,5 x 8 cm con mini bolígrafo </t>
  </si>
  <si>
    <t>IP-T47 - Vaso 650ml aluminio terminación mate</t>
  </si>
  <si>
    <t xml:space="preserve">DOME FULL COLOR UN LADO. Baño niquelado. </t>
  </si>
  <si>
    <t>00983 - Set asado 2 platos s/cuero Tramontina mango plást.</t>
  </si>
  <si>
    <t xml:space="preserve">00091 - Porta Tarjeta de Crédito y SUBE       </t>
  </si>
  <si>
    <t>00640 - Espejo de mano tipo estuche con tapa</t>
  </si>
  <si>
    <t xml:space="preserve">P5530-1 - Gorro 100% poliester 6 gajos con abrojo </t>
  </si>
  <si>
    <r>
      <t xml:space="preserve">Recargo impresión adicional </t>
    </r>
    <r>
      <rPr>
        <b/>
        <sz val="9"/>
        <color rgb="FFFF0000"/>
        <rFont val="Arial"/>
        <family val="2"/>
      </rPr>
      <t xml:space="preserve">DIGITAL UV </t>
    </r>
  </si>
  <si>
    <r>
      <t xml:space="preserve">Recargo impresión adicional en </t>
    </r>
    <r>
      <rPr>
        <b/>
        <sz val="9"/>
        <color rgb="FFFF0000"/>
        <rFont val="Arial"/>
        <family val="2"/>
      </rPr>
      <t>TAMPOGRAFIA BOLIGRAFOS</t>
    </r>
  </si>
  <si>
    <r>
      <t xml:space="preserve">Recargo impresión al dorso </t>
    </r>
    <r>
      <rPr>
        <b/>
        <sz val="9"/>
        <color rgb="FFFF0000"/>
        <rFont val="Arial"/>
        <family val="2"/>
      </rPr>
      <t>DIGITAL UV BOLIGRAFOS</t>
    </r>
  </si>
  <si>
    <t>EN ART. CON IMPRESION EN 2 LADOS LOS RECARGOS EN SERIGRAFIA SE COBRAN DOBLES. (Ej. Art. 00060/00061/00062/00063 etc.)</t>
  </si>
  <si>
    <t>x2000</t>
  </si>
  <si>
    <t>x5000</t>
  </si>
  <si>
    <t>00921 - Cuaderno Eco cuero y corcho 21x14 cm</t>
  </si>
  <si>
    <t>00823 - Cuaderno anillado 22x17cm 80 hojas rayadas</t>
  </si>
  <si>
    <t>02254TA</t>
  </si>
  <si>
    <t>02254-1</t>
  </si>
  <si>
    <t xml:space="preserve">IP-T23 - Chop vidrio esmerilado mate 350ml      </t>
  </si>
  <si>
    <t>Recargo impresión adicional tampografía bolígrafos mayores cantidades:</t>
  </si>
  <si>
    <t>LL-102</t>
  </si>
  <si>
    <t>00819 - Carpeta A4 con block de hojas y porta bolígrafo</t>
  </si>
  <si>
    <t>00815 - Agenda perpetua 22x17cm semanal anillada negra</t>
  </si>
  <si>
    <t>01080 - Vaso térmico Wagner® Zeit</t>
  </si>
  <si>
    <t>01081 - Vaso térmico Slazenger® Slice</t>
  </si>
  <si>
    <t xml:space="preserve">01043 - Vaso térmico acero tapa a rosca </t>
  </si>
  <si>
    <t>01044 - Vaso térmico Pampero® Bayo</t>
  </si>
  <si>
    <t>02246 - Lápiz negro Carpintero</t>
  </si>
  <si>
    <t>00672 - Neceser simil cuero negro con cierre y manija</t>
  </si>
  <si>
    <t>00686 - Neceser poliester con cierre y manija</t>
  </si>
  <si>
    <r>
      <t xml:space="preserve">00064 - Cubo Portalápices blanco </t>
    </r>
    <r>
      <rPr>
        <sz val="8"/>
        <color rgb="FFFF0000"/>
        <rFont val="Arial"/>
        <family val="2"/>
      </rPr>
      <t xml:space="preserve">CALENDARIO FULL COLOR </t>
    </r>
  </si>
  <si>
    <t>11610 - Repuesto de almanaque 2024</t>
  </si>
  <si>
    <t xml:space="preserve">00416 - Llavero Goma Eva Óvalo con aro sin fin  </t>
  </si>
  <si>
    <t>00417 - Llavero Goma Eva Cuadrado con aro sin fin</t>
  </si>
  <si>
    <t>00418 - Llavero Goma Eva Rectangular con aro sin fin</t>
  </si>
  <si>
    <r>
      <t xml:space="preserve">00061 - Cubo Portalápices blanco </t>
    </r>
    <r>
      <rPr>
        <sz val="8"/>
        <color indexed="10"/>
        <rFont val="Arial"/>
        <family val="2"/>
      </rPr>
      <t>CALENDARIO IMP. 1 COLOR</t>
    </r>
  </si>
  <si>
    <t>11604 - Almanaque Paisajes 14 Hojas - Logo 1 color</t>
  </si>
  <si>
    <t>11605 - Almanaque Paisajes 14 Hojas blanco - Logo full color</t>
  </si>
  <si>
    <r>
      <t xml:space="preserve">05008 - Cinta métrica 2 mts. </t>
    </r>
    <r>
      <rPr>
        <sz val="8"/>
        <color rgb="FFFF0000"/>
        <rFont val="Arial"/>
        <family val="2"/>
      </rPr>
      <t xml:space="preserve">con freno </t>
    </r>
    <r>
      <rPr>
        <sz val="8"/>
        <rFont val="Arial"/>
        <family val="2"/>
      </rPr>
      <t>y enganche cinturón</t>
    </r>
  </si>
  <si>
    <r>
      <t xml:space="preserve">05010 - Cinta métrica 3 mts. </t>
    </r>
    <r>
      <rPr>
        <sz val="8"/>
        <color rgb="FFFF0000"/>
        <rFont val="Arial"/>
        <family val="2"/>
      </rPr>
      <t>con freno</t>
    </r>
    <r>
      <rPr>
        <sz val="8"/>
        <rFont val="Arial"/>
        <family val="2"/>
      </rPr>
      <t xml:space="preserve"> y enganche cinturón</t>
    </r>
  </si>
  <si>
    <r>
      <t xml:space="preserve">05011 - Cinta métrica 2 mts. </t>
    </r>
    <r>
      <rPr>
        <sz val="8"/>
        <color rgb="FFFF0000"/>
        <rFont val="Arial"/>
        <family val="2"/>
      </rPr>
      <t>sin freno</t>
    </r>
    <r>
      <rPr>
        <sz val="8"/>
        <rFont val="Arial"/>
        <family val="2"/>
      </rPr>
      <t xml:space="preserve"> </t>
    </r>
  </si>
  <si>
    <r>
      <t xml:space="preserve">05012 - Cinta métrica 3 mts. </t>
    </r>
    <r>
      <rPr>
        <sz val="8"/>
        <color rgb="FFFF0000"/>
        <rFont val="Arial"/>
        <family val="2"/>
      </rPr>
      <t>sin freno</t>
    </r>
    <r>
      <rPr>
        <sz val="8"/>
        <rFont val="Arial"/>
        <family val="2"/>
      </rPr>
      <t xml:space="preserve"> </t>
    </r>
  </si>
  <si>
    <r>
      <t xml:space="preserve">T5201 - Delantal </t>
    </r>
    <r>
      <rPr>
        <b/>
        <sz val="8"/>
        <rFont val="Arial"/>
        <family val="2"/>
      </rPr>
      <t xml:space="preserve">Gabardina </t>
    </r>
    <r>
      <rPr>
        <sz val="8"/>
        <rFont val="Arial"/>
        <family val="2"/>
      </rPr>
      <t>con aplique y bolsillo</t>
    </r>
  </si>
  <si>
    <t>T5100 - Delantal jean con bolsillo</t>
  </si>
  <si>
    <t>T5201</t>
  </si>
  <si>
    <t>T5650 - Delantal 100% algodón beige con bolsillo</t>
  </si>
  <si>
    <t xml:space="preserve">P5533-1 - Gorro liso 5 gajos 100% poliester con abrojo </t>
  </si>
  <si>
    <t>02299 - Bolígrafo cuerpo de color</t>
  </si>
  <si>
    <t>00631 - Espejito plástico compacto redondo</t>
  </si>
  <si>
    <r>
      <t xml:space="preserve">00326 - Carpita inyectada posalapiz </t>
    </r>
    <r>
      <rPr>
        <sz val="8"/>
        <color rgb="FFFF0000"/>
        <rFont val="Arial"/>
        <family val="2"/>
      </rPr>
      <t>calendario y logo full color</t>
    </r>
  </si>
  <si>
    <r>
      <t xml:space="preserve">00322 - Carpita inyectada </t>
    </r>
    <r>
      <rPr>
        <sz val="8"/>
        <color rgb="FFFF0000"/>
        <rFont val="Arial"/>
        <family val="2"/>
      </rPr>
      <t>calendario y logo full color</t>
    </r>
  </si>
  <si>
    <t>CE-M13 - Taza recta blanca IMPORTADA AAA</t>
  </si>
  <si>
    <t>00426-1</t>
  </si>
  <si>
    <t xml:space="preserve">00373 - Holder Pop Up soporte para celular </t>
  </si>
  <si>
    <t>00309 - Llavero destapador con tira plástica logo rectangular</t>
  </si>
  <si>
    <t>00308 - Llavero destapador con tira plástica logo redondo</t>
  </si>
  <si>
    <t>00046-1MT - Llavero metálico con tira c/dome - OVALADO</t>
  </si>
  <si>
    <t>00046-4MT - Llavero metálico con tira c/dome - RECT. LARGO</t>
  </si>
  <si>
    <t>00046-5MT - Llavero metálico con tira c/dome - REDONDO</t>
  </si>
  <si>
    <t>00025 - Mate algarrobo cilindro</t>
  </si>
  <si>
    <t>01049 - Botella aluminio 650ml tapa con agarre</t>
  </si>
  <si>
    <t>01048 - Botella aluminio 660ml tapa con aro</t>
  </si>
  <si>
    <t>01050 - Botella aluminio 750ml con mosquetón</t>
  </si>
  <si>
    <t>01010 - Tabla premium EUCALIPTO asado 30x20x2 cm</t>
  </si>
  <si>
    <t>01011 - Tabla premium EUCALIPTO asado 50x30x2 cm</t>
  </si>
  <si>
    <t>Para el diseño de los calendarios de los Art. 00015 / 00061 / 00063 / 00064 / 00321 / 00322 / 00325 / 00326 / 00344 / 00942 / 00949 / 00950 / 11604 y demás productos con almanaque, se utiliza información publicada por el Ministerio del Interior en su página web al día 30 de junio de 2023. Muestras a disposición del cliente para verificar diseño.</t>
  </si>
  <si>
    <t>02294 - Boligrafo medio giro blanco clip de color</t>
  </si>
  <si>
    <t>00046-1MT</t>
  </si>
  <si>
    <t>00046-4MT</t>
  </si>
  <si>
    <t>00046-5MT</t>
  </si>
  <si>
    <t>00540-1</t>
  </si>
  <si>
    <t>x1</t>
  </si>
  <si>
    <t>00687 - Mochila morral cruzada con USB</t>
  </si>
  <si>
    <t>x20</t>
  </si>
  <si>
    <t>x200+</t>
  </si>
  <si>
    <t>00833 - Cuaderno símil cuero 21x14,5cm 100 hojas rayadas</t>
  </si>
  <si>
    <t>P5556 - Gorro Trucker Camionero con red frente blanco</t>
  </si>
  <si>
    <t>00395 - Parlante pendolo plastico 3w 300mah</t>
  </si>
  <si>
    <t>00397 - Parlante bluetooth bambú 3w 350mah</t>
  </si>
  <si>
    <t>00398 - Parlante bluetooth metálico 3w 300mah</t>
  </si>
  <si>
    <t>00711 - Mochila poliester 300D con cinta para carry on y USB</t>
  </si>
  <si>
    <t>En Remeras manga corta o larga, Buzos y Chombas estampados en tranfer digital el precio incluye logo hasta 150cm2 (ejemplo 10x15cm)</t>
  </si>
  <si>
    <t>EN TODOS LOS PRODUCTOS BORDADOS SE DEBE ENVIAR EL LOGO PARA CONFIRMAR PRECIO</t>
  </si>
  <si>
    <t>Full color hasta 200 cm2</t>
  </si>
  <si>
    <t>Full color hasta 600 cm2</t>
  </si>
  <si>
    <t>Full color hasta 400 cm2</t>
  </si>
  <si>
    <t>Full color hasta 50 cm2</t>
  </si>
  <si>
    <t>MOCHILAS Y BOLSOS ESTAMPADOS FULL COLOR HASTA 50cm2</t>
  </si>
  <si>
    <t>RECARGOS POR CADA ESTAMPADO ADICIONAL EN TRANSFER DIGITAL FULL COLOR EN REMERAS, BUZOS Y CHOMBAS</t>
  </si>
  <si>
    <t>IMPRESIÓN DE AMBOS LADOS FULL COLOR SIN FONDO PLENO</t>
  </si>
  <si>
    <t>00423C - Llavero acrílico 3mm imp. full color cuadrado 4x4cm</t>
  </si>
  <si>
    <t>00423B - Llavero acrílico 3mm imp. full color redondo 4cm</t>
  </si>
  <si>
    <t>00423F - Llavero acrílico 3mm imp. full color formato especial</t>
  </si>
  <si>
    <t>00423D - Llavero acrílico 3mm imp. full color ovalado 6x3cm</t>
  </si>
  <si>
    <t>00423A - Llavero acrílico 3mm imp. full color rectangular 6x3cm</t>
  </si>
  <si>
    <t>IMPRESAS UN LADO FONDO BLANCO</t>
  </si>
  <si>
    <t>IMPRESAS DOS LADOS FONDO COLOR</t>
  </si>
  <si>
    <t>IMP. UN LADO FONDO BLANCO</t>
  </si>
  <si>
    <t>IMP. DOS LADOS FONDO COLOR</t>
  </si>
  <si>
    <t>IR A CUADERNOS</t>
  </si>
  <si>
    <t xml:space="preserve">00935 - Cuaderno eco 18x14cm con bolígrafo y notas </t>
  </si>
  <si>
    <t>00962 - Cuaderno espiralado 21x14cm c/bolígrafo y estuche</t>
  </si>
  <si>
    <t>02350 - Bolígrafo metálico mate touch destape plateado</t>
  </si>
  <si>
    <t>00966 - Cuaderno con notas adhesivas y bolígrafo touch</t>
  </si>
  <si>
    <t>01029 - Botella reutilizable PET blanca tapa PP 600ml</t>
  </si>
  <si>
    <t>01030 - Botella reutilizable PET transparente tapa PP 600ml</t>
  </si>
  <si>
    <t xml:space="preserve">01031 - Botella reutilizable PET pastel tapa PP 600ml </t>
  </si>
  <si>
    <t>01028 - Botella aluminio 750ml tapa de acero y bambú</t>
  </si>
  <si>
    <t>00880B</t>
  </si>
  <si>
    <t>00881B</t>
  </si>
  <si>
    <t>01036 - Botella deportiva plástico 750ml con sorbete</t>
  </si>
  <si>
    <t>00710 - Mochila H04 poliester 300D con USB</t>
  </si>
  <si>
    <t xml:space="preserve">00085-1NE - Portapatente Modelo Mercosur negro                            </t>
  </si>
  <si>
    <t>00085-1BL - Portapatente Modelo Mercosur blanco</t>
  </si>
  <si>
    <t>00714 - Mochila cierre oculto poliester 300D con USB</t>
  </si>
  <si>
    <t>Estampado adicional transfer por gajo logo hasta 200cm2</t>
  </si>
  <si>
    <t>Estampado adicional sublimación por cada gajo logo hasta A4</t>
  </si>
  <si>
    <t>Estampado adicional transfer logo hasta 50cm2</t>
  </si>
  <si>
    <t>PRODUCTOS SUBLIMADOS LOGO FULL COLOR</t>
  </si>
  <si>
    <t>00661 - Cooler LN poliester 5 litros 20x15x15cm</t>
  </si>
  <si>
    <t>00664 - Cooler FZN poliester 15 litros 34x31x14cm</t>
  </si>
  <si>
    <t>01057 - Jarro térmico acero y plástico 350ml</t>
  </si>
  <si>
    <r>
      <t>00403-4 - Pen Drive</t>
    </r>
    <r>
      <rPr>
        <b/>
        <sz val="8"/>
        <color indexed="10"/>
        <rFont val="Arial"/>
        <family val="2"/>
      </rPr>
      <t xml:space="preserve"> 32 GB </t>
    </r>
    <r>
      <rPr>
        <sz val="8"/>
        <rFont val="Arial"/>
        <family val="2"/>
      </rPr>
      <t>metálico giratorio</t>
    </r>
    <r>
      <rPr>
        <sz val="8"/>
        <color indexed="10"/>
        <rFont val="Arial"/>
        <family val="2"/>
      </rPr>
      <t xml:space="preserve"> </t>
    </r>
  </si>
  <si>
    <t>00403-4</t>
  </si>
  <si>
    <t>00404-4</t>
  </si>
  <si>
    <r>
      <t xml:space="preserve">00404-4 - Pen Drive Tarjeta </t>
    </r>
    <r>
      <rPr>
        <b/>
        <sz val="8"/>
        <color rgb="FFFF0000"/>
        <rFont val="Arial"/>
        <family val="2"/>
      </rPr>
      <t>32 GB</t>
    </r>
    <r>
      <rPr>
        <b/>
        <sz val="8"/>
        <color indexed="10"/>
        <rFont val="Arial"/>
        <family val="2"/>
      </rPr>
      <t xml:space="preserve"> </t>
    </r>
    <r>
      <rPr>
        <sz val="8"/>
        <rFont val="Arial"/>
        <family val="2"/>
      </rPr>
      <t xml:space="preserve">con funda    </t>
    </r>
    <r>
      <rPr>
        <b/>
        <sz val="8"/>
        <color indexed="10"/>
        <rFont val="Arial"/>
        <family val="2"/>
      </rPr>
      <t xml:space="preserve">   </t>
    </r>
  </si>
  <si>
    <t>00413-4</t>
  </si>
  <si>
    <r>
      <t>00413-4 - Pen Drive</t>
    </r>
    <r>
      <rPr>
        <b/>
        <sz val="8"/>
        <color indexed="10"/>
        <rFont val="Arial"/>
        <family val="2"/>
      </rPr>
      <t xml:space="preserve"> 32 GB</t>
    </r>
    <r>
      <rPr>
        <sz val="8"/>
        <rFont val="Arial"/>
        <family val="2"/>
      </rPr>
      <t xml:space="preserve"> bambu giratorio</t>
    </r>
  </si>
  <si>
    <t>00406-4</t>
  </si>
  <si>
    <r>
      <t>00406-4 - Pen Drive</t>
    </r>
    <r>
      <rPr>
        <sz val="8"/>
        <color indexed="10"/>
        <rFont val="Arial"/>
        <family val="2"/>
      </rPr>
      <t xml:space="preserve"> </t>
    </r>
    <r>
      <rPr>
        <b/>
        <sz val="8"/>
        <color indexed="10"/>
        <rFont val="Arial"/>
        <family val="2"/>
      </rPr>
      <t xml:space="preserve">32 GB </t>
    </r>
    <r>
      <rPr>
        <sz val="8"/>
        <rFont val="Arial"/>
        <family val="2"/>
      </rPr>
      <t xml:space="preserve">metálico giratorio </t>
    </r>
  </si>
  <si>
    <t>00403-5</t>
  </si>
  <si>
    <r>
      <t>00403-5 - Pen Drive</t>
    </r>
    <r>
      <rPr>
        <b/>
        <sz val="8"/>
        <color indexed="10"/>
        <rFont val="Arial"/>
        <family val="2"/>
      </rPr>
      <t xml:space="preserve"> 64 GB </t>
    </r>
    <r>
      <rPr>
        <sz val="8"/>
        <rFont val="Arial"/>
        <family val="2"/>
      </rPr>
      <t>metálico giratorio</t>
    </r>
    <r>
      <rPr>
        <sz val="8"/>
        <color indexed="10"/>
        <rFont val="Arial"/>
        <family val="2"/>
      </rPr>
      <t xml:space="preserve"> </t>
    </r>
  </si>
  <si>
    <r>
      <t xml:space="preserve">02279 - Boligrafo ECO Friendly </t>
    </r>
    <r>
      <rPr>
        <b/>
        <sz val="8"/>
        <color theme="7"/>
        <rFont val="Arial"/>
        <family val="2"/>
      </rPr>
      <t>TRAZO AZUL</t>
    </r>
  </si>
  <si>
    <t>02292 - Boligrafo ecológico fibra de trigo medio giro</t>
  </si>
  <si>
    <t>02264 - Bolígrafo 4 en 1 trazo azul, rojo, verde y negro</t>
  </si>
  <si>
    <t>00837 - Cuaderno espiralado 18x13cm con bolígrafo</t>
  </si>
  <si>
    <t>00834 - Cuaderno A5 tapa dura PU 21x14cm hojas lisas</t>
  </si>
  <si>
    <t>00741 - Neceser simple MGN 17,5 x 10 x 9,5 cm</t>
  </si>
  <si>
    <t>IMP. FULL COLOR DE UN LADO SIN FONDO PLENO. CON FONDO 40% MAS</t>
  </si>
  <si>
    <t>00836 - Set escritorio con notas y mini bolígrafo</t>
  </si>
  <si>
    <t>00936 - Set escritorio con notas y mini bolígrafo</t>
  </si>
  <si>
    <t>00829 - Anotador ecológico 14 x 7,4 cm con bolígrafo</t>
  </si>
  <si>
    <t>00641 - Cooler Mini friselina aluminio pe foam 20x14x15cm</t>
  </si>
  <si>
    <t>00642 - Cooler lunchera best value poliester 20x14x12,5cm</t>
  </si>
  <si>
    <t>00643 - Cooler lunchera box 24x22x17cm</t>
  </si>
  <si>
    <t>00616 - Almohada inflable para viajes con funda</t>
  </si>
  <si>
    <t>00528 - Marbete - Identificador de valijas PP con precinto</t>
  </si>
  <si>
    <t>00742 - Neceser Barber 22 x 11 x 11 cm</t>
  </si>
  <si>
    <t>00743 - Neceser Cosmetic 20 x 11,5 x 14 cm</t>
  </si>
  <si>
    <r>
      <t xml:space="preserve">00907B - Paraguas gigante reforzado automático </t>
    </r>
    <r>
      <rPr>
        <b/>
        <sz val="8"/>
        <rFont val="Arial"/>
        <family val="2"/>
      </rPr>
      <t>BLANCO</t>
    </r>
  </si>
  <si>
    <r>
      <t xml:space="preserve">00896 - Paraguas gigante reforzado liso </t>
    </r>
    <r>
      <rPr>
        <b/>
        <sz val="8"/>
        <rFont val="Arial"/>
        <family val="2"/>
      </rPr>
      <t>AZUL o NEGRO</t>
    </r>
  </si>
  <si>
    <r>
      <t xml:space="preserve">00888 - Paraguas gigante reforzado </t>
    </r>
    <r>
      <rPr>
        <b/>
        <sz val="8"/>
        <rFont val="Arial"/>
        <family val="2"/>
      </rPr>
      <t>plateado o azul</t>
    </r>
  </si>
  <si>
    <t>00878B</t>
  </si>
  <si>
    <r>
      <t xml:space="preserve">00899 - Paraguas gigante </t>
    </r>
    <r>
      <rPr>
        <b/>
        <sz val="8"/>
        <rFont val="Arial"/>
        <family val="2"/>
      </rPr>
      <t>COMBINADO O BLANCO</t>
    </r>
  </si>
  <si>
    <t>00348 - Pad Mouse Full Color esmerilado 21x19cm</t>
  </si>
  <si>
    <t>01082 - Vaso térmico Slazenger® Deuce</t>
  </si>
  <si>
    <t xml:space="preserve">00415 - Llavero Goma Eva Capilla con aro sin fin          </t>
  </si>
  <si>
    <t>01003 - Tabla pino para asado 18,5 x 24 sin agujero</t>
  </si>
  <si>
    <t>00303 - Cinta full print doble faz con doble mosquetón simple</t>
  </si>
  <si>
    <r>
      <t xml:space="preserve">P5525C - Remera Blanca </t>
    </r>
    <r>
      <rPr>
        <sz val="8"/>
        <rFont val="Arial"/>
        <family val="2"/>
      </rPr>
      <t xml:space="preserve">100% algodón 24/1  </t>
    </r>
  </si>
  <si>
    <t>P5527C - Remera Color 100% algodón 24/1</t>
  </si>
  <si>
    <t>02202-3 - Bolígrafo medio giro TOUCH</t>
  </si>
  <si>
    <r>
      <t xml:space="preserve">00899N - Paraguas gigante </t>
    </r>
    <r>
      <rPr>
        <b/>
        <sz val="8"/>
        <rFont val="Arial"/>
        <family val="2"/>
      </rPr>
      <t>NEGRO</t>
    </r>
  </si>
  <si>
    <t>00899N</t>
  </si>
  <si>
    <t>00907B</t>
  </si>
  <si>
    <t>02202-3</t>
  </si>
  <si>
    <t>P5556L - Gorro Trucker Camionero con red color oscuro</t>
  </si>
  <si>
    <t>P5556L</t>
  </si>
  <si>
    <t>T6100</t>
  </si>
  <si>
    <t>T6105</t>
  </si>
  <si>
    <t>T6200</t>
  </si>
  <si>
    <t>02261 - Bolígrafo cuerpo plástico puntera y pulsador silver</t>
  </si>
  <si>
    <t>LL-112</t>
  </si>
  <si>
    <t>LL-111</t>
  </si>
  <si>
    <t>LL-111 - Llavero de metal y bambu rectangular con estuche</t>
  </si>
  <si>
    <t>LL-112 - Llavero de metal y bambu redondo con estuche</t>
  </si>
  <si>
    <t>LL-113</t>
  </si>
  <si>
    <t>LL-123</t>
  </si>
  <si>
    <t>LL-124</t>
  </si>
  <si>
    <t>LL-113 - Llavero de metal y eco negro cuero con estuche</t>
  </si>
  <si>
    <t>LL-123 - Llavero de metal flag rectangular con estuche</t>
  </si>
  <si>
    <t>LL-124 - Llavero de metal cuadrado borde espejo c/estuche</t>
  </si>
  <si>
    <t>LL-125 - Llavero de metal rectangular clásico con estuche</t>
  </si>
  <si>
    <t>LL-125</t>
  </si>
  <si>
    <t>10485 - Destapador de metal y bambú</t>
  </si>
  <si>
    <t>10485</t>
  </si>
  <si>
    <t>LL-108 - Llavero de metal y bambu giratorio con estuche</t>
  </si>
  <si>
    <t>LL-108</t>
  </si>
  <si>
    <t>LL-109</t>
  </si>
  <si>
    <t>LL-109 - Llavero de metal y bambu rectangular con estuche</t>
  </si>
  <si>
    <t>LL-107 - Llavero de bambu rectangular</t>
  </si>
  <si>
    <t>LL-107</t>
  </si>
  <si>
    <t>00270 - Reloj de viaje tapa rebatible</t>
  </si>
  <si>
    <t>00337 - Porta tarjetas de seguridad RFID con correa elástica</t>
  </si>
  <si>
    <t>10486 - Destapador de metal con tapón en caja</t>
  </si>
  <si>
    <t>10486</t>
  </si>
  <si>
    <t>10497 - Set de vino en caja de simil cuero negro</t>
  </si>
  <si>
    <t>10497</t>
  </si>
  <si>
    <t>T5100</t>
  </si>
  <si>
    <t>T5650</t>
  </si>
  <si>
    <t>LLAVEROS DE GOMA EVA EN PLANCHAS 27x18,5cm TROQUELADAS</t>
  </si>
  <si>
    <r>
      <t xml:space="preserve">x30 o más            </t>
    </r>
    <r>
      <rPr>
        <sz val="8"/>
        <rFont val="Arial"/>
        <family val="2"/>
      </rPr>
      <t xml:space="preserve"> </t>
    </r>
    <r>
      <rPr>
        <sz val="8"/>
        <color indexed="10"/>
        <rFont val="Arial"/>
        <family val="2"/>
      </rPr>
      <t>PRECIO NETO SIN DESCUENTO</t>
    </r>
  </si>
  <si>
    <t>T6105 - Lona Playera Grande XL Lisa con hilo de color</t>
  </si>
  <si>
    <t xml:space="preserve">02260 - Bolígrafo plástico medio giro clip metálico </t>
  </si>
  <si>
    <t>02266 - Roller Touch con capuchón porta celular</t>
  </si>
  <si>
    <t>02262 - Bolígrafo plástico con grip de goma</t>
  </si>
  <si>
    <t xml:space="preserve">CONSULTAR PRECIOS. GRABADOS A FUEGO BAJO RELIEVE. TIEMPO DE PRODUCCION ENTRE 20 y 30 DÍAS. </t>
  </si>
  <si>
    <t>02505 - Tubo con 8 lápices de colores</t>
  </si>
  <si>
    <t>00896 - Paraguas gigante reforzado combinado o blanco</t>
  </si>
  <si>
    <t>02351 - Bolígrafo metálico Stylus medio giro touch</t>
  </si>
  <si>
    <t>00045 - Encendedor blanco impreso de un lado</t>
  </si>
  <si>
    <r>
      <t xml:space="preserve">00875B - Paraguas automático </t>
    </r>
    <r>
      <rPr>
        <b/>
        <sz val="8"/>
        <rFont val="Arial"/>
        <family val="2"/>
      </rPr>
      <t>BLANCO</t>
    </r>
  </si>
  <si>
    <r>
      <t xml:space="preserve">00875 - Paraguas automático </t>
    </r>
    <r>
      <rPr>
        <b/>
        <sz val="8"/>
        <rFont val="Arial"/>
        <family val="2"/>
      </rPr>
      <t>COLOR</t>
    </r>
  </si>
  <si>
    <r>
      <t xml:space="preserve">00880B - Paraguas rPet reciclado automático </t>
    </r>
    <r>
      <rPr>
        <b/>
        <sz val="8"/>
        <rFont val="Arial"/>
        <family val="2"/>
      </rPr>
      <t>BLANCO</t>
    </r>
  </si>
  <si>
    <r>
      <t xml:space="preserve">00880 - Paraguas rPet reciclado automático </t>
    </r>
    <r>
      <rPr>
        <b/>
        <sz val="8"/>
        <rFont val="Arial"/>
        <family val="2"/>
      </rPr>
      <t>COLOR</t>
    </r>
  </si>
  <si>
    <r>
      <t xml:space="preserve">00881B - Paraguas retractil mini </t>
    </r>
    <r>
      <rPr>
        <b/>
        <sz val="8"/>
        <rFont val="Arial"/>
        <family val="2"/>
      </rPr>
      <t>BLANCO</t>
    </r>
    <r>
      <rPr>
        <sz val="8"/>
        <rFont val="Arial"/>
        <family val="2"/>
      </rPr>
      <t xml:space="preserve"> con estuche mochila</t>
    </r>
  </si>
  <si>
    <r>
      <t xml:space="preserve">00881 - Paraguas retractil mini </t>
    </r>
    <r>
      <rPr>
        <b/>
        <sz val="8"/>
        <rFont val="Arial"/>
        <family val="2"/>
      </rPr>
      <t>COLOR</t>
    </r>
    <r>
      <rPr>
        <sz val="8"/>
        <rFont val="Arial"/>
        <family val="2"/>
      </rPr>
      <t xml:space="preserve"> con estuche mochila</t>
    </r>
  </si>
  <si>
    <r>
      <t xml:space="preserve">00882 - Paraguas ejecutivo automático </t>
    </r>
    <r>
      <rPr>
        <b/>
        <sz val="8"/>
        <rFont val="Arial"/>
        <family val="2"/>
      </rPr>
      <t>COLOR</t>
    </r>
  </si>
  <si>
    <r>
      <t xml:space="preserve">00907 - Paraguas gigante reforzado automático </t>
    </r>
    <r>
      <rPr>
        <b/>
        <sz val="8"/>
        <rFont val="Arial"/>
        <family val="2"/>
      </rPr>
      <t>COLOR</t>
    </r>
  </si>
  <si>
    <r>
      <t xml:space="preserve">00906 - Paraguas gigante </t>
    </r>
    <r>
      <rPr>
        <b/>
        <sz val="8"/>
        <rFont val="Arial"/>
        <family val="2"/>
      </rPr>
      <t>COMBINADO</t>
    </r>
    <r>
      <rPr>
        <sz val="8"/>
        <rFont val="Arial"/>
        <family val="2"/>
      </rPr>
      <t xml:space="preserve"> sistema anti viento</t>
    </r>
  </si>
  <si>
    <r>
      <t xml:space="preserve">00906 - Paraguas gigante </t>
    </r>
    <r>
      <rPr>
        <b/>
        <sz val="8"/>
        <rFont val="Arial"/>
        <family val="2"/>
      </rPr>
      <t>COLOR</t>
    </r>
    <r>
      <rPr>
        <sz val="8"/>
        <rFont val="Arial"/>
        <family val="2"/>
      </rPr>
      <t xml:space="preserve"> sistema anti viento</t>
    </r>
  </si>
  <si>
    <t>00875B</t>
  </si>
  <si>
    <t>02352 - Bolígrafo metal y bambú touch</t>
  </si>
  <si>
    <r>
      <t xml:space="preserve">02252 - Bolígrafo Ecológico cartón reciclado </t>
    </r>
    <r>
      <rPr>
        <b/>
        <sz val="8"/>
        <rFont val="Arial"/>
        <family val="2"/>
      </rPr>
      <t>TRAZO NEGRO</t>
    </r>
  </si>
  <si>
    <t xml:space="preserve">02180 - Bolígrafo con supertanque grip de goma </t>
  </si>
  <si>
    <t>01027 - Botella de plástico 550ml tapa a rosca</t>
  </si>
  <si>
    <t>01005 - Tabla pino para asado  18,5 x 30 cm con agujero</t>
  </si>
  <si>
    <t>01004 - Tabla pino 3 espacios p/picada 18,5 x 30cm c/agujero</t>
  </si>
  <si>
    <t>P5598-1- Gorro urbano 6 gajos con red</t>
  </si>
  <si>
    <t>P5598-1</t>
  </si>
  <si>
    <t>02290 - Boligrafo corcho y plástico reciclado</t>
  </si>
  <si>
    <t>02231 - Boligrafo con pulsador y puntera metalizada</t>
  </si>
  <si>
    <t>00887B</t>
  </si>
  <si>
    <t>00826 - Cuaderno A5 tapa dura blanca 21x14 cm con elástico</t>
  </si>
  <si>
    <t>00828 - Cuaderno A5 tapa dura color 21x14 cm con elástico</t>
  </si>
  <si>
    <t>05003-1</t>
  </si>
  <si>
    <t>00015 - Regla 30 cm alto impacto 1,5mm calendario full color</t>
  </si>
  <si>
    <t>00013 - Regla 20 cm alto impacto 1mm</t>
  </si>
  <si>
    <t>00014 - Regla 30 cm alto impacto 1mm</t>
  </si>
  <si>
    <t>00821 - Cuaderno de corcho reciclado A5 - 21x14cm</t>
  </si>
  <si>
    <t>02343 - Roller metálico negro mate engomado con estuche</t>
  </si>
  <si>
    <t>02342 - Bolígrafo metálico negro mate engomado con estuche</t>
  </si>
  <si>
    <t>02348B - Bolígrafo metálico negro mate con estuche</t>
  </si>
  <si>
    <t>02348R - Roller metálico negro mate con estuche</t>
  </si>
  <si>
    <r>
      <t xml:space="preserve">02232 - Boligrafo plástico blanco </t>
    </r>
    <r>
      <rPr>
        <b/>
        <sz val="8"/>
        <color rgb="FF0070C0"/>
        <rFont val="Arial"/>
        <family val="2"/>
      </rPr>
      <t>TRAZO AZUL</t>
    </r>
  </si>
  <si>
    <t>00744 - Neceser Turista microfibra 20 x 16 x 8,5 cm</t>
  </si>
  <si>
    <t>00085 - Portapatente cerrado blanco</t>
  </si>
  <si>
    <t>00874 - Paraguas gigante automático mango eva</t>
  </si>
  <si>
    <r>
      <t xml:space="preserve">00878B - Paraguas ejecutivo automático </t>
    </r>
    <r>
      <rPr>
        <b/>
        <sz val="8"/>
        <rFont val="Arial"/>
        <family val="2"/>
      </rPr>
      <t>BLANCO</t>
    </r>
  </si>
  <si>
    <r>
      <t xml:space="preserve">00878 - Paraguas ejecutivo automático </t>
    </r>
    <r>
      <rPr>
        <b/>
        <sz val="8"/>
        <rFont val="Arial"/>
        <family val="2"/>
      </rPr>
      <t>COLOR</t>
    </r>
  </si>
  <si>
    <r>
      <t xml:space="preserve">00887 - Paraguas gigante reforzado </t>
    </r>
    <r>
      <rPr>
        <b/>
        <sz val="8"/>
        <rFont val="Arial"/>
        <family val="2"/>
      </rPr>
      <t>COLOR</t>
    </r>
    <r>
      <rPr>
        <sz val="8"/>
        <rFont val="Arial"/>
        <family val="2"/>
      </rPr>
      <t xml:space="preserve"> mango madera </t>
    </r>
  </si>
  <si>
    <r>
      <t xml:space="preserve">00887B - Paraguas gigante reforzado </t>
    </r>
    <r>
      <rPr>
        <b/>
        <sz val="8"/>
        <rFont val="Arial"/>
        <family val="2"/>
      </rPr>
      <t>BLANCO</t>
    </r>
    <r>
      <rPr>
        <sz val="8"/>
        <rFont val="Arial"/>
        <family val="2"/>
      </rPr>
      <t xml:space="preserve"> mango madera </t>
    </r>
  </si>
  <si>
    <t>02332 - Set Bolígrafo touch y Portaminas Bambú clip de metal</t>
  </si>
  <si>
    <t>02348B</t>
  </si>
  <si>
    <t>00018 - Mate térmico premium de acero con bombilla y caja</t>
  </si>
  <si>
    <t>00423F</t>
  </si>
  <si>
    <t>00423B</t>
  </si>
  <si>
    <t>00423D</t>
  </si>
  <si>
    <t>00423C</t>
  </si>
  <si>
    <t>00423E</t>
  </si>
  <si>
    <t>00423E - Llavero acrílico 3mm imp. full color casita 5x4,7cm</t>
  </si>
  <si>
    <t>00423A</t>
  </si>
  <si>
    <t>40/01 - Juego cuchillo y tenedor parrillero en caja</t>
  </si>
  <si>
    <t>40/01</t>
  </si>
  <si>
    <t>45/01</t>
  </si>
  <si>
    <t>45/01 - Juego cuchillo y tenedor parrillero en estuche</t>
  </si>
  <si>
    <t>27/02</t>
  </si>
  <si>
    <t>46/01 - Tabla premium bambú 40x30cm con cuchilla y afilador</t>
  </si>
  <si>
    <t>46/01</t>
  </si>
  <si>
    <t>00940 - Libreta ecológica 13,8 x 18cm con bolígrafo hoja lisa</t>
  </si>
  <si>
    <t>00991</t>
  </si>
  <si>
    <t>00994 - Set parrillero 4 piezas en estuche</t>
  </si>
  <si>
    <t>00991 - Set parrillero grande premium 3 piezas en estuche</t>
  </si>
  <si>
    <t>00994</t>
  </si>
  <si>
    <t>00995 - Set parrillero 4 piezas en estuche</t>
  </si>
  <si>
    <t>00995</t>
  </si>
  <si>
    <t>00792 - Set de herramientas 11 piezas en estuche</t>
  </si>
  <si>
    <t>00792</t>
  </si>
  <si>
    <t>00721 - Bolso Voyage poliester 600D 45 litros</t>
  </si>
  <si>
    <t>00720 - Bolso deportivo WRKT poliester 600D 68 litros</t>
  </si>
  <si>
    <t>00716 - Mochila SGT Poliéster 300D + Snow 9 litros</t>
  </si>
  <si>
    <t>00718 - Mochila Waterproof impermeable portanotebook 11 Lt</t>
  </si>
  <si>
    <t>00717 - Mochila Executive 13,5Lt poliéster 600D alta densidad</t>
  </si>
  <si>
    <t>00600 - Maletin poliéster 600D 12 litros 40x30x10 cm</t>
  </si>
  <si>
    <t>00584 - Bolso Matero Polycanvas gris 10 litros</t>
  </si>
  <si>
    <t>00582 - Bolso Mochila Matero gris 12 litros</t>
  </si>
  <si>
    <t>00580 - Bolso Matero gris con división 10 litros</t>
  </si>
  <si>
    <t>00577 - Mochila SLAZENGER® Mochila Walking 20 litros</t>
  </si>
  <si>
    <t>00609 - Mochila NOMAWALK® City 11 litros</t>
  </si>
  <si>
    <t>00611 - Mochila NOMAWALK® Funcional 14 litros</t>
  </si>
  <si>
    <t>00657 - Mochila Corp 14 litros</t>
  </si>
  <si>
    <t>00658 - Mochila Basic 14 litros</t>
  </si>
  <si>
    <t>00659 - Mochila Promobag 17 litros</t>
  </si>
  <si>
    <t>00660 - Mochila chica Eco Bag 10 litros</t>
  </si>
  <si>
    <t>00694 - Mochila Classic 15 litros</t>
  </si>
  <si>
    <t>00698 - Mochila HL poliester 15 litros</t>
  </si>
  <si>
    <t>00599 - Mochila Duomo porta notebook polycanvas 17 litros</t>
  </si>
  <si>
    <t>00570 - Mochila Urban porta notebook poliéster 600D 14 litros</t>
  </si>
  <si>
    <t>IR A MOCHILAS - BOLSOS - ETC</t>
  </si>
  <si>
    <t>IR A ART. DE CUERO - CUCHILLERIA</t>
  </si>
  <si>
    <r>
      <t xml:space="preserve">00873 - Paraguas mini </t>
    </r>
    <r>
      <rPr>
        <b/>
        <sz val="8"/>
        <rFont val="Arial"/>
        <family val="2"/>
      </rPr>
      <t>COLOR</t>
    </r>
    <r>
      <rPr>
        <sz val="8"/>
        <rFont val="Arial"/>
        <family val="2"/>
      </rPr>
      <t xml:space="preserve"> varillas metálicas</t>
    </r>
  </si>
  <si>
    <r>
      <t xml:space="preserve">00873B - Paraguas mini </t>
    </r>
    <r>
      <rPr>
        <b/>
        <sz val="8"/>
        <rFont val="Arial"/>
        <family val="2"/>
      </rPr>
      <t>BLANCO</t>
    </r>
    <r>
      <rPr>
        <sz val="8"/>
        <rFont val="Arial"/>
        <family val="2"/>
      </rPr>
      <t xml:space="preserve"> varillas metálicas</t>
    </r>
  </si>
  <si>
    <r>
      <t xml:space="preserve">00876 - Paraguas ejecutivo </t>
    </r>
    <r>
      <rPr>
        <b/>
        <sz val="8"/>
        <rFont val="Arial"/>
        <family val="2"/>
      </rPr>
      <t>COLOR</t>
    </r>
    <r>
      <rPr>
        <sz val="8"/>
        <rFont val="Arial"/>
        <family val="2"/>
      </rPr>
      <t xml:space="preserve"> automático</t>
    </r>
  </si>
  <si>
    <t>00266 - Reloj de bambú 30cm diám agujas de metal</t>
  </si>
  <si>
    <t>00266</t>
  </si>
  <si>
    <t>00873B</t>
  </si>
  <si>
    <t>00608 - Mochila NOMAWALK® Free Flow 12 litros</t>
  </si>
  <si>
    <t>00572-1 - Bolsa mochila botinero poliéster 210D 14 litros</t>
  </si>
  <si>
    <r>
      <t xml:space="preserve">T5300 - Delantal </t>
    </r>
    <r>
      <rPr>
        <b/>
        <sz val="8"/>
        <rFont val="Arial"/>
        <family val="2"/>
      </rPr>
      <t>CAMPARY</t>
    </r>
    <r>
      <rPr>
        <sz val="8"/>
        <rFont val="Arial"/>
        <family val="2"/>
      </rPr>
      <t xml:space="preserve"> jean con cuero, aplique y bolsillos</t>
    </r>
  </si>
  <si>
    <t>T5300</t>
  </si>
  <si>
    <t>P5539-1V - Buzo Blanco 100% algodón</t>
  </si>
  <si>
    <t>P5540-1V - Buzo Color 100% algodón</t>
  </si>
  <si>
    <t>02348R</t>
  </si>
  <si>
    <t>00886B</t>
  </si>
  <si>
    <r>
      <t xml:space="preserve">00886B - Paraguas ejecutivo automático </t>
    </r>
    <r>
      <rPr>
        <b/>
        <sz val="8"/>
        <rFont val="Arial"/>
        <family val="2"/>
      </rPr>
      <t>BLANCO</t>
    </r>
  </si>
  <si>
    <r>
      <t xml:space="preserve">00886 - Paraguas ejecutivo automático </t>
    </r>
    <r>
      <rPr>
        <b/>
        <sz val="8"/>
        <rFont val="Arial"/>
        <family val="2"/>
      </rPr>
      <t>COLOR</t>
    </r>
  </si>
  <si>
    <t>00668 - Organizador de electrónica FLM</t>
  </si>
  <si>
    <t>00667 - Organizador de electrónica TDB</t>
  </si>
  <si>
    <t>01026 - Botella de plástico 550ml tapa a rosca</t>
  </si>
  <si>
    <t xml:space="preserve">00085-2 - Portapatente Modelo chico abierto blanco o negro            </t>
  </si>
  <si>
    <t>01042 - Botella de acero inoxidable tapa a rosca 750 ml</t>
  </si>
  <si>
    <t>01041 - Botella de acero inoxidable 800 ml tapa con tira</t>
  </si>
  <si>
    <t>01045 - Vaso térmico acero PAMPERO® PUELO 590 ml</t>
  </si>
  <si>
    <t>01046 - Vaso térmico acero PAMPERO® MAIPO 600 ml</t>
  </si>
  <si>
    <t xml:space="preserve">IP-T46C -  Chop 800ml aluminio </t>
  </si>
  <si>
    <t>00307 - Llavero destapador de aluminio</t>
  </si>
  <si>
    <t>00301 - Cinta colgante 20mm con aro sin fin</t>
  </si>
  <si>
    <t xml:space="preserve">00301-1 - Cinta colgante 20mm con mosquetón alambre </t>
  </si>
  <si>
    <t>00301-2 - Cinta colgante 20mm mosq. gatillo zamak</t>
  </si>
  <si>
    <r>
      <t xml:space="preserve">02233 - Boligrafo </t>
    </r>
    <r>
      <rPr>
        <b/>
        <sz val="8"/>
        <rFont val="Arial"/>
        <family val="2"/>
      </rPr>
      <t>PAPER MATE®</t>
    </r>
    <r>
      <rPr>
        <sz val="8"/>
        <rFont val="Arial"/>
        <family val="2"/>
      </rPr>
      <t xml:space="preserve"> INKJOY 300RT</t>
    </r>
  </si>
  <si>
    <t xml:space="preserve">02234 - Bolígrafo blanco óvalo de color (imp. ambos lados) </t>
  </si>
  <si>
    <t>02234-1 - Boligrafo de color óvalo blanco (imp. ambos lados)</t>
  </si>
  <si>
    <t>M-37</t>
  </si>
  <si>
    <t>M-37  - Llavero cinta poliester con mosquetón metálico</t>
  </si>
  <si>
    <t>00088-1 - Broche sujeta papel con iman</t>
  </si>
  <si>
    <t>00088-1</t>
  </si>
  <si>
    <t>00085-2</t>
  </si>
  <si>
    <t>00085-1B</t>
  </si>
  <si>
    <t>00085-1N</t>
  </si>
  <si>
    <t>CE-M13</t>
  </si>
  <si>
    <t>IP-T12M</t>
  </si>
  <si>
    <t>IP-T18M</t>
  </si>
  <si>
    <t>IP-T23</t>
  </si>
  <si>
    <t>IP-T21</t>
  </si>
  <si>
    <t>LISTA DE PRECIOS Nº 7 / 2024 (En Pesos)  -  NO INCLUYE I.V.A.  -  JULIO 2024</t>
  </si>
  <si>
    <t>02506 - Set de 6 crayones en cajita</t>
  </si>
  <si>
    <t>02504 - Set de 6 mini lápices de colores en cajita</t>
  </si>
  <si>
    <t>00572-1</t>
  </si>
  <si>
    <t>00586 - Bolso Matero negro con simil gamuza</t>
  </si>
  <si>
    <r>
      <t xml:space="preserve">05003 - Llavero Cinta Métrica 1 metro con dome </t>
    </r>
    <r>
      <rPr>
        <b/>
        <sz val="8"/>
        <rFont val="Arial"/>
        <family val="2"/>
      </rPr>
      <t>UN LADO</t>
    </r>
  </si>
  <si>
    <t>05003-1 - Llavero Cinta Métrica 1M imp. full color ambos lados</t>
  </si>
  <si>
    <t xml:space="preserve">00933 - Anotador ecológico 14x9 cm con bolígrafo </t>
  </si>
  <si>
    <t>00917 - Cuaderno Tapa Corcho 21x14 cm con elástico</t>
  </si>
  <si>
    <t>00924-1 - Cuaderno ecológico hojas rayadas - Nuevo modelo</t>
  </si>
  <si>
    <t>00924-1</t>
  </si>
  <si>
    <t>00301-4 - Cinta colgante 20mm mosq. zamak anzuelo</t>
  </si>
  <si>
    <t>00302-4 - Cinta colgante blanca 20mm mosq. zamak anzuelo</t>
  </si>
  <si>
    <t>00301-6 - Cinta colgante 20mm mosq. plástico anzuelo</t>
  </si>
  <si>
    <t>00301-4</t>
  </si>
  <si>
    <t>00302-4</t>
  </si>
  <si>
    <t>00302-6 - Cinta colgante blanca 20mm mosq. plástico anzuelo</t>
  </si>
  <si>
    <t>00301-6</t>
  </si>
  <si>
    <t>00534 - Identificador de equipaje Travel Tag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</si>
</sst>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quot;$&quot;\ #,##0.00;[Red]&quot;$&quot;\ \-#,##0.00"/>
    <numFmt numFmtId="165" formatCode="0.000"/>
    <numFmt numFmtId="166" formatCode="00000"/>
    <numFmt numFmtId="167" formatCode="_-[$€]* #.##0.00_-;\-[$€]* #.##0.00_-;_-[$€]* &quot;-&quot;??_-;_-@_-"/>
    <numFmt numFmtId="168" formatCode="&quot;$&quot;\ #,##0"/>
  </numFmts>
  <fonts count="128" x14ac:knownFonts="1">
    <font>
      <sz val="10"/>
      <name val="Arial"/>
    </font>
    <font>
      <sz val="10"/>
      <name val="Arial"/>
      <family val="2"/>
    </font>
    <font>
      <b/>
      <sz val="8"/>
      <color indexed="10"/>
      <name val="Arial"/>
      <family val="2"/>
    </font>
    <font>
      <sz val="8"/>
      <color indexed="10"/>
      <name val="Arial"/>
      <family val="2"/>
    </font>
    <font>
      <b/>
      <sz val="8"/>
      <name val="Arial"/>
      <family val="2"/>
    </font>
    <font>
      <sz val="8"/>
      <name val="Arial"/>
      <family val="2"/>
    </font>
    <font>
      <sz val="7"/>
      <name val="Arial"/>
      <family val="2"/>
    </font>
    <font>
      <b/>
      <sz val="8"/>
      <color indexed="8"/>
      <name val="Arial"/>
      <family val="2"/>
    </font>
    <font>
      <b/>
      <sz val="12"/>
      <name val="Arial"/>
      <family val="2"/>
    </font>
    <font>
      <sz val="9"/>
      <name val="Arial"/>
      <family val="2"/>
    </font>
    <font>
      <b/>
      <sz val="10"/>
      <color indexed="10"/>
      <name val="Arial"/>
      <family val="2"/>
    </font>
    <font>
      <sz val="10"/>
      <color indexed="10"/>
      <name val="Arial"/>
      <family val="2"/>
    </font>
    <font>
      <u/>
      <sz val="10"/>
      <color indexed="12"/>
      <name val="Arial"/>
      <family val="2"/>
    </font>
    <font>
      <sz val="12"/>
      <color indexed="10"/>
      <name val="Arial"/>
      <family val="2"/>
    </font>
    <font>
      <b/>
      <sz val="10"/>
      <name val="Arial"/>
      <family val="2"/>
    </font>
    <font>
      <b/>
      <sz val="9"/>
      <name val="Arial"/>
      <family val="2"/>
    </font>
    <font>
      <b/>
      <sz val="9"/>
      <color indexed="8"/>
      <name val="Verdana"/>
      <family val="2"/>
    </font>
    <font>
      <sz val="8"/>
      <color indexed="8"/>
      <name val="Arial"/>
      <family val="2"/>
    </font>
    <font>
      <sz val="10"/>
      <name val="Arial"/>
      <family val="2"/>
    </font>
    <font>
      <b/>
      <sz val="9"/>
      <color indexed="8"/>
      <name val="Arial"/>
      <family val="2"/>
    </font>
    <font>
      <sz val="10"/>
      <color indexed="12"/>
      <name val="Arial"/>
      <family val="2"/>
    </font>
    <font>
      <sz val="12"/>
      <color indexed="12"/>
      <name val="Arial"/>
      <family val="2"/>
    </font>
    <font>
      <sz val="6"/>
      <color indexed="12"/>
      <name val="Arial"/>
      <family val="2"/>
    </font>
    <font>
      <sz val="8"/>
      <color indexed="12"/>
      <name val="Arial"/>
      <family val="2"/>
    </font>
    <font>
      <sz val="10"/>
      <color indexed="61"/>
      <name val="Arial"/>
      <family val="2"/>
    </font>
    <font>
      <b/>
      <sz val="8"/>
      <color indexed="10"/>
      <name val="Arial Narrow"/>
      <family val="2"/>
    </font>
    <font>
      <b/>
      <sz val="9"/>
      <color indexed="10"/>
      <name val="Arial"/>
      <family val="2"/>
    </font>
    <font>
      <sz val="8"/>
      <color indexed="10"/>
      <name val="Arial Narrow"/>
      <family val="2"/>
    </font>
    <font>
      <b/>
      <sz val="7"/>
      <name val="Arial"/>
      <family val="2"/>
    </font>
    <font>
      <b/>
      <sz val="7"/>
      <color indexed="10"/>
      <name val="Arial"/>
      <family val="2"/>
    </font>
    <font>
      <b/>
      <sz val="16"/>
      <color indexed="9"/>
      <name val="Arial"/>
      <family val="2"/>
    </font>
    <font>
      <sz val="7"/>
      <color indexed="10"/>
      <name val="Arial"/>
      <family val="2"/>
    </font>
    <font>
      <sz val="6"/>
      <color indexed="10"/>
      <name val="Arial Narrow"/>
      <family val="2"/>
    </font>
    <font>
      <b/>
      <sz val="14"/>
      <color indexed="9"/>
      <name val="Arial"/>
      <family val="2"/>
    </font>
    <font>
      <b/>
      <sz val="6"/>
      <color indexed="10"/>
      <name val="Arial"/>
      <family val="2"/>
    </font>
    <font>
      <sz val="6"/>
      <color indexed="10"/>
      <name val="Arial"/>
      <family val="2"/>
    </font>
    <font>
      <b/>
      <sz val="9"/>
      <color indexed="10"/>
      <name val="Arial Narrow"/>
      <family val="2"/>
    </font>
    <font>
      <b/>
      <i/>
      <sz val="8"/>
      <color indexed="10"/>
      <name val="Arial"/>
      <family val="2"/>
    </font>
    <font>
      <u/>
      <sz val="10"/>
      <name val="Arial"/>
      <family val="2"/>
    </font>
    <font>
      <sz val="10"/>
      <color indexed="8"/>
      <name val="Arial"/>
      <family val="2"/>
    </font>
    <font>
      <b/>
      <sz val="10"/>
      <color indexed="63"/>
      <name val="Segoe UI"/>
      <family val="2"/>
    </font>
    <font>
      <b/>
      <sz val="7"/>
      <name val="Arial Narrow"/>
      <family val="2"/>
    </font>
    <font>
      <sz val="10"/>
      <color indexed="13"/>
      <name val="Arial"/>
      <family val="2"/>
    </font>
    <font>
      <sz val="9"/>
      <color indexed="10"/>
      <name val="Arial"/>
      <family val="2"/>
    </font>
    <font>
      <sz val="8"/>
      <name val="Arial"/>
      <family val="2"/>
    </font>
    <font>
      <sz val="6"/>
      <name val="Arial"/>
      <family val="2"/>
    </font>
    <font>
      <b/>
      <sz val="8"/>
      <color indexed="9"/>
      <name val="Arial"/>
      <family val="2"/>
    </font>
    <font>
      <sz val="12"/>
      <name val="Arial"/>
      <family val="2"/>
    </font>
    <font>
      <b/>
      <sz val="10"/>
      <name val="Arial Narrow"/>
      <family val="2"/>
    </font>
    <font>
      <sz val="8"/>
      <color indexed="9"/>
      <name val="Arial"/>
      <family val="2"/>
    </font>
    <font>
      <sz val="10"/>
      <color indexed="9"/>
      <name val="Arial"/>
      <family val="2"/>
    </font>
    <font>
      <b/>
      <sz val="11"/>
      <color indexed="56"/>
      <name val="Arial"/>
      <family val="2"/>
    </font>
    <font>
      <sz val="10"/>
      <color indexed="23"/>
      <name val="Arial"/>
      <family val="2"/>
    </font>
    <font>
      <b/>
      <u/>
      <sz val="9"/>
      <color indexed="12"/>
      <name val="Arial"/>
      <family val="2"/>
    </font>
    <font>
      <b/>
      <sz val="10"/>
      <color indexed="8"/>
      <name val="Arial"/>
      <family val="2"/>
    </font>
    <font>
      <u/>
      <sz val="8"/>
      <color indexed="12"/>
      <name val="Arial"/>
      <family val="2"/>
    </font>
    <font>
      <b/>
      <sz val="11"/>
      <color indexed="8"/>
      <name val="Arial"/>
      <family val="2"/>
    </font>
    <font>
      <b/>
      <sz val="9"/>
      <color indexed="9"/>
      <name val="Arial"/>
      <family val="2"/>
    </font>
    <font>
      <sz val="6"/>
      <color indexed="8"/>
      <name val="Arial"/>
      <family val="2"/>
    </font>
    <font>
      <b/>
      <sz val="16"/>
      <name val="Arial"/>
      <family val="2"/>
    </font>
    <font>
      <sz val="10"/>
      <color indexed="56"/>
      <name val="Arial"/>
      <family val="2"/>
    </font>
    <font>
      <sz val="10"/>
      <color indexed="30"/>
      <name val="Arial"/>
      <family val="2"/>
    </font>
    <font>
      <u/>
      <sz val="9"/>
      <color indexed="30"/>
      <name val="Arial"/>
      <family val="2"/>
    </font>
    <font>
      <sz val="7"/>
      <name val="Arial Narrow"/>
      <family val="2"/>
    </font>
    <font>
      <b/>
      <sz val="8"/>
      <name val="Arial Narrow"/>
      <family val="2"/>
    </font>
    <font>
      <sz val="10"/>
      <name val="Arial Narrow"/>
      <family val="2"/>
    </font>
    <font>
      <sz val="6"/>
      <name val="Arial Narrow"/>
      <family val="2"/>
    </font>
    <font>
      <sz val="8"/>
      <name val="Arial Narrow"/>
      <family val="2"/>
    </font>
    <font>
      <u/>
      <sz val="8"/>
      <color indexed="12"/>
      <name val="Arial Narrow"/>
      <family val="2"/>
    </font>
    <font>
      <b/>
      <sz val="8"/>
      <color theme="1"/>
      <name val="Arial"/>
      <family val="2"/>
    </font>
    <font>
      <sz val="10"/>
      <color rgb="FFFF0000"/>
      <name val="Arial"/>
      <family val="2"/>
    </font>
    <font>
      <b/>
      <sz val="8"/>
      <color rgb="FFFF0000"/>
      <name val="Arial"/>
      <family val="2"/>
    </font>
    <font>
      <sz val="10"/>
      <color theme="9"/>
      <name val="Arial"/>
      <family val="2"/>
    </font>
    <font>
      <sz val="8"/>
      <color theme="9"/>
      <name val="Arial"/>
      <family val="2"/>
    </font>
    <font>
      <sz val="10"/>
      <color rgb="FF00B050"/>
      <name val="Arial"/>
      <family val="2"/>
    </font>
    <font>
      <u/>
      <sz val="8"/>
      <color theme="9"/>
      <name val="Arial"/>
      <family val="2"/>
    </font>
    <font>
      <b/>
      <sz val="8"/>
      <color rgb="FFFF0000"/>
      <name val="Arial Narrow"/>
      <family val="2"/>
    </font>
    <font>
      <b/>
      <sz val="8"/>
      <color theme="1"/>
      <name val="Arial Narrow"/>
      <family val="2"/>
    </font>
    <font>
      <sz val="8"/>
      <color rgb="FFFF0000"/>
      <name val="Arial"/>
      <family val="2"/>
    </font>
    <font>
      <b/>
      <sz val="9"/>
      <color rgb="FFFF0000"/>
      <name val="Arial"/>
      <family val="2"/>
    </font>
    <font>
      <b/>
      <sz val="10"/>
      <color rgb="FFFF0000"/>
      <name val="Arial"/>
      <family val="2"/>
    </font>
    <font>
      <sz val="9"/>
      <color rgb="FFFF0000"/>
      <name val="Arial"/>
      <family val="2"/>
    </font>
    <font>
      <b/>
      <sz val="8"/>
      <color theme="0"/>
      <name val="Arial"/>
      <family val="2"/>
    </font>
    <font>
      <sz val="8"/>
      <color theme="0"/>
      <name val="Arial"/>
      <family val="2"/>
    </font>
    <font>
      <sz val="10"/>
      <color theme="0"/>
      <name val="Arial"/>
      <family val="2"/>
    </font>
    <font>
      <u/>
      <sz val="10"/>
      <color rgb="FFFF0000"/>
      <name val="Arial"/>
      <family val="2"/>
    </font>
    <font>
      <sz val="12"/>
      <color theme="0"/>
      <name val="Arial"/>
      <family val="2"/>
    </font>
    <font>
      <sz val="6"/>
      <color theme="0"/>
      <name val="Arial Narrow"/>
      <family val="2"/>
    </font>
    <font>
      <sz val="10"/>
      <color theme="0"/>
      <name val="Arial Narrow"/>
      <family val="2"/>
    </font>
    <font>
      <sz val="10"/>
      <color theme="1"/>
      <name val="Arial"/>
      <family val="2"/>
    </font>
    <font>
      <sz val="8"/>
      <color theme="1"/>
      <name val="Arial"/>
      <family val="2"/>
    </font>
    <font>
      <b/>
      <sz val="9"/>
      <color theme="0"/>
      <name val="Arial"/>
      <family val="2"/>
    </font>
    <font>
      <sz val="9"/>
      <color theme="0"/>
      <name val="Arial"/>
      <family val="2"/>
    </font>
    <font>
      <b/>
      <sz val="18"/>
      <color theme="0"/>
      <name val="Arial"/>
      <family val="2"/>
    </font>
    <font>
      <b/>
      <sz val="12"/>
      <color theme="0"/>
      <name val="Arial"/>
      <family val="2"/>
    </font>
    <font>
      <u/>
      <sz val="8"/>
      <color theme="0"/>
      <name val="Arial"/>
      <family val="2"/>
    </font>
    <font>
      <b/>
      <sz val="12"/>
      <color theme="1"/>
      <name val="Arial Narrow"/>
      <family val="2"/>
    </font>
    <font>
      <sz val="12"/>
      <color theme="1"/>
      <name val="Arial"/>
      <family val="2"/>
    </font>
    <font>
      <b/>
      <sz val="14"/>
      <color theme="0"/>
      <name val="Arial"/>
      <family val="2"/>
    </font>
    <font>
      <b/>
      <sz val="12"/>
      <color theme="1"/>
      <name val="Arial"/>
      <family val="2"/>
    </font>
    <font>
      <b/>
      <sz val="9"/>
      <color rgb="FFFF0000"/>
      <name val="Arial Narrow"/>
      <family val="2"/>
    </font>
    <font>
      <sz val="10"/>
      <color theme="3"/>
      <name val="Arial"/>
      <family val="2"/>
    </font>
    <font>
      <sz val="11"/>
      <color indexed="8"/>
      <name val="Arial"/>
      <family val="2"/>
    </font>
    <font>
      <b/>
      <sz val="8"/>
      <color rgb="FF0070C0"/>
      <name val="Arial"/>
      <family val="2"/>
    </font>
    <font>
      <b/>
      <sz val="15"/>
      <color theme="0"/>
      <name val="Arial"/>
      <family val="2"/>
    </font>
    <font>
      <sz val="15"/>
      <color theme="0"/>
      <name val="Arial"/>
      <family val="2"/>
    </font>
    <font>
      <b/>
      <sz val="8"/>
      <name val="Verdana"/>
      <family val="2"/>
    </font>
    <font>
      <b/>
      <u/>
      <sz val="10"/>
      <color theme="0"/>
      <name val="Arial"/>
      <family val="2"/>
    </font>
    <font>
      <b/>
      <sz val="8"/>
      <color theme="7"/>
      <name val="Arial"/>
      <family val="2"/>
    </font>
    <font>
      <b/>
      <sz val="9"/>
      <color indexed="81"/>
      <name val="Tahoma"/>
      <family val="2"/>
    </font>
    <font>
      <b/>
      <sz val="8"/>
      <color indexed="81"/>
      <name val="Tahoma"/>
      <family val="2"/>
    </font>
    <font>
      <b/>
      <sz val="10"/>
      <color theme="0"/>
      <name val="Arial"/>
      <family val="2"/>
    </font>
    <font>
      <b/>
      <sz val="7"/>
      <color rgb="FFFF0000"/>
      <name val="Arial"/>
      <family val="2"/>
    </font>
    <font>
      <b/>
      <sz val="8"/>
      <color rgb="FF0070C0"/>
      <name val="Arial Narrow"/>
      <family val="2"/>
    </font>
    <font>
      <b/>
      <sz val="8"/>
      <color theme="4" tint="-0.249977111117893"/>
      <name val="Arial Narrow"/>
      <family val="2"/>
    </font>
    <font>
      <b/>
      <sz val="7"/>
      <color rgb="FFFF0000"/>
      <name val="Arial Narrow"/>
      <family val="2"/>
    </font>
    <font>
      <u/>
      <sz val="9"/>
      <color rgb="FFFF0000"/>
      <name val="Arial"/>
      <family val="2"/>
    </font>
    <font>
      <u/>
      <sz val="8"/>
      <color rgb="FFFF0000"/>
      <name val="Arial"/>
      <family val="2"/>
    </font>
    <font>
      <b/>
      <sz val="14"/>
      <name val="Arial"/>
      <family val="2"/>
    </font>
    <font>
      <sz val="14"/>
      <name val="Arial"/>
      <family val="2"/>
    </font>
    <font>
      <b/>
      <sz val="14"/>
      <color theme="1"/>
      <name val="Arial"/>
      <family val="2"/>
    </font>
    <font>
      <sz val="14"/>
      <color theme="1"/>
      <name val="Arial"/>
      <family val="2"/>
    </font>
    <font>
      <b/>
      <i/>
      <sz val="9"/>
      <name val="Arial"/>
      <family val="2"/>
    </font>
    <font>
      <u/>
      <sz val="7"/>
      <color indexed="12"/>
      <name val="Arial"/>
      <family val="2"/>
    </font>
    <font>
      <u/>
      <sz val="9"/>
      <color indexed="12"/>
      <name val="Arial"/>
      <family val="2"/>
    </font>
    <font>
      <b/>
      <sz val="9"/>
      <color indexed="81"/>
      <name val="Tahoma"/>
      <charset val="1"/>
    </font>
    <font>
      <b/>
      <sz val="8"/>
      <color theme="0"/>
      <name val="Arial Narrow"/>
      <family val="2"/>
    </font>
    <font>
      <b/>
      <sz val="8"/>
      <color theme="3" tint="0.79998168889431442"/>
      <name val="Arial Narrow"/>
      <family val="2"/>
    </font>
  </fonts>
  <fills count="2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theme="0"/>
        <bgColor indexed="64"/>
      </patternFill>
    </fill>
    <fill>
      <patternFill patternType="solid">
        <fgColor theme="5" tint="0.59999389629810485"/>
        <bgColor indexed="64"/>
      </patternFill>
    </fill>
    <fill>
      <patternFill patternType="solid">
        <fgColor rgb="FFFFFF99"/>
        <bgColor indexed="64"/>
      </patternFill>
    </fill>
    <fill>
      <patternFill patternType="solid">
        <fgColor theme="3" tint="0.79998168889431442"/>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8" tint="0.59999389629810485"/>
        <bgColor indexed="64"/>
      </patternFill>
    </fill>
    <fill>
      <patternFill patternType="solid">
        <fgColor rgb="FFFFFFCC"/>
        <bgColor indexed="64"/>
      </patternFill>
    </fill>
    <fill>
      <patternFill patternType="solid">
        <fgColor theme="1"/>
        <bgColor indexed="64"/>
      </patternFill>
    </fill>
    <fill>
      <patternFill patternType="solid">
        <fgColor theme="1" tint="0.14999847407452621"/>
        <bgColor indexed="64"/>
      </patternFill>
    </fill>
    <fill>
      <patternFill patternType="solid">
        <fgColor theme="3" tint="0.79998168889431442"/>
        <bgColor indexed="9"/>
      </patternFill>
    </fill>
    <fill>
      <patternFill patternType="solid">
        <fgColor theme="1" tint="0.34998626667073579"/>
        <bgColor indexed="64"/>
      </patternFill>
    </fill>
    <fill>
      <patternFill patternType="solid">
        <fgColor theme="5" tint="-0.249977111117893"/>
        <bgColor indexed="64"/>
      </patternFill>
    </fill>
    <fill>
      <patternFill patternType="solid">
        <fgColor theme="1" tint="4.9989318521683403E-2"/>
        <bgColor indexed="64"/>
      </patternFill>
    </fill>
    <fill>
      <patternFill patternType="solid">
        <fgColor theme="0"/>
        <bgColor indexed="9"/>
      </patternFill>
    </fill>
    <fill>
      <patternFill patternType="solid">
        <fgColor theme="7" tint="0.59999389629810485"/>
        <bgColor indexed="64"/>
      </patternFill>
    </fill>
    <fill>
      <patternFill patternType="solid">
        <fgColor theme="7" tint="0.79998168889431442"/>
        <bgColor indexed="64"/>
      </patternFill>
    </fill>
  </fills>
  <borders count="69">
    <border>
      <left/>
      <right/>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style="thin">
        <color indexed="8"/>
      </right>
      <top/>
      <bottom style="thin">
        <color indexed="8"/>
      </bottom>
      <diagonal/>
    </border>
    <border>
      <left/>
      <right style="thin">
        <color indexed="64"/>
      </right>
      <top/>
      <bottom style="thin">
        <color indexed="64"/>
      </bottom>
      <diagonal/>
    </border>
    <border>
      <left style="thin">
        <color indexed="8"/>
      </left>
      <right style="thin">
        <color indexed="8"/>
      </right>
      <top/>
      <bottom/>
      <diagonal/>
    </border>
    <border>
      <left style="thin">
        <color indexed="64"/>
      </left>
      <right/>
      <top style="thin">
        <color indexed="64"/>
      </top>
      <bottom style="thin">
        <color indexed="64"/>
      </bottom>
      <diagonal/>
    </border>
    <border>
      <left/>
      <right/>
      <top/>
      <bottom style="thin">
        <color indexed="64"/>
      </bottom>
      <diagonal/>
    </border>
    <border>
      <left/>
      <right style="medium">
        <color indexed="64"/>
      </right>
      <top/>
      <bottom/>
      <diagonal/>
    </border>
    <border>
      <left style="thin">
        <color indexed="8"/>
      </left>
      <right/>
      <top/>
      <bottom style="thin">
        <color indexed="8"/>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8"/>
      </left>
      <right/>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8"/>
      </left>
      <right/>
      <top/>
      <bottom style="thin">
        <color indexed="64"/>
      </bottom>
      <diagonal/>
    </border>
    <border>
      <left/>
      <right style="thin">
        <color indexed="64"/>
      </right>
      <top/>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8"/>
      </left>
      <right style="thin">
        <color indexed="8"/>
      </right>
      <top/>
      <bottom style="medium">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medium">
        <color indexed="64"/>
      </left>
      <right style="medium">
        <color indexed="64"/>
      </right>
      <top/>
      <bottom/>
      <diagonal/>
    </border>
    <border>
      <left/>
      <right style="thin">
        <color indexed="8"/>
      </right>
      <top/>
      <bottom/>
      <diagonal/>
    </border>
    <border>
      <left/>
      <right style="thin">
        <color indexed="8"/>
      </right>
      <top/>
      <bottom style="thin">
        <color indexed="8"/>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thin">
        <color indexed="8"/>
      </bottom>
      <diagonal/>
    </border>
    <border>
      <left style="thin">
        <color indexed="8"/>
      </left>
      <right style="thin">
        <color indexed="8"/>
      </right>
      <top/>
      <bottom style="thin">
        <color indexed="64"/>
      </bottom>
      <diagonal/>
    </border>
    <border>
      <left style="thin">
        <color indexed="8"/>
      </left>
      <right style="thin">
        <color indexed="64"/>
      </right>
      <top/>
      <bottom style="medium">
        <color indexed="64"/>
      </bottom>
      <diagonal/>
    </border>
  </borders>
  <cellStyleXfs count="4">
    <xf numFmtId="0" fontId="0" fillId="0" borderId="0"/>
    <xf numFmtId="167" fontId="1" fillId="0" borderId="0" applyFont="0" applyFill="0" applyBorder="0" applyAlignment="0" applyProtection="0"/>
    <xf numFmtId="0" fontId="12" fillId="0" borderId="0" applyNumberFormat="0" applyFill="0" applyBorder="0" applyAlignment="0" applyProtection="0">
      <alignment vertical="top"/>
      <protection locked="0"/>
    </xf>
    <xf numFmtId="9" fontId="1" fillId="0" borderId="0" applyFont="0" applyFill="0" applyBorder="0" applyAlignment="0" applyProtection="0"/>
  </cellStyleXfs>
  <cellXfs count="1297">
    <xf numFmtId="0" fontId="0" fillId="0" borderId="0" xfId="0"/>
    <xf numFmtId="0" fontId="0" fillId="0" borderId="0" xfId="0" applyBorder="1"/>
    <xf numFmtId="0" fontId="0" fillId="0" borderId="1" xfId="0" applyBorder="1"/>
    <xf numFmtId="0" fontId="0" fillId="2" borderId="0" xfId="0" applyFill="1"/>
    <xf numFmtId="0" fontId="0" fillId="2" borderId="0" xfId="0" applyFill="1" applyBorder="1"/>
    <xf numFmtId="0" fontId="0" fillId="0" borderId="0" xfId="0" applyAlignment="1">
      <alignment horizontal="left"/>
    </xf>
    <xf numFmtId="0" fontId="0" fillId="0" borderId="0" xfId="0" applyAlignment="1">
      <alignment vertical="center"/>
    </xf>
    <xf numFmtId="0" fontId="0" fillId="0" borderId="2" xfId="0" applyBorder="1"/>
    <xf numFmtId="0" fontId="0" fillId="2" borderId="0" xfId="0" applyFill="1" applyAlignment="1">
      <alignment horizontal="left"/>
    </xf>
    <xf numFmtId="0" fontId="0" fillId="2" borderId="0" xfId="0" applyFill="1" applyAlignment="1">
      <alignment vertical="center"/>
    </xf>
    <xf numFmtId="0" fontId="0" fillId="2" borderId="0" xfId="0" applyFill="1" applyAlignment="1">
      <alignment horizontal="right"/>
    </xf>
    <xf numFmtId="0" fontId="0" fillId="2" borderId="0" xfId="0" applyFill="1" applyBorder="1" applyAlignment="1">
      <alignment horizontal="right"/>
    </xf>
    <xf numFmtId="0" fontId="13" fillId="2" borderId="0" xfId="0" applyFont="1" applyFill="1" applyAlignment="1">
      <alignment horizontal="right"/>
    </xf>
    <xf numFmtId="0" fontId="15" fillId="2" borderId="0" xfId="0" applyFont="1" applyFill="1" applyBorder="1" applyAlignment="1">
      <alignment vertical="center"/>
    </xf>
    <xf numFmtId="0" fontId="0" fillId="2" borderId="0" xfId="0" applyFill="1" applyBorder="1" applyAlignment="1"/>
    <xf numFmtId="0" fontId="0" fillId="2" borderId="0" xfId="0" applyFill="1" applyBorder="1" applyAlignment="1">
      <alignment horizontal="left"/>
    </xf>
    <xf numFmtId="2" fontId="2" fillId="2" borderId="0" xfId="0" applyNumberFormat="1" applyFont="1" applyFill="1" applyBorder="1" applyAlignment="1">
      <alignment horizontal="center"/>
    </xf>
    <xf numFmtId="0" fontId="11" fillId="2" borderId="0" xfId="0" applyFont="1" applyFill="1" applyBorder="1" applyAlignment="1">
      <alignment horizontal="center"/>
    </xf>
    <xf numFmtId="2" fontId="6" fillId="2" borderId="0" xfId="0" applyNumberFormat="1" applyFont="1" applyFill="1" applyBorder="1" applyAlignment="1"/>
    <xf numFmtId="0" fontId="0" fillId="0" borderId="3" xfId="0" applyBorder="1"/>
    <xf numFmtId="0" fontId="20" fillId="2" borderId="0" xfId="0" applyFont="1" applyFill="1" applyAlignment="1">
      <alignment horizontal="right"/>
    </xf>
    <xf numFmtId="0" fontId="20" fillId="2" borderId="0" xfId="0" applyFont="1" applyFill="1" applyBorder="1" applyAlignment="1">
      <alignment horizontal="right"/>
    </xf>
    <xf numFmtId="0" fontId="22" fillId="2" borderId="0" xfId="0" applyFont="1" applyFill="1" applyAlignment="1">
      <alignment horizontal="right" vertical="center"/>
    </xf>
    <xf numFmtId="0" fontId="23" fillId="2" borderId="0" xfId="0" applyFont="1" applyFill="1" applyAlignment="1">
      <alignment horizontal="right"/>
    </xf>
    <xf numFmtId="2" fontId="0" fillId="2" borderId="0" xfId="0" applyNumberFormat="1" applyFill="1" applyBorder="1"/>
    <xf numFmtId="2" fontId="0" fillId="2" borderId="0" xfId="0" applyNumberFormat="1" applyFill="1"/>
    <xf numFmtId="2" fontId="2" fillId="2" borderId="0" xfId="0" applyNumberFormat="1" applyFont="1" applyFill="1" applyBorder="1" applyAlignment="1">
      <alignment horizontal="center" vertical="center"/>
    </xf>
    <xf numFmtId="0" fontId="32" fillId="2" borderId="0" xfId="0" applyFont="1" applyFill="1"/>
    <xf numFmtId="0" fontId="25" fillId="2" borderId="0" xfId="0" applyFont="1" applyFill="1" applyBorder="1" applyAlignment="1">
      <alignment horizontal="center" vertical="center" wrapText="1"/>
    </xf>
    <xf numFmtId="0" fontId="27" fillId="2" borderId="0" xfId="0" applyFont="1" applyFill="1" applyBorder="1" applyAlignment="1">
      <alignment horizontal="center" vertical="center" wrapText="1"/>
    </xf>
    <xf numFmtId="0" fontId="33" fillId="2" borderId="0" xfId="0" applyFont="1" applyFill="1" applyBorder="1" applyAlignment="1">
      <alignment horizontal="center" vertical="center"/>
    </xf>
    <xf numFmtId="166" fontId="12" fillId="2" borderId="3" xfId="2" applyNumberFormat="1" applyFill="1" applyBorder="1" applyAlignment="1" applyProtection="1">
      <alignment horizontal="center"/>
    </xf>
    <xf numFmtId="0" fontId="0" fillId="2" borderId="0" xfId="0" applyFill="1" applyAlignment="1">
      <alignment horizontal="center"/>
    </xf>
    <xf numFmtId="0" fontId="18" fillId="0" borderId="3" xfId="0" applyNumberFormat="1" applyFont="1" applyBorder="1" applyAlignment="1">
      <alignment horizontal="center"/>
    </xf>
    <xf numFmtId="166" fontId="12" fillId="2" borderId="3" xfId="2" applyNumberFormat="1" applyFill="1" applyBorder="1" applyAlignment="1" applyProtection="1">
      <alignment horizontal="center" vertical="center"/>
    </xf>
    <xf numFmtId="0" fontId="38" fillId="2" borderId="0" xfId="0" applyFont="1" applyFill="1"/>
    <xf numFmtId="0" fontId="40" fillId="2" borderId="0" xfId="0" applyFont="1" applyFill="1" applyAlignment="1">
      <alignment wrapText="1"/>
    </xf>
    <xf numFmtId="166" fontId="12" fillId="2" borderId="5" xfId="2" applyNumberFormat="1" applyFill="1" applyBorder="1" applyAlignment="1" applyProtection="1">
      <alignment horizontal="center"/>
    </xf>
    <xf numFmtId="166" fontId="0" fillId="0" borderId="3" xfId="0" applyNumberFormat="1" applyBorder="1" applyAlignment="1">
      <alignment horizontal="center" vertical="center"/>
    </xf>
    <xf numFmtId="0" fontId="18" fillId="2" borderId="0" xfId="0" applyFont="1" applyFill="1"/>
    <xf numFmtId="1" fontId="5" fillId="3" borderId="0" xfId="0" applyNumberFormat="1" applyFont="1" applyFill="1"/>
    <xf numFmtId="2" fontId="4" fillId="0" borderId="3" xfId="0" applyNumberFormat="1" applyFont="1" applyBorder="1" applyAlignment="1">
      <alignment horizontal="center" vertical="center"/>
    </xf>
    <xf numFmtId="2" fontId="0" fillId="2" borderId="0" xfId="0" applyNumberFormat="1" applyFill="1" applyAlignment="1">
      <alignment horizontal="center"/>
    </xf>
    <xf numFmtId="166" fontId="12" fillId="2" borderId="0" xfId="2" applyNumberFormat="1" applyFill="1" applyBorder="1" applyAlignment="1" applyProtection="1">
      <alignment horizontal="center" vertical="center"/>
    </xf>
    <xf numFmtId="0" fontId="0" fillId="2" borderId="0" xfId="0" applyFill="1" applyBorder="1" applyAlignment="1">
      <alignment horizontal="left" vertical="center" wrapText="1"/>
    </xf>
    <xf numFmtId="164" fontId="4" fillId="2" borderId="3" xfId="0" applyNumberFormat="1" applyFont="1" applyFill="1" applyBorder="1" applyAlignment="1">
      <alignment horizontal="center" vertical="center"/>
    </xf>
    <xf numFmtId="0" fontId="0" fillId="2" borderId="0" xfId="0" applyFill="1" applyBorder="1" applyAlignment="1">
      <alignment horizontal="center" vertical="center" wrapText="1"/>
    </xf>
    <xf numFmtId="164" fontId="4" fillId="2" borderId="5" xfId="0" applyNumberFormat="1" applyFont="1" applyFill="1" applyBorder="1" applyAlignment="1">
      <alignment horizontal="center" vertical="center"/>
    </xf>
    <xf numFmtId="0" fontId="24" fillId="2" borderId="0" xfId="0" applyFont="1" applyFill="1" applyBorder="1" applyAlignment="1">
      <alignment horizontal="center"/>
    </xf>
    <xf numFmtId="0" fontId="0" fillId="2" borderId="0" xfId="0" applyFill="1" applyBorder="1" applyAlignment="1">
      <alignment horizontal="center"/>
    </xf>
    <xf numFmtId="0" fontId="14" fillId="2" borderId="0" xfId="0" applyFont="1" applyFill="1" applyBorder="1" applyAlignment="1">
      <alignment horizontal="center" vertical="center" wrapText="1"/>
    </xf>
    <xf numFmtId="0" fontId="16" fillId="2" borderId="0" xfId="0" applyFont="1" applyFill="1" applyBorder="1" applyAlignment="1">
      <alignment horizontal="center"/>
    </xf>
    <xf numFmtId="0" fontId="5" fillId="2" borderId="0" xfId="0" applyFont="1" applyFill="1" applyBorder="1" applyAlignment="1">
      <alignment horizontal="left" vertical="center" wrapText="1"/>
    </xf>
    <xf numFmtId="2" fontId="28" fillId="2" borderId="0" xfId="0" applyNumberFormat="1" applyFont="1" applyFill="1" applyBorder="1" applyAlignment="1">
      <alignment horizontal="left" vertical="center" wrapText="1"/>
    </xf>
    <xf numFmtId="0" fontId="5" fillId="2" borderId="0" xfId="0" applyFont="1" applyFill="1" applyBorder="1" applyAlignment="1">
      <alignment horizontal="center" vertical="center"/>
    </xf>
    <xf numFmtId="165" fontId="4" fillId="2" borderId="0" xfId="0" applyNumberFormat="1" applyFont="1" applyFill="1" applyBorder="1" applyAlignment="1">
      <alignment horizontal="center" vertical="center" wrapText="1"/>
    </xf>
    <xf numFmtId="165" fontId="4" fillId="2" borderId="0" xfId="0" applyNumberFormat="1" applyFont="1" applyFill="1" applyBorder="1" applyAlignment="1">
      <alignment horizontal="center" vertical="center"/>
    </xf>
    <xf numFmtId="0" fontId="5" fillId="0" borderId="0" xfId="0" applyFont="1" applyBorder="1" applyAlignment="1">
      <alignment horizontal="left" vertical="center"/>
    </xf>
    <xf numFmtId="0" fontId="0" fillId="0" borderId="0" xfId="0" applyBorder="1" applyAlignment="1">
      <alignment horizontal="left"/>
    </xf>
    <xf numFmtId="0" fontId="5" fillId="2" borderId="0" xfId="0" applyFont="1" applyFill="1" applyBorder="1" applyAlignment="1">
      <alignment horizontal="left" vertical="center"/>
    </xf>
    <xf numFmtId="0" fontId="0" fillId="2" borderId="0" xfId="0" applyFill="1" applyBorder="1" applyAlignment="1">
      <alignment vertical="center"/>
    </xf>
    <xf numFmtId="0" fontId="58" fillId="2" borderId="0" xfId="0" applyFont="1" applyFill="1" applyAlignment="1">
      <alignment horizontal="right" vertical="center"/>
    </xf>
    <xf numFmtId="2" fontId="4" fillId="2" borderId="0" xfId="0" applyNumberFormat="1" applyFont="1" applyFill="1" applyBorder="1" applyAlignment="1">
      <alignment horizontal="center"/>
    </xf>
    <xf numFmtId="2" fontId="60" fillId="2" borderId="0" xfId="0" applyNumberFormat="1" applyFont="1" applyFill="1" applyBorder="1" applyAlignment="1">
      <alignment horizontal="center"/>
    </xf>
    <xf numFmtId="0" fontId="29" fillId="2" borderId="0" xfId="0" applyFont="1" applyFill="1" applyBorder="1" applyAlignment="1">
      <alignment horizontal="center" vertical="center" wrapText="1"/>
    </xf>
    <xf numFmtId="0" fontId="61" fillId="2" borderId="0" xfId="0" applyFont="1" applyFill="1"/>
    <xf numFmtId="0" fontId="0" fillId="5" borderId="0" xfId="0" applyFill="1" applyBorder="1" applyAlignment="1">
      <alignment wrapText="1"/>
    </xf>
    <xf numFmtId="2" fontId="4" fillId="5" borderId="0" xfId="0" applyNumberFormat="1" applyFont="1" applyFill="1" applyBorder="1" applyAlignment="1">
      <alignment horizontal="center" vertical="center"/>
    </xf>
    <xf numFmtId="0" fontId="70" fillId="2" borderId="0" xfId="0" applyFont="1" applyFill="1"/>
    <xf numFmtId="0" fontId="0" fillId="5" borderId="0" xfId="0" applyFill="1"/>
    <xf numFmtId="2" fontId="0" fillId="5" borderId="0" xfId="0" applyNumberFormat="1" applyFill="1" applyBorder="1"/>
    <xf numFmtId="0" fontId="0" fillId="5" borderId="0" xfId="0" applyFill="1" applyBorder="1" applyAlignment="1"/>
    <xf numFmtId="0" fontId="14" fillId="6" borderId="2" xfId="0" applyFont="1" applyFill="1" applyBorder="1" applyAlignment="1">
      <alignment horizontal="center" vertical="center" wrapText="1"/>
    </xf>
    <xf numFmtId="0" fontId="5" fillId="6" borderId="13" xfId="0" applyFont="1" applyFill="1" applyBorder="1" applyAlignment="1">
      <alignment horizontal="center" vertical="center"/>
    </xf>
    <xf numFmtId="165" fontId="4" fillId="6" borderId="2" xfId="0" applyNumberFormat="1" applyFont="1" applyFill="1" applyBorder="1" applyAlignment="1">
      <alignment horizontal="center" vertical="center" wrapText="1"/>
    </xf>
    <xf numFmtId="2" fontId="4" fillId="5" borderId="3" xfId="0" applyNumberFormat="1" applyFont="1" applyFill="1" applyBorder="1" applyAlignment="1">
      <alignment horizontal="center" vertical="center"/>
    </xf>
    <xf numFmtId="0" fontId="72" fillId="2" borderId="0" xfId="0" applyFont="1" applyFill="1"/>
    <xf numFmtId="0" fontId="73" fillId="2" borderId="0" xfId="0" applyFont="1" applyFill="1"/>
    <xf numFmtId="2" fontId="72" fillId="2" borderId="0" xfId="0" applyNumberFormat="1" applyFont="1" applyFill="1"/>
    <xf numFmtId="0" fontId="0" fillId="5" borderId="0" xfId="0" applyFill="1" applyBorder="1"/>
    <xf numFmtId="0" fontId="31" fillId="2" borderId="0" xfId="0" applyFont="1" applyFill="1"/>
    <xf numFmtId="2" fontId="7" fillId="5" borderId="0" xfId="0" applyNumberFormat="1" applyFont="1" applyFill="1" applyBorder="1" applyAlignment="1">
      <alignment horizontal="right" vertical="center" wrapText="1"/>
    </xf>
    <xf numFmtId="0" fontId="4" fillId="5" borderId="0" xfId="0" applyFont="1" applyFill="1" applyBorder="1" applyAlignment="1">
      <alignment horizontal="right" vertical="center" wrapText="1"/>
    </xf>
    <xf numFmtId="0" fontId="7" fillId="5" borderId="0" xfId="0" applyFont="1" applyFill="1" applyBorder="1" applyAlignment="1">
      <alignment horizontal="center" vertical="center"/>
    </xf>
    <xf numFmtId="2" fontId="4" fillId="5" borderId="0" xfId="0" applyNumberFormat="1" applyFont="1" applyFill="1" applyBorder="1" applyAlignment="1">
      <alignment horizontal="center" vertical="top"/>
    </xf>
    <xf numFmtId="0" fontId="0" fillId="5" borderId="0" xfId="0" applyFill="1" applyBorder="1" applyAlignment="1">
      <alignment horizontal="center" vertical="center"/>
    </xf>
    <xf numFmtId="2" fontId="4" fillId="7" borderId="2" xfId="0" applyNumberFormat="1" applyFont="1" applyFill="1" applyBorder="1" applyAlignment="1">
      <alignment horizontal="center" vertical="center"/>
    </xf>
    <xf numFmtId="0" fontId="43" fillId="7" borderId="14" xfId="0" applyFont="1" applyFill="1" applyBorder="1" applyAlignment="1">
      <alignment horizontal="center" vertical="center"/>
    </xf>
    <xf numFmtId="2" fontId="4" fillId="7" borderId="14" xfId="0" applyNumberFormat="1" applyFont="1" applyFill="1" applyBorder="1" applyAlignment="1">
      <alignment horizontal="center" vertical="center"/>
    </xf>
    <xf numFmtId="0" fontId="43" fillId="7" borderId="2" xfId="0" applyFont="1" applyFill="1" applyBorder="1" applyAlignment="1">
      <alignment horizontal="center" vertical="center"/>
    </xf>
    <xf numFmtId="2" fontId="4" fillId="5" borderId="5" xfId="0" applyNumberFormat="1" applyFont="1" applyFill="1" applyBorder="1" applyAlignment="1">
      <alignment horizontal="center" vertical="center"/>
    </xf>
    <xf numFmtId="0" fontId="74" fillId="2" borderId="0" xfId="0" applyFont="1" applyFill="1"/>
    <xf numFmtId="2" fontId="69" fillId="5" borderId="0" xfId="0" applyNumberFormat="1" applyFont="1" applyFill="1" applyBorder="1" applyAlignment="1">
      <alignment horizontal="center" vertical="center"/>
    </xf>
    <xf numFmtId="2" fontId="4" fillId="8" borderId="3" xfId="0" applyNumberFormat="1" applyFont="1" applyFill="1" applyBorder="1" applyAlignment="1">
      <alignment horizontal="center" vertical="center"/>
    </xf>
    <xf numFmtId="2" fontId="4" fillId="8" borderId="5" xfId="0" applyNumberFormat="1" applyFont="1" applyFill="1" applyBorder="1" applyAlignment="1">
      <alignment horizontal="center" vertical="center"/>
    </xf>
    <xf numFmtId="2" fontId="4" fillId="8" borderId="13" xfId="0" applyNumberFormat="1" applyFont="1" applyFill="1" applyBorder="1" applyAlignment="1">
      <alignment horizontal="center" vertical="center"/>
    </xf>
    <xf numFmtId="2" fontId="69" fillId="5" borderId="3" xfId="0" applyNumberFormat="1" applyFont="1" applyFill="1" applyBorder="1" applyAlignment="1">
      <alignment horizontal="center" vertical="center"/>
    </xf>
    <xf numFmtId="2" fontId="64" fillId="8" borderId="3" xfId="0" applyNumberFormat="1" applyFont="1" applyFill="1" applyBorder="1" applyAlignment="1">
      <alignment horizontal="center" vertical="center"/>
    </xf>
    <xf numFmtId="2" fontId="64" fillId="8" borderId="10" xfId="0" applyNumberFormat="1" applyFont="1" applyFill="1" applyBorder="1" applyAlignment="1">
      <alignment horizontal="center" vertical="center"/>
    </xf>
    <xf numFmtId="2" fontId="64" fillId="8" borderId="7" xfId="0" applyNumberFormat="1" applyFont="1" applyFill="1" applyBorder="1" applyAlignment="1">
      <alignment horizontal="center" vertical="center"/>
    </xf>
    <xf numFmtId="2" fontId="64" fillId="5" borderId="10" xfId="0" applyNumberFormat="1" applyFont="1" applyFill="1" applyBorder="1" applyAlignment="1">
      <alignment horizontal="center" vertical="center"/>
    </xf>
    <xf numFmtId="0" fontId="20" fillId="5" borderId="0" xfId="0" applyFont="1" applyFill="1" applyAlignment="1">
      <alignment horizontal="right"/>
    </xf>
    <xf numFmtId="0" fontId="75" fillId="5" borderId="0" xfId="2" applyFont="1" applyFill="1" applyAlignment="1" applyProtection="1"/>
    <xf numFmtId="0" fontId="72" fillId="5" borderId="0" xfId="0" applyFont="1" applyFill="1" applyAlignment="1"/>
    <xf numFmtId="0" fontId="70" fillId="2" borderId="0" xfId="0" applyFont="1" applyFill="1" applyBorder="1"/>
    <xf numFmtId="2" fontId="76" fillId="8" borderId="3" xfId="0" applyNumberFormat="1" applyFont="1" applyFill="1" applyBorder="1" applyAlignment="1">
      <alignment horizontal="center" vertical="center"/>
    </xf>
    <xf numFmtId="0" fontId="65" fillId="5" borderId="3" xfId="0" applyFont="1" applyFill="1" applyBorder="1"/>
    <xf numFmtId="2" fontId="64" fillId="8" borderId="5" xfId="0" applyNumberFormat="1" applyFont="1" applyFill="1" applyBorder="1" applyAlignment="1">
      <alignment horizontal="center" vertical="center"/>
    </xf>
    <xf numFmtId="2" fontId="64" fillId="5" borderId="5" xfId="0" applyNumberFormat="1" applyFont="1" applyFill="1" applyBorder="1" applyAlignment="1">
      <alignment horizontal="center" vertical="center"/>
    </xf>
    <xf numFmtId="2" fontId="4" fillId="9" borderId="3" xfId="0" applyNumberFormat="1" applyFont="1" applyFill="1" applyBorder="1" applyAlignment="1">
      <alignment horizontal="center" vertical="center"/>
    </xf>
    <xf numFmtId="2" fontId="4" fillId="9" borderId="5" xfId="0" applyNumberFormat="1" applyFont="1" applyFill="1" applyBorder="1" applyAlignment="1">
      <alignment horizontal="center" vertical="center"/>
    </xf>
    <xf numFmtId="0" fontId="66" fillId="5" borderId="0" xfId="0" applyFont="1" applyFill="1" applyAlignment="1">
      <alignment horizontal="center" vertical="center"/>
    </xf>
    <xf numFmtId="0" fontId="65" fillId="8" borderId="3" xfId="0" applyFont="1" applyFill="1" applyBorder="1"/>
    <xf numFmtId="2" fontId="63" fillId="5" borderId="3" xfId="0" applyNumberFormat="1" applyFont="1" applyFill="1" applyBorder="1" applyAlignment="1">
      <alignment horizontal="center" vertical="center"/>
    </xf>
    <xf numFmtId="166" fontId="12" fillId="2" borderId="0" xfId="2" applyNumberFormat="1" applyFill="1" applyBorder="1" applyAlignment="1" applyProtection="1">
      <alignment horizontal="center"/>
    </xf>
    <xf numFmtId="0" fontId="5" fillId="5" borderId="0" xfId="0" applyFont="1" applyFill="1" applyBorder="1" applyAlignment="1"/>
    <xf numFmtId="2" fontId="34" fillId="5" borderId="0" xfId="0" applyNumberFormat="1" applyFont="1" applyFill="1" applyBorder="1" applyAlignment="1">
      <alignment horizontal="center" vertical="center" wrapText="1"/>
    </xf>
    <xf numFmtId="0" fontId="35" fillId="5" borderId="0" xfId="0" applyFont="1" applyFill="1" applyBorder="1" applyAlignment="1">
      <alignment horizontal="center" vertical="center" wrapText="1"/>
    </xf>
    <xf numFmtId="0" fontId="45" fillId="5" borderId="0" xfId="0" applyFont="1" applyFill="1" applyBorder="1" applyAlignment="1">
      <alignment horizontal="center" vertical="center" wrapText="1"/>
    </xf>
    <xf numFmtId="2" fontId="64" fillId="0" borderId="3" xfId="0" applyNumberFormat="1" applyFont="1" applyBorder="1" applyAlignment="1">
      <alignment horizontal="center" vertical="center"/>
    </xf>
    <xf numFmtId="2" fontId="64" fillId="5" borderId="7" xfId="0" applyNumberFormat="1" applyFont="1" applyFill="1" applyBorder="1" applyAlignment="1">
      <alignment horizontal="center" vertical="center"/>
    </xf>
    <xf numFmtId="2" fontId="64" fillId="9" borderId="3" xfId="0" applyNumberFormat="1" applyFont="1" applyFill="1" applyBorder="1" applyAlignment="1">
      <alignment horizontal="center" vertical="center"/>
    </xf>
    <xf numFmtId="2" fontId="64" fillId="9" borderId="5" xfId="0" applyNumberFormat="1" applyFont="1" applyFill="1" applyBorder="1" applyAlignment="1">
      <alignment horizontal="center" vertical="center"/>
    </xf>
    <xf numFmtId="2" fontId="4" fillId="8" borderId="11" xfId="0" applyNumberFormat="1" applyFont="1" applyFill="1" applyBorder="1" applyAlignment="1">
      <alignment horizontal="center" vertical="center"/>
    </xf>
    <xf numFmtId="2" fontId="64" fillId="5" borderId="3" xfId="3" applyNumberFormat="1" applyFont="1" applyFill="1" applyBorder="1" applyAlignment="1">
      <alignment horizontal="center" vertical="center"/>
    </xf>
    <xf numFmtId="2" fontId="64" fillId="8" borderId="3" xfId="3" applyNumberFormat="1" applyFont="1" applyFill="1" applyBorder="1" applyAlignment="1">
      <alignment horizontal="center" vertical="center"/>
    </xf>
    <xf numFmtId="2" fontId="64" fillId="5" borderId="13" xfId="0" applyNumberFormat="1" applyFont="1" applyFill="1" applyBorder="1" applyAlignment="1">
      <alignment horizontal="center" vertical="center"/>
    </xf>
    <xf numFmtId="2" fontId="64" fillId="5" borderId="0" xfId="0" applyNumberFormat="1" applyFont="1" applyFill="1" applyBorder="1" applyAlignment="1">
      <alignment horizontal="center" vertical="center"/>
    </xf>
    <xf numFmtId="2" fontId="64" fillId="5" borderId="17" xfId="0" applyNumberFormat="1" applyFont="1" applyFill="1" applyBorder="1" applyAlignment="1">
      <alignment horizontal="center" vertical="center"/>
    </xf>
    <xf numFmtId="2" fontId="64" fillId="8" borderId="17" xfId="0" applyNumberFormat="1" applyFont="1" applyFill="1" applyBorder="1" applyAlignment="1">
      <alignment horizontal="center" vertical="center"/>
    </xf>
    <xf numFmtId="2" fontId="67" fillId="8" borderId="3" xfId="0" applyNumberFormat="1" applyFont="1" applyFill="1" applyBorder="1" applyAlignment="1">
      <alignment horizontal="center" vertical="center"/>
    </xf>
    <xf numFmtId="2" fontId="67" fillId="5" borderId="3" xfId="0" applyNumberFormat="1" applyFont="1" applyFill="1" applyBorder="1" applyAlignment="1">
      <alignment horizontal="center" vertical="center"/>
    </xf>
    <xf numFmtId="2" fontId="41" fillId="5" borderId="3" xfId="0" applyNumberFormat="1" applyFont="1" applyFill="1" applyBorder="1" applyAlignment="1">
      <alignment horizontal="center" vertical="center"/>
    </xf>
    <xf numFmtId="2" fontId="41" fillId="8" borderId="3" xfId="0" applyNumberFormat="1" applyFont="1" applyFill="1" applyBorder="1" applyAlignment="1">
      <alignment horizontal="center" vertical="center"/>
    </xf>
    <xf numFmtId="2" fontId="4" fillId="8" borderId="4" xfId="0" applyNumberFormat="1" applyFont="1" applyFill="1" applyBorder="1" applyAlignment="1">
      <alignment horizontal="center" vertical="center"/>
    </xf>
    <xf numFmtId="0" fontId="70" fillId="5" borderId="0" xfId="0" applyFont="1" applyFill="1" applyAlignment="1">
      <alignment horizontal="right"/>
    </xf>
    <xf numFmtId="0" fontId="70" fillId="2" borderId="0" xfId="0" applyFont="1" applyFill="1" applyAlignment="1">
      <alignment horizontal="right"/>
    </xf>
    <xf numFmtId="2" fontId="4" fillId="5" borderId="13" xfId="0" applyNumberFormat="1" applyFont="1" applyFill="1" applyBorder="1" applyAlignment="1">
      <alignment horizontal="center" vertical="center"/>
    </xf>
    <xf numFmtId="0" fontId="18" fillId="2" borderId="0" xfId="0" applyFont="1" applyFill="1" applyBorder="1"/>
    <xf numFmtId="2" fontId="76" fillId="5" borderId="0" xfId="0" applyNumberFormat="1" applyFont="1" applyFill="1" applyBorder="1" applyAlignment="1">
      <alignment horizontal="center" vertical="center"/>
    </xf>
    <xf numFmtId="0" fontId="2" fillId="10" borderId="0" xfId="0" applyFont="1" applyFill="1"/>
    <xf numFmtId="0" fontId="0" fillId="10" borderId="0" xfId="0" applyFill="1"/>
    <xf numFmtId="0" fontId="71" fillId="10" borderId="0" xfId="0" applyFont="1" applyFill="1"/>
    <xf numFmtId="0" fontId="0" fillId="10" borderId="14" xfId="0" applyFill="1" applyBorder="1"/>
    <xf numFmtId="0" fontId="18" fillId="10" borderId="0" xfId="0" applyFont="1" applyFill="1"/>
    <xf numFmtId="0" fontId="0" fillId="10" borderId="0" xfId="0" applyFill="1" applyBorder="1"/>
    <xf numFmtId="2" fontId="0" fillId="10" borderId="0" xfId="0" applyNumberFormat="1" applyFill="1"/>
    <xf numFmtId="0" fontId="0" fillId="10" borderId="0" xfId="0" applyFill="1" applyBorder="1" applyAlignment="1"/>
    <xf numFmtId="0" fontId="0" fillId="10" borderId="29" xfId="0" applyFill="1" applyBorder="1"/>
    <xf numFmtId="2" fontId="0" fillId="10" borderId="0" xfId="0" applyNumberFormat="1" applyFill="1" applyBorder="1"/>
    <xf numFmtId="0" fontId="26" fillId="10" borderId="0" xfId="0" applyFont="1" applyFill="1" applyBorder="1"/>
    <xf numFmtId="4" fontId="0" fillId="10" borderId="0" xfId="0" applyNumberFormat="1" applyFill="1" applyBorder="1"/>
    <xf numFmtId="4" fontId="0" fillId="10" borderId="29" xfId="0" applyNumberFormat="1" applyFill="1" applyBorder="1"/>
    <xf numFmtId="0" fontId="26" fillId="10" borderId="14" xfId="0" applyFont="1" applyFill="1" applyBorder="1"/>
    <xf numFmtId="4" fontId="0" fillId="10" borderId="14" xfId="0" applyNumberFormat="1" applyFill="1" applyBorder="1"/>
    <xf numFmtId="4" fontId="0" fillId="10" borderId="11" xfId="0" applyNumberFormat="1" applyFill="1" applyBorder="1"/>
    <xf numFmtId="0" fontId="26" fillId="10" borderId="0" xfId="0" applyFont="1" applyFill="1"/>
    <xf numFmtId="0" fontId="11" fillId="10" borderId="0" xfId="0" applyFont="1" applyFill="1"/>
    <xf numFmtId="4" fontId="0" fillId="10" borderId="0" xfId="0" applyNumberFormat="1" applyFill="1"/>
    <xf numFmtId="0" fontId="79" fillId="10" borderId="0" xfId="0" applyFont="1" applyFill="1"/>
    <xf numFmtId="0" fontId="79" fillId="10" borderId="0" xfId="0" applyFont="1" applyFill="1" applyBorder="1"/>
    <xf numFmtId="0" fontId="70" fillId="10" borderId="0" xfId="0" applyFont="1" applyFill="1"/>
    <xf numFmtId="0" fontId="70" fillId="10" borderId="0" xfId="0" applyFont="1" applyFill="1" applyBorder="1"/>
    <xf numFmtId="0" fontId="70" fillId="10" borderId="29" xfId="0" applyFont="1" applyFill="1" applyBorder="1"/>
    <xf numFmtId="0" fontId="10" fillId="10" borderId="0" xfId="0" applyFont="1" applyFill="1"/>
    <xf numFmtId="0" fontId="0" fillId="10" borderId="0" xfId="0" applyFill="1" applyBorder="1" applyAlignment="1">
      <alignment horizontal="center" vertical="center" wrapText="1"/>
    </xf>
    <xf numFmtId="0" fontId="52" fillId="10" borderId="0" xfId="0" applyFont="1" applyFill="1"/>
    <xf numFmtId="0" fontId="80" fillId="10" borderId="1" xfId="0" applyFont="1" applyFill="1" applyBorder="1" applyAlignment="1">
      <alignment horizontal="center" vertical="center"/>
    </xf>
    <xf numFmtId="0" fontId="70" fillId="10" borderId="0" xfId="0" applyFont="1" applyFill="1" applyBorder="1" applyAlignment="1">
      <alignment horizontal="center" vertical="center"/>
    </xf>
    <xf numFmtId="0" fontId="70" fillId="10" borderId="29" xfId="0" applyFont="1" applyFill="1" applyBorder="1" applyAlignment="1">
      <alignment horizontal="center" vertical="center"/>
    </xf>
    <xf numFmtId="2" fontId="70" fillId="10" borderId="0" xfId="0" applyNumberFormat="1" applyFont="1" applyFill="1"/>
    <xf numFmtId="0" fontId="80" fillId="10" borderId="0" xfId="0" applyFont="1" applyFill="1"/>
    <xf numFmtId="166" fontId="12" fillId="2" borderId="26" xfId="2" applyNumberFormat="1" applyFill="1" applyBorder="1" applyAlignment="1" applyProtection="1">
      <alignment horizontal="center"/>
    </xf>
    <xf numFmtId="0" fontId="0" fillId="10" borderId="1" xfId="0" applyFill="1" applyBorder="1"/>
    <xf numFmtId="2" fontId="18" fillId="10" borderId="1" xfId="0" applyNumberFormat="1" applyFont="1" applyFill="1" applyBorder="1"/>
    <xf numFmtId="2" fontId="0" fillId="10" borderId="1" xfId="0" applyNumberFormat="1" applyFill="1" applyBorder="1"/>
    <xf numFmtId="0" fontId="26" fillId="10" borderId="1" xfId="0" applyFont="1" applyFill="1" applyBorder="1"/>
    <xf numFmtId="2" fontId="59" fillId="11" borderId="30" xfId="0" applyNumberFormat="1" applyFont="1" applyFill="1" applyBorder="1" applyAlignment="1">
      <alignment horizontal="center" vertical="center" wrapText="1"/>
    </xf>
    <xf numFmtId="0" fontId="0" fillId="10" borderId="0" xfId="0" applyFill="1" applyAlignment="1"/>
    <xf numFmtId="0" fontId="0" fillId="10" borderId="29" xfId="0" applyFill="1" applyBorder="1" applyAlignment="1"/>
    <xf numFmtId="0" fontId="2" fillId="10" borderId="0" xfId="0" applyFont="1" applyFill="1" applyBorder="1" applyAlignment="1">
      <alignment horizontal="center" vertical="center" wrapText="1"/>
    </xf>
    <xf numFmtId="0" fontId="10" fillId="7" borderId="2" xfId="0" applyFont="1" applyFill="1" applyBorder="1" applyAlignment="1">
      <alignment horizontal="left" vertical="center"/>
    </xf>
    <xf numFmtId="0" fontId="39" fillId="2" borderId="0" xfId="0" applyFont="1" applyFill="1"/>
    <xf numFmtId="2" fontId="7" fillId="2" borderId="0" xfId="0" applyNumberFormat="1" applyFont="1" applyFill="1" applyBorder="1" applyAlignment="1">
      <alignment horizontal="center"/>
    </xf>
    <xf numFmtId="0" fontId="43" fillId="10" borderId="0" xfId="0" applyFont="1" applyFill="1"/>
    <xf numFmtId="0" fontId="43" fillId="10" borderId="0" xfId="0" applyFont="1" applyFill="1" applyBorder="1"/>
    <xf numFmtId="0" fontId="11" fillId="10" borderId="0" xfId="0" applyFont="1" applyFill="1" applyBorder="1"/>
    <xf numFmtId="0" fontId="6" fillId="2" borderId="0" xfId="0" applyFont="1" applyFill="1" applyBorder="1" applyAlignment="1">
      <alignment horizontal="left" vertical="center" wrapText="1"/>
    </xf>
    <xf numFmtId="0" fontId="53" fillId="0" borderId="0" xfId="2" applyFont="1" applyAlignment="1" applyProtection="1"/>
    <xf numFmtId="0" fontId="2" fillId="10" borderId="1" xfId="0" applyFont="1" applyFill="1" applyBorder="1" applyAlignment="1"/>
    <xf numFmtId="0" fontId="2" fillId="10" borderId="0" xfId="0" applyFont="1" applyFill="1" applyBorder="1" applyAlignment="1"/>
    <xf numFmtId="0" fontId="2" fillId="10" borderId="29" xfId="0" applyFont="1" applyFill="1" applyBorder="1" applyAlignment="1"/>
    <xf numFmtId="0" fontId="2" fillId="10" borderId="0" xfId="0" applyFont="1" applyFill="1" applyAlignment="1"/>
    <xf numFmtId="0" fontId="71" fillId="10" borderId="1" xfId="0" applyFont="1" applyFill="1" applyBorder="1" applyAlignment="1">
      <alignment vertical="center"/>
    </xf>
    <xf numFmtId="0" fontId="71" fillId="10" borderId="0" xfId="0" applyFont="1" applyFill="1" applyBorder="1" applyAlignment="1">
      <alignment vertical="center"/>
    </xf>
    <xf numFmtId="0" fontId="71" fillId="10" borderId="29" xfId="0" applyFont="1" applyFill="1" applyBorder="1" applyAlignment="1">
      <alignment vertical="center"/>
    </xf>
    <xf numFmtId="0" fontId="71" fillId="10" borderId="0" xfId="0" applyFont="1" applyFill="1" applyAlignment="1">
      <alignment vertical="center"/>
    </xf>
    <xf numFmtId="0" fontId="10" fillId="10" borderId="0" xfId="0" applyFont="1" applyFill="1" applyBorder="1" applyAlignment="1"/>
    <xf numFmtId="0" fontId="10" fillId="10" borderId="0" xfId="0" applyFont="1" applyFill="1" applyAlignment="1"/>
    <xf numFmtId="0" fontId="6" fillId="5" borderId="0" xfId="0" applyFont="1" applyFill="1" applyBorder="1" applyAlignment="1">
      <alignment horizontal="center" vertical="center" wrapText="1"/>
    </xf>
    <xf numFmtId="0" fontId="21" fillId="5" borderId="0" xfId="0" applyFont="1" applyFill="1" applyAlignment="1">
      <alignment horizontal="right"/>
    </xf>
    <xf numFmtId="2" fontId="71" fillId="10" borderId="0" xfId="0" applyNumberFormat="1" applyFont="1" applyFill="1" applyBorder="1" applyAlignment="1">
      <alignment horizontal="center" vertical="center"/>
    </xf>
    <xf numFmtId="0" fontId="2" fillId="10" borderId="0" xfId="0" applyFont="1" applyFill="1" applyAlignment="1"/>
    <xf numFmtId="0" fontId="2" fillId="10" borderId="0" xfId="0" applyFont="1" applyFill="1" applyBorder="1" applyAlignment="1"/>
    <xf numFmtId="0" fontId="2" fillId="10" borderId="0" xfId="0" applyFont="1" applyFill="1" applyBorder="1" applyAlignment="1"/>
    <xf numFmtId="0" fontId="2" fillId="10" borderId="0" xfId="0" applyFont="1" applyFill="1" applyAlignment="1"/>
    <xf numFmtId="0" fontId="2" fillId="10" borderId="29" xfId="0" applyFont="1" applyFill="1" applyBorder="1" applyAlignment="1"/>
    <xf numFmtId="0" fontId="2" fillId="10" borderId="0" xfId="0" applyFont="1" applyFill="1" applyAlignment="1"/>
    <xf numFmtId="166" fontId="85" fillId="2" borderId="3" xfId="2" applyNumberFormat="1" applyFont="1" applyFill="1" applyBorder="1" applyAlignment="1" applyProtection="1">
      <alignment horizontal="center"/>
    </xf>
    <xf numFmtId="0" fontId="10" fillId="5" borderId="13" xfId="0" applyFont="1" applyFill="1" applyBorder="1" applyAlignment="1">
      <alignment horizontal="left" vertical="center"/>
    </xf>
    <xf numFmtId="0" fontId="43" fillId="7" borderId="24" xfId="0" applyFont="1" applyFill="1" applyBorder="1" applyAlignment="1">
      <alignment horizontal="center" vertical="center"/>
    </xf>
    <xf numFmtId="2" fontId="64" fillId="7" borderId="4" xfId="0" applyNumberFormat="1" applyFont="1" applyFill="1" applyBorder="1" applyAlignment="1">
      <alignment horizontal="center" vertical="center"/>
    </xf>
    <xf numFmtId="0" fontId="43" fillId="7" borderId="13" xfId="0" applyFont="1" applyFill="1" applyBorder="1" applyAlignment="1">
      <alignment horizontal="center" vertical="center"/>
    </xf>
    <xf numFmtId="0" fontId="0" fillId="5" borderId="0" xfId="0" applyFill="1" applyBorder="1" applyAlignment="1">
      <alignment horizontal="center" vertical="center" wrapText="1"/>
    </xf>
    <xf numFmtId="0" fontId="82" fillId="5" borderId="0" xfId="2" applyFont="1" applyFill="1" applyBorder="1" applyAlignment="1" applyProtection="1">
      <alignment horizontal="center" vertical="center" wrapText="1"/>
    </xf>
    <xf numFmtId="0" fontId="18" fillId="5" borderId="0" xfId="0" applyFont="1" applyFill="1" applyBorder="1" applyAlignment="1"/>
    <xf numFmtId="0" fontId="26" fillId="5" borderId="0" xfId="0" applyFont="1" applyFill="1" applyBorder="1"/>
    <xf numFmtId="4" fontId="0" fillId="5" borderId="0" xfId="0" applyNumberFormat="1" applyFill="1" applyBorder="1"/>
    <xf numFmtId="166" fontId="12" fillId="5" borderId="0" xfId="2" applyNumberFormat="1" applyFill="1" applyBorder="1" applyAlignment="1" applyProtection="1">
      <alignment horizontal="center" vertical="center"/>
    </xf>
    <xf numFmtId="0" fontId="0" fillId="5" borderId="0" xfId="0" applyFill="1" applyAlignment="1">
      <alignment horizontal="right"/>
    </xf>
    <xf numFmtId="0" fontId="11" fillId="5" borderId="0" xfId="0" applyFont="1" applyFill="1" applyBorder="1" applyAlignment="1">
      <alignment horizontal="center" vertical="center"/>
    </xf>
    <xf numFmtId="0" fontId="88" fillId="5" borderId="0" xfId="0" applyFont="1" applyFill="1" applyBorder="1" applyAlignment="1">
      <alignment horizontal="center" vertical="center" wrapText="1"/>
    </xf>
    <xf numFmtId="0" fontId="82" fillId="5" borderId="0" xfId="0" applyFont="1" applyFill="1" applyBorder="1" applyAlignment="1">
      <alignment horizontal="center" vertical="center"/>
    </xf>
    <xf numFmtId="0" fontId="87" fillId="5" borderId="0" xfId="0" applyFont="1" applyFill="1" applyBorder="1" applyAlignment="1">
      <alignment horizontal="center" vertical="center" wrapText="1"/>
    </xf>
    <xf numFmtId="2" fontId="67" fillId="5" borderId="7" xfId="0" applyNumberFormat="1" applyFont="1" applyFill="1" applyBorder="1" applyAlignment="1">
      <alignment horizontal="center" vertical="center"/>
    </xf>
    <xf numFmtId="0" fontId="87" fillId="5" borderId="3" xfId="0" applyFont="1" applyFill="1" applyBorder="1" applyAlignment="1">
      <alignment horizontal="center" vertical="center" wrapText="1"/>
    </xf>
    <xf numFmtId="0" fontId="3" fillId="2" borderId="0" xfId="0" applyFont="1" applyFill="1" applyBorder="1" applyAlignment="1">
      <alignment wrapText="1"/>
    </xf>
    <xf numFmtId="0" fontId="3" fillId="5" borderId="0" xfId="0" applyFont="1" applyFill="1" applyBorder="1" applyAlignment="1">
      <alignment wrapText="1"/>
    </xf>
    <xf numFmtId="0" fontId="62" fillId="2" borderId="0" xfId="2" applyFont="1" applyFill="1" applyAlignment="1" applyProtection="1"/>
    <xf numFmtId="2" fontId="64" fillId="5" borderId="4" xfId="0" applyNumberFormat="1" applyFont="1" applyFill="1" applyBorder="1" applyAlignment="1">
      <alignment horizontal="center" vertical="center"/>
    </xf>
    <xf numFmtId="0" fontId="71" fillId="10" borderId="0" xfId="0" applyFont="1" applyFill="1" applyBorder="1" applyAlignment="1"/>
    <xf numFmtId="0" fontId="2" fillId="10" borderId="0" xfId="0" applyFont="1" applyFill="1" applyBorder="1" applyAlignment="1"/>
    <xf numFmtId="0" fontId="2" fillId="10" borderId="29" xfId="0" applyFont="1" applyFill="1" applyBorder="1" applyAlignment="1"/>
    <xf numFmtId="0" fontId="2" fillId="10" borderId="0" xfId="0" applyFont="1" applyFill="1" applyAlignment="1"/>
    <xf numFmtId="0" fontId="71" fillId="10" borderId="1" xfId="0" applyFont="1" applyFill="1" applyBorder="1" applyAlignment="1">
      <alignment vertical="center"/>
    </xf>
    <xf numFmtId="0" fontId="71" fillId="10" borderId="29" xfId="0" applyFont="1" applyFill="1" applyBorder="1" applyAlignment="1">
      <alignment vertical="center"/>
    </xf>
    <xf numFmtId="0" fontId="71" fillId="10" borderId="0" xfId="0" applyFont="1" applyFill="1" applyAlignment="1">
      <alignment vertical="center"/>
    </xf>
    <xf numFmtId="0" fontId="2" fillId="10" borderId="0" xfId="0" applyFont="1" applyFill="1" applyAlignment="1"/>
    <xf numFmtId="0" fontId="2" fillId="10" borderId="0" xfId="0" applyFont="1" applyFill="1" applyBorder="1" applyAlignment="1"/>
    <xf numFmtId="0" fontId="2" fillId="10" borderId="0" xfId="0" applyFont="1" applyFill="1" applyBorder="1" applyAlignment="1"/>
    <xf numFmtId="0" fontId="2" fillId="10" borderId="0" xfId="0" applyFont="1" applyFill="1" applyAlignment="1"/>
    <xf numFmtId="0" fontId="2" fillId="10" borderId="0" xfId="0" applyFont="1" applyFill="1" applyBorder="1" applyAlignment="1"/>
    <xf numFmtId="0" fontId="2" fillId="10" borderId="0" xfId="0" applyFont="1" applyFill="1" applyAlignment="1"/>
    <xf numFmtId="0" fontId="2" fillId="10" borderId="0" xfId="0" applyFont="1" applyFill="1" applyBorder="1" applyAlignment="1"/>
    <xf numFmtId="0" fontId="2" fillId="10" borderId="0" xfId="0" applyFont="1" applyFill="1" applyAlignment="1"/>
    <xf numFmtId="0" fontId="9" fillId="5" borderId="0" xfId="0" applyFont="1" applyFill="1"/>
    <xf numFmtId="0" fontId="101" fillId="2" borderId="0" xfId="0" applyFont="1" applyFill="1"/>
    <xf numFmtId="2" fontId="5" fillId="5" borderId="0" xfId="0" applyNumberFormat="1" applyFont="1" applyFill="1" applyBorder="1" applyAlignment="1">
      <alignment wrapText="1"/>
    </xf>
    <xf numFmtId="0" fontId="87" fillId="5" borderId="5" xfId="0" applyFont="1" applyFill="1" applyBorder="1" applyAlignment="1">
      <alignment horizontal="center" vertical="center" wrapText="1"/>
    </xf>
    <xf numFmtId="0" fontId="2" fillId="5" borderId="0" xfId="0" applyFont="1" applyFill="1" applyBorder="1" applyAlignment="1"/>
    <xf numFmtId="0" fontId="2" fillId="5" borderId="0" xfId="0" applyFont="1" applyFill="1" applyAlignment="1"/>
    <xf numFmtId="0" fontId="2" fillId="10" borderId="29" xfId="0" applyFont="1" applyFill="1" applyBorder="1" applyAlignment="1"/>
    <xf numFmtId="0" fontId="2" fillId="10" borderId="0" xfId="0" applyFont="1" applyFill="1" applyAlignment="1"/>
    <xf numFmtId="0" fontId="2" fillId="10" borderId="0" xfId="0" applyFont="1" applyFill="1" applyAlignment="1"/>
    <xf numFmtId="0" fontId="2" fillId="10" borderId="0" xfId="0" applyFont="1" applyFill="1" applyBorder="1" applyAlignment="1"/>
    <xf numFmtId="0" fontId="2" fillId="10" borderId="0" xfId="0" applyFont="1" applyFill="1" applyBorder="1" applyAlignment="1"/>
    <xf numFmtId="0" fontId="0" fillId="5" borderId="0" xfId="0" applyFill="1" applyAlignment="1">
      <alignment horizontal="center" vertical="center"/>
    </xf>
    <xf numFmtId="2" fontId="64" fillId="8" borderId="60" xfId="0" applyNumberFormat="1" applyFont="1" applyFill="1" applyBorder="1" applyAlignment="1">
      <alignment horizontal="center" vertical="center"/>
    </xf>
    <xf numFmtId="2" fontId="64" fillId="5" borderId="3" xfId="0" applyNumberFormat="1" applyFont="1" applyFill="1" applyBorder="1" applyAlignment="1">
      <alignment horizontal="center" vertical="center"/>
    </xf>
    <xf numFmtId="0" fontId="6" fillId="5" borderId="0" xfId="0" applyFont="1" applyFill="1" applyBorder="1" applyAlignment="1">
      <alignment horizontal="center" vertical="center" wrapText="1"/>
    </xf>
    <xf numFmtId="0" fontId="0" fillId="5" borderId="0" xfId="0" applyFill="1" applyBorder="1" applyAlignment="1"/>
    <xf numFmtId="0" fontId="2" fillId="10" borderId="0" xfId="0" applyFont="1" applyFill="1" applyAlignment="1"/>
    <xf numFmtId="0" fontId="2" fillId="10" borderId="29" xfId="0" applyFont="1" applyFill="1" applyBorder="1" applyAlignment="1"/>
    <xf numFmtId="0" fontId="2" fillId="10" borderId="1" xfId="0" applyFont="1" applyFill="1" applyBorder="1" applyAlignment="1"/>
    <xf numFmtId="0" fontId="71" fillId="10" borderId="1" xfId="0" applyFont="1" applyFill="1" applyBorder="1" applyAlignment="1">
      <alignment vertical="center"/>
    </xf>
    <xf numFmtId="0" fontId="71" fillId="10" borderId="29" xfId="0" applyFont="1" applyFill="1" applyBorder="1" applyAlignment="1">
      <alignment vertical="center"/>
    </xf>
    <xf numFmtId="0" fontId="71" fillId="10" borderId="0" xfId="0" applyFont="1" applyFill="1" applyAlignment="1">
      <alignment vertical="center"/>
    </xf>
    <xf numFmtId="2" fontId="64" fillId="9" borderId="5" xfId="3" applyNumberFormat="1" applyFont="1" applyFill="1" applyBorder="1" applyAlignment="1">
      <alignment horizontal="center" vertical="center"/>
    </xf>
    <xf numFmtId="0" fontId="70" fillId="5" borderId="0" xfId="0" applyFont="1" applyFill="1"/>
    <xf numFmtId="0" fontId="2" fillId="10" borderId="0" xfId="0" applyFont="1" applyFill="1" applyBorder="1" applyAlignment="1"/>
    <xf numFmtId="0" fontId="71" fillId="10" borderId="1" xfId="0" applyFont="1" applyFill="1" applyBorder="1" applyAlignment="1">
      <alignment vertical="center"/>
    </xf>
    <xf numFmtId="0" fontId="71" fillId="10" borderId="29" xfId="0" applyFont="1" applyFill="1" applyBorder="1" applyAlignment="1">
      <alignment vertical="center"/>
    </xf>
    <xf numFmtId="0" fontId="71" fillId="10" borderId="0" xfId="0" applyFont="1" applyFill="1" applyBorder="1" applyAlignment="1">
      <alignment vertical="center"/>
    </xf>
    <xf numFmtId="0" fontId="36" fillId="8" borderId="22" xfId="0" applyFont="1" applyFill="1" applyBorder="1" applyAlignment="1"/>
    <xf numFmtId="0" fontId="36" fillId="8" borderId="38" xfId="0" applyFont="1" applyFill="1" applyBorder="1" applyAlignment="1"/>
    <xf numFmtId="2" fontId="63" fillId="8" borderId="3" xfId="0" applyNumberFormat="1" applyFont="1" applyFill="1" applyBorder="1" applyAlignment="1">
      <alignment horizontal="center" vertical="center"/>
    </xf>
    <xf numFmtId="0" fontId="2" fillId="10" borderId="0" xfId="0" applyFont="1" applyFill="1" applyBorder="1" applyAlignment="1"/>
    <xf numFmtId="0" fontId="71" fillId="10" borderId="1" xfId="0" applyFont="1" applyFill="1" applyBorder="1" applyAlignment="1">
      <alignment vertical="center"/>
    </xf>
    <xf numFmtId="0" fontId="71" fillId="10" borderId="0" xfId="0" applyFont="1" applyFill="1" applyBorder="1" applyAlignment="1">
      <alignment vertical="center"/>
    </xf>
    <xf numFmtId="0" fontId="71" fillId="10" borderId="29" xfId="0" applyFont="1" applyFill="1" applyBorder="1" applyAlignment="1">
      <alignment vertical="center"/>
    </xf>
    <xf numFmtId="0" fontId="2" fillId="10" borderId="0" xfId="0" applyFont="1" applyFill="1" applyAlignment="1"/>
    <xf numFmtId="0" fontId="84" fillId="14" borderId="27" xfId="0" applyFont="1" applyFill="1" applyBorder="1"/>
    <xf numFmtId="0" fontId="82" fillId="14" borderId="31" xfId="0" applyFont="1" applyFill="1" applyBorder="1" applyAlignment="1">
      <alignment horizontal="center" vertical="center"/>
    </xf>
    <xf numFmtId="0" fontId="82" fillId="14" borderId="32" xfId="0" applyFont="1" applyFill="1" applyBorder="1" applyAlignment="1">
      <alignment horizontal="center" vertical="center"/>
    </xf>
    <xf numFmtId="0" fontId="71" fillId="14" borderId="31" xfId="0" applyFont="1" applyFill="1" applyBorder="1" applyAlignment="1">
      <alignment horizontal="center" vertical="center"/>
    </xf>
    <xf numFmtId="2" fontId="49" fillId="14" borderId="31" xfId="0" applyNumberFormat="1" applyFont="1" applyFill="1" applyBorder="1" applyAlignment="1">
      <alignment horizontal="center" vertical="center"/>
    </xf>
    <xf numFmtId="2" fontId="46" fillId="14" borderId="31" xfId="0" applyNumberFormat="1" applyFont="1" applyFill="1" applyBorder="1" applyAlignment="1">
      <alignment horizontal="center" vertical="center"/>
    </xf>
    <xf numFmtId="2" fontId="82" fillId="14" borderId="31" xfId="0" applyNumberFormat="1" applyFont="1" applyFill="1" applyBorder="1" applyAlignment="1">
      <alignment horizontal="center" vertical="center"/>
    </xf>
    <xf numFmtId="2" fontId="82" fillId="14" borderId="7" xfId="0" applyNumberFormat="1" applyFont="1" applyFill="1" applyBorder="1" applyAlignment="1">
      <alignment horizontal="center" vertical="center"/>
    </xf>
    <xf numFmtId="2" fontId="82" fillId="14" borderId="32" xfId="0" applyNumberFormat="1" applyFont="1" applyFill="1" applyBorder="1" applyAlignment="1">
      <alignment horizontal="center" vertical="center"/>
    </xf>
    <xf numFmtId="0" fontId="2" fillId="10" borderId="0" xfId="0" applyFont="1" applyFill="1" applyBorder="1" applyAlignment="1"/>
    <xf numFmtId="0" fontId="2" fillId="10" borderId="0" xfId="0" applyFont="1" applyFill="1" applyBorder="1" applyAlignment="1"/>
    <xf numFmtId="0" fontId="2" fillId="10" borderId="0" xfId="0" applyFont="1" applyFill="1" applyAlignment="1"/>
    <xf numFmtId="1" fontId="64" fillId="5" borderId="10" xfId="0" applyNumberFormat="1" applyFont="1" applyFill="1" applyBorder="1" applyAlignment="1">
      <alignment horizontal="center" vertical="center"/>
    </xf>
    <xf numFmtId="0" fontId="2" fillId="10" borderId="0" xfId="0" applyFont="1" applyFill="1" applyBorder="1" applyAlignment="1"/>
    <xf numFmtId="0" fontId="2" fillId="10" borderId="0" xfId="0" applyFont="1" applyFill="1" applyAlignment="1"/>
    <xf numFmtId="2" fontId="64" fillId="5" borderId="3" xfId="0" applyNumberFormat="1" applyFont="1" applyFill="1" applyBorder="1" applyAlignment="1">
      <alignment horizontal="center" vertical="center"/>
    </xf>
    <xf numFmtId="0" fontId="0" fillId="8" borderId="0" xfId="0" applyFill="1"/>
    <xf numFmtId="0" fontId="0" fillId="8" borderId="3" xfId="0" applyFill="1" applyBorder="1"/>
    <xf numFmtId="0" fontId="0" fillId="9" borderId="3" xfId="0" applyFill="1" applyBorder="1"/>
    <xf numFmtId="0" fontId="5" fillId="5" borderId="3" xfId="0" applyFont="1" applyFill="1" applyBorder="1" applyAlignment="1">
      <alignment horizontal="center" vertical="center"/>
    </xf>
    <xf numFmtId="0" fontId="0" fillId="5" borderId="3" xfId="0" applyFill="1" applyBorder="1"/>
    <xf numFmtId="2" fontId="64" fillId="5" borderId="3" xfId="0" applyNumberFormat="1" applyFont="1" applyFill="1" applyBorder="1" applyAlignment="1">
      <alignment horizontal="center" vertical="center"/>
    </xf>
    <xf numFmtId="0" fontId="10" fillId="5" borderId="22" xfId="0" applyFont="1" applyFill="1" applyBorder="1" applyAlignment="1">
      <alignment horizontal="left" vertical="center"/>
    </xf>
    <xf numFmtId="0" fontId="43" fillId="7" borderId="22" xfId="0" applyFont="1" applyFill="1" applyBorder="1" applyAlignment="1">
      <alignment horizontal="center" vertical="center"/>
    </xf>
    <xf numFmtId="0" fontId="43" fillId="7" borderId="38" xfId="0" applyFont="1" applyFill="1" applyBorder="1" applyAlignment="1">
      <alignment horizontal="center" vertical="center"/>
    </xf>
    <xf numFmtId="0" fontId="10" fillId="7" borderId="38" xfId="0" applyFont="1" applyFill="1" applyBorder="1" applyAlignment="1">
      <alignment horizontal="left" vertical="center"/>
    </xf>
    <xf numFmtId="2" fontId="4" fillId="7" borderId="38" xfId="0" applyNumberFormat="1" applyFont="1" applyFill="1" applyBorder="1" applyAlignment="1">
      <alignment horizontal="center" vertical="center"/>
    </xf>
    <xf numFmtId="2" fontId="64" fillId="7" borderId="26" xfId="0" applyNumberFormat="1" applyFont="1" applyFill="1" applyBorder="1" applyAlignment="1">
      <alignment horizontal="center" vertical="center"/>
    </xf>
    <xf numFmtId="0" fontId="43" fillId="8" borderId="38" xfId="0" applyFont="1" applyFill="1" applyBorder="1" applyAlignment="1">
      <alignment horizontal="center" vertical="center"/>
    </xf>
    <xf numFmtId="2" fontId="4" fillId="8" borderId="7" xfId="0" applyNumberFormat="1" applyFont="1" applyFill="1" applyBorder="1" applyAlignment="1">
      <alignment horizontal="center" vertical="center"/>
    </xf>
    <xf numFmtId="2" fontId="64" fillId="7" borderId="11" xfId="0" applyNumberFormat="1" applyFont="1" applyFill="1" applyBorder="1" applyAlignment="1">
      <alignment horizontal="center" vertical="center"/>
    </xf>
    <xf numFmtId="2" fontId="5" fillId="5" borderId="3" xfId="0" applyNumberFormat="1" applyFont="1" applyFill="1" applyBorder="1"/>
    <xf numFmtId="0" fontId="43" fillId="8" borderId="3" xfId="0" applyFont="1" applyFill="1" applyBorder="1" applyAlignment="1">
      <alignment horizontal="center" vertical="center"/>
    </xf>
    <xf numFmtId="0" fontId="43" fillId="5" borderId="3" xfId="0" applyFont="1" applyFill="1" applyBorder="1" applyAlignment="1">
      <alignment horizontal="center" vertical="center"/>
    </xf>
    <xf numFmtId="0" fontId="43" fillId="7" borderId="1" xfId="0" applyFont="1" applyFill="1" applyBorder="1" applyAlignment="1">
      <alignment horizontal="center" vertical="center"/>
    </xf>
    <xf numFmtId="2" fontId="7" fillId="5" borderId="0" xfId="0" applyNumberFormat="1" applyFont="1" applyFill="1" applyBorder="1" applyAlignment="1">
      <alignment horizontal="center"/>
    </xf>
    <xf numFmtId="0" fontId="39" fillId="5" borderId="0" xfId="0" applyFont="1" applyFill="1" applyBorder="1"/>
    <xf numFmtId="0" fontId="0" fillId="8" borderId="3" xfId="0" applyFill="1" applyBorder="1" applyAlignment="1">
      <alignment horizontal="center" vertical="center" wrapText="1"/>
    </xf>
    <xf numFmtId="0" fontId="0" fillId="5" borderId="3" xfId="0" applyFill="1" applyBorder="1" applyAlignment="1">
      <alignment horizontal="center" vertical="center" wrapText="1"/>
    </xf>
    <xf numFmtId="2" fontId="10" fillId="8" borderId="3" xfId="0" applyNumberFormat="1" applyFont="1" applyFill="1" applyBorder="1" applyAlignment="1">
      <alignment horizontal="center" vertical="center" wrapText="1"/>
    </xf>
    <xf numFmtId="0" fontId="1" fillId="8" borderId="3" xfId="0" applyFont="1" applyFill="1" applyBorder="1"/>
    <xf numFmtId="0" fontId="1" fillId="5" borderId="3" xfId="0" applyFont="1" applyFill="1" applyBorder="1"/>
    <xf numFmtId="0" fontId="5" fillId="8" borderId="3" xfId="0" applyFont="1" applyFill="1" applyBorder="1"/>
    <xf numFmtId="0" fontId="5" fillId="0" borderId="3" xfId="0" applyFont="1" applyBorder="1"/>
    <xf numFmtId="2" fontId="64" fillId="5" borderId="3" xfId="0" applyNumberFormat="1" applyFont="1" applyFill="1" applyBorder="1" applyAlignment="1">
      <alignment horizontal="center" vertical="center"/>
    </xf>
    <xf numFmtId="0" fontId="0" fillId="8" borderId="3" xfId="0" applyFill="1" applyBorder="1" applyAlignment="1">
      <alignment horizontal="center" vertical="center" wrapText="1"/>
    </xf>
    <xf numFmtId="0" fontId="1" fillId="0" borderId="3" xfId="0" applyFont="1" applyBorder="1"/>
    <xf numFmtId="0" fontId="1" fillId="9" borderId="3" xfId="0" applyFont="1" applyFill="1" applyBorder="1"/>
    <xf numFmtId="0" fontId="1" fillId="8" borderId="0" xfId="0" applyFont="1" applyFill="1"/>
    <xf numFmtId="1" fontId="64" fillId="5" borderId="3" xfId="0" applyNumberFormat="1" applyFont="1" applyFill="1" applyBorder="1" applyAlignment="1">
      <alignment horizontal="center" vertical="center"/>
    </xf>
    <xf numFmtId="1" fontId="64" fillId="8" borderId="3" xfId="0" applyNumberFormat="1" applyFont="1" applyFill="1" applyBorder="1" applyAlignment="1">
      <alignment horizontal="center" vertical="center"/>
    </xf>
    <xf numFmtId="1" fontId="64" fillId="5" borderId="7" xfId="0" applyNumberFormat="1" applyFont="1" applyFill="1" applyBorder="1" applyAlignment="1">
      <alignment horizontal="center" vertical="center"/>
    </xf>
    <xf numFmtId="1" fontId="64" fillId="8" borderId="7" xfId="0" applyNumberFormat="1" applyFont="1" applyFill="1" applyBorder="1" applyAlignment="1">
      <alignment horizontal="center" vertical="center"/>
    </xf>
    <xf numFmtId="2" fontId="4" fillId="5" borderId="11" xfId="0" applyNumberFormat="1" applyFont="1" applyFill="1" applyBorder="1" applyAlignment="1">
      <alignment horizontal="center" vertical="center"/>
    </xf>
    <xf numFmtId="0" fontId="1" fillId="9" borderId="7" xfId="0" applyFont="1" applyFill="1" applyBorder="1"/>
    <xf numFmtId="0" fontId="1" fillId="8" borderId="13" xfId="0" applyFont="1" applyFill="1" applyBorder="1"/>
    <xf numFmtId="0" fontId="1" fillId="8" borderId="3" xfId="0" applyFont="1" applyFill="1" applyBorder="1" applyAlignment="1">
      <alignment vertical="center"/>
    </xf>
    <xf numFmtId="2" fontId="64" fillId="16" borderId="3" xfId="0" applyNumberFormat="1" applyFont="1" applyFill="1" applyBorder="1" applyAlignment="1">
      <alignment horizontal="center" vertical="center"/>
    </xf>
    <xf numFmtId="0" fontId="0" fillId="8" borderId="0" xfId="0" applyFill="1" applyBorder="1"/>
    <xf numFmtId="2" fontId="69" fillId="8" borderId="3" xfId="0" applyNumberFormat="1" applyFont="1" applyFill="1" applyBorder="1" applyAlignment="1">
      <alignment horizontal="center" vertical="center"/>
    </xf>
    <xf numFmtId="2" fontId="83" fillId="17" borderId="19" xfId="0" applyNumberFormat="1" applyFont="1" applyFill="1" applyBorder="1" applyAlignment="1">
      <alignment horizontal="center" vertical="center"/>
    </xf>
    <xf numFmtId="2" fontId="82" fillId="17" borderId="19" xfId="0" applyNumberFormat="1" applyFont="1" applyFill="1" applyBorder="1" applyAlignment="1">
      <alignment horizontal="center" vertical="center"/>
    </xf>
    <xf numFmtId="2" fontId="82" fillId="17" borderId="20" xfId="0" applyNumberFormat="1" applyFont="1" applyFill="1" applyBorder="1" applyAlignment="1">
      <alignment horizontal="center" vertical="center"/>
    </xf>
    <xf numFmtId="0" fontId="67" fillId="8" borderId="3" xfId="0" applyFont="1" applyFill="1" applyBorder="1"/>
    <xf numFmtId="0" fontId="67" fillId="5" borderId="3" xfId="0" applyFont="1" applyFill="1" applyBorder="1"/>
    <xf numFmtId="0" fontId="4" fillId="8" borderId="3" xfId="0" applyNumberFormat="1" applyFont="1" applyFill="1" applyBorder="1" applyAlignment="1">
      <alignment horizontal="center" vertical="center" wrapText="1"/>
    </xf>
    <xf numFmtId="0" fontId="4" fillId="5" borderId="3" xfId="0" applyNumberFormat="1" applyFont="1" applyFill="1" applyBorder="1" applyAlignment="1">
      <alignment horizontal="center" vertical="center" wrapText="1"/>
    </xf>
    <xf numFmtId="0" fontId="1" fillId="8" borderId="5" xfId="0" applyFont="1" applyFill="1" applyBorder="1"/>
    <xf numFmtId="2" fontId="5" fillId="8" borderId="3" xfId="0" applyNumberFormat="1" applyFont="1" applyFill="1" applyBorder="1"/>
    <xf numFmtId="0" fontId="5" fillId="8" borderId="3" xfId="0" applyFont="1" applyFill="1" applyBorder="1" applyAlignment="1">
      <alignment horizontal="center" vertical="center"/>
    </xf>
    <xf numFmtId="2" fontId="64" fillId="8" borderId="26" xfId="0" applyNumberFormat="1" applyFont="1" applyFill="1" applyBorder="1" applyAlignment="1">
      <alignment horizontal="center" vertical="center"/>
    </xf>
    <xf numFmtId="2" fontId="6" fillId="8" borderId="2" xfId="0" applyNumberFormat="1" applyFont="1" applyFill="1" applyBorder="1" applyAlignment="1">
      <alignment horizontal="center" vertical="center" wrapText="1"/>
    </xf>
    <xf numFmtId="2" fontId="6" fillId="0" borderId="2"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5" fillId="0" borderId="0" xfId="0" applyFont="1"/>
    <xf numFmtId="1" fontId="64" fillId="8" borderId="10" xfId="0" applyNumberFormat="1" applyFont="1" applyFill="1" applyBorder="1" applyAlignment="1">
      <alignment horizontal="center" vertical="center"/>
    </xf>
    <xf numFmtId="1" fontId="64" fillId="5" borderId="5" xfId="0" applyNumberFormat="1" applyFont="1" applyFill="1" applyBorder="1" applyAlignment="1">
      <alignment horizontal="center" vertical="center"/>
    </xf>
    <xf numFmtId="1" fontId="64" fillId="5" borderId="13" xfId="0" applyNumberFormat="1" applyFont="1" applyFill="1" applyBorder="1" applyAlignment="1">
      <alignment horizontal="center" vertical="center"/>
    </xf>
    <xf numFmtId="0" fontId="0" fillId="10" borderId="0" xfId="0" applyFill="1" applyBorder="1" applyAlignment="1">
      <alignment horizontal="center" vertical="center" wrapText="1"/>
    </xf>
    <xf numFmtId="2" fontId="64" fillId="5" borderId="3" xfId="0" applyNumberFormat="1" applyFont="1" applyFill="1" applyBorder="1" applyAlignment="1">
      <alignment horizontal="center" vertical="center"/>
    </xf>
    <xf numFmtId="0" fontId="4" fillId="5" borderId="5" xfId="0" applyFont="1" applyFill="1" applyBorder="1" applyAlignment="1">
      <alignment horizontal="center" vertical="center"/>
    </xf>
    <xf numFmtId="0" fontId="0" fillId="10" borderId="0" xfId="0" applyFill="1" applyBorder="1" applyAlignment="1">
      <alignment horizontal="center" vertical="center" wrapText="1"/>
    </xf>
    <xf numFmtId="1" fontId="64" fillId="8" borderId="16" xfId="0" applyNumberFormat="1" applyFont="1" applyFill="1" applyBorder="1" applyAlignment="1">
      <alignment horizontal="center" vertical="center"/>
    </xf>
    <xf numFmtId="1" fontId="64" fillId="5" borderId="16" xfId="0" applyNumberFormat="1" applyFont="1" applyFill="1" applyBorder="1" applyAlignment="1">
      <alignment horizontal="center" vertical="center"/>
    </xf>
    <xf numFmtId="0" fontId="2" fillId="10" borderId="0" xfId="0" applyFont="1" applyFill="1" applyBorder="1" applyAlignment="1"/>
    <xf numFmtId="0" fontId="2" fillId="10" borderId="0" xfId="0" applyFont="1" applyFill="1" applyAlignment="1"/>
    <xf numFmtId="0" fontId="0" fillId="5" borderId="0" xfId="0" applyFill="1" applyBorder="1" applyAlignment="1"/>
    <xf numFmtId="2" fontId="64" fillId="5" borderId="3" xfId="0" applyNumberFormat="1" applyFont="1" applyFill="1" applyBorder="1" applyAlignment="1">
      <alignment horizontal="center" vertical="center"/>
    </xf>
    <xf numFmtId="0" fontId="1" fillId="5" borderId="3" xfId="0" applyFont="1" applyFill="1" applyBorder="1" applyAlignment="1">
      <alignment vertical="center"/>
    </xf>
    <xf numFmtId="0" fontId="1" fillId="5" borderId="0" xfId="0" applyFont="1" applyFill="1"/>
    <xf numFmtId="1" fontId="64" fillId="8" borderId="5" xfId="0" applyNumberFormat="1" applyFont="1" applyFill="1" applyBorder="1" applyAlignment="1">
      <alignment horizontal="center" vertical="center"/>
    </xf>
    <xf numFmtId="2" fontId="64" fillId="8" borderId="3" xfId="0" applyNumberFormat="1" applyFont="1" applyFill="1" applyBorder="1" applyAlignment="1">
      <alignment horizontal="center" vertical="center"/>
    </xf>
    <xf numFmtId="0" fontId="5" fillId="5" borderId="3" xfId="0" applyFont="1" applyFill="1" applyBorder="1"/>
    <xf numFmtId="1" fontId="64" fillId="8" borderId="4" xfId="0" applyNumberFormat="1" applyFont="1" applyFill="1" applyBorder="1" applyAlignment="1">
      <alignment horizontal="center" vertical="center"/>
    </xf>
    <xf numFmtId="1" fontId="64" fillId="5" borderId="4" xfId="0" applyNumberFormat="1" applyFont="1" applyFill="1" applyBorder="1" applyAlignment="1">
      <alignment horizontal="center" vertical="center"/>
    </xf>
    <xf numFmtId="0" fontId="71" fillId="10" borderId="0" xfId="0" applyFont="1" applyFill="1" applyBorder="1" applyAlignment="1">
      <alignment vertical="center"/>
    </xf>
    <xf numFmtId="0" fontId="71" fillId="10" borderId="29" xfId="0" applyFont="1" applyFill="1" applyBorder="1" applyAlignment="1">
      <alignment vertical="center"/>
    </xf>
    <xf numFmtId="0" fontId="71" fillId="10" borderId="1" xfId="0" applyFont="1" applyFill="1" applyBorder="1" applyAlignment="1">
      <alignment vertical="center"/>
    </xf>
    <xf numFmtId="2" fontId="64" fillId="8" borderId="3" xfId="0" applyNumberFormat="1" applyFont="1" applyFill="1" applyBorder="1" applyAlignment="1">
      <alignment horizontal="center" vertical="center"/>
    </xf>
    <xf numFmtId="2" fontId="1" fillId="5" borderId="3" xfId="0" applyNumberFormat="1" applyFont="1" applyFill="1" applyBorder="1"/>
    <xf numFmtId="0" fontId="2" fillId="10" borderId="0" xfId="0" applyFont="1" applyFill="1" applyBorder="1" applyAlignment="1"/>
    <xf numFmtId="0" fontId="2" fillId="10" borderId="0" xfId="0" applyFont="1" applyFill="1" applyAlignment="1"/>
    <xf numFmtId="1" fontId="76" fillId="8" borderId="3" xfId="0" applyNumberFormat="1" applyFont="1" applyFill="1" applyBorder="1" applyAlignment="1">
      <alignment horizontal="center" vertical="center"/>
    </xf>
    <xf numFmtId="1" fontId="76" fillId="5" borderId="3" xfId="0" applyNumberFormat="1" applyFont="1" applyFill="1" applyBorder="1" applyAlignment="1">
      <alignment horizontal="center" vertical="center"/>
    </xf>
    <xf numFmtId="0" fontId="71" fillId="10" borderId="1" xfId="0" applyFont="1" applyFill="1" applyBorder="1" applyAlignment="1">
      <alignment vertical="center"/>
    </xf>
    <xf numFmtId="0" fontId="71" fillId="10" borderId="0" xfId="0" applyFont="1" applyFill="1" applyBorder="1" applyAlignment="1">
      <alignment vertical="center"/>
    </xf>
    <xf numFmtId="0" fontId="71" fillId="10" borderId="29" xfId="0" applyFont="1" applyFill="1" applyBorder="1" applyAlignment="1">
      <alignment vertical="center"/>
    </xf>
    <xf numFmtId="0" fontId="0" fillId="5" borderId="0" xfId="0" applyFill="1" applyBorder="1" applyAlignment="1"/>
    <xf numFmtId="1" fontId="64" fillId="5" borderId="0" xfId="0" applyNumberFormat="1" applyFont="1" applyFill="1" applyBorder="1" applyAlignment="1">
      <alignment horizontal="center" vertical="center"/>
    </xf>
    <xf numFmtId="0" fontId="71" fillId="10" borderId="1" xfId="0" applyFont="1" applyFill="1" applyBorder="1" applyAlignment="1">
      <alignment vertical="center"/>
    </xf>
    <xf numFmtId="0" fontId="71" fillId="10" borderId="0" xfId="0" applyFont="1" applyFill="1" applyBorder="1" applyAlignment="1">
      <alignment vertical="center"/>
    </xf>
    <xf numFmtId="0" fontId="71" fillId="10" borderId="29" xfId="0" applyFont="1" applyFill="1" applyBorder="1" applyAlignment="1">
      <alignment vertical="center"/>
    </xf>
    <xf numFmtId="1" fontId="64" fillId="9" borderId="3" xfId="0" applyNumberFormat="1" applyFont="1" applyFill="1" applyBorder="1" applyAlignment="1">
      <alignment horizontal="center" vertical="center"/>
    </xf>
    <xf numFmtId="1" fontId="64" fillId="9" borderId="5" xfId="0" applyNumberFormat="1" applyFont="1" applyFill="1" applyBorder="1" applyAlignment="1">
      <alignment horizontal="center" vertical="center"/>
    </xf>
    <xf numFmtId="1" fontId="64" fillId="5" borderId="24" xfId="0" applyNumberFormat="1" applyFont="1" applyFill="1" applyBorder="1" applyAlignment="1">
      <alignment horizontal="center" vertical="center"/>
    </xf>
    <xf numFmtId="1" fontId="64" fillId="8" borderId="13" xfId="0" applyNumberFormat="1" applyFont="1" applyFill="1" applyBorder="1" applyAlignment="1">
      <alignment horizontal="center" vertical="center"/>
    </xf>
    <xf numFmtId="1" fontId="64" fillId="8" borderId="24" xfId="0" applyNumberFormat="1" applyFont="1" applyFill="1" applyBorder="1" applyAlignment="1">
      <alignment horizontal="center" vertical="center"/>
    </xf>
    <xf numFmtId="1" fontId="77" fillId="8" borderId="3" xfId="0" applyNumberFormat="1" applyFont="1" applyFill="1" applyBorder="1" applyAlignment="1">
      <alignment horizontal="center" vertical="center"/>
    </xf>
    <xf numFmtId="1" fontId="0" fillId="2" borderId="0" xfId="0" applyNumberFormat="1" applyFill="1" applyBorder="1" applyAlignment="1">
      <alignment horizontal="center" vertical="center" wrapText="1"/>
    </xf>
    <xf numFmtId="1" fontId="77" fillId="5" borderId="3" xfId="0" applyNumberFormat="1" applyFont="1" applyFill="1" applyBorder="1" applyAlignment="1">
      <alignment horizontal="center" vertical="center"/>
    </xf>
    <xf numFmtId="1" fontId="0" fillId="8" borderId="3" xfId="0" applyNumberFormat="1" applyFill="1" applyBorder="1"/>
    <xf numFmtId="1" fontId="1" fillId="9" borderId="3" xfId="0" applyNumberFormat="1" applyFont="1" applyFill="1" applyBorder="1"/>
    <xf numFmtId="1" fontId="1" fillId="5" borderId="3" xfId="0" applyNumberFormat="1" applyFont="1" applyFill="1" applyBorder="1"/>
    <xf numFmtId="1" fontId="1" fillId="8" borderId="3" xfId="0" applyNumberFormat="1" applyFont="1" applyFill="1" applyBorder="1"/>
    <xf numFmtId="1" fontId="4" fillId="8" borderId="3" xfId="0" applyNumberFormat="1" applyFont="1" applyFill="1" applyBorder="1" applyAlignment="1">
      <alignment horizontal="center" vertical="center"/>
    </xf>
    <xf numFmtId="1" fontId="4" fillId="5" borderId="3" xfId="0" applyNumberFormat="1" applyFont="1" applyFill="1" applyBorder="1" applyAlignment="1">
      <alignment horizontal="center" vertical="center"/>
    </xf>
    <xf numFmtId="1" fontId="4" fillId="2" borderId="3" xfId="0" applyNumberFormat="1" applyFont="1" applyFill="1" applyBorder="1" applyAlignment="1">
      <alignment horizontal="center" vertical="center"/>
    </xf>
    <xf numFmtId="1" fontId="1" fillId="0" borderId="3" xfId="0" applyNumberFormat="1" applyFont="1" applyBorder="1"/>
    <xf numFmtId="1" fontId="1" fillId="9" borderId="3" xfId="0" applyNumberFormat="1" applyFont="1" applyFill="1" applyBorder="1" applyAlignment="1">
      <alignment horizontal="center" vertical="center"/>
    </xf>
    <xf numFmtId="1" fontId="64" fillId="8" borderId="12" xfId="0" applyNumberFormat="1" applyFont="1" applyFill="1" applyBorder="1" applyAlignment="1">
      <alignment horizontal="center" vertical="center"/>
    </xf>
    <xf numFmtId="1" fontId="0" fillId="5" borderId="3" xfId="0" applyNumberFormat="1" applyFill="1" applyBorder="1"/>
    <xf numFmtId="1" fontId="1" fillId="5" borderId="7" xfId="0" applyNumberFormat="1" applyFont="1" applyFill="1" applyBorder="1"/>
    <xf numFmtId="1" fontId="1" fillId="8" borderId="7" xfId="0" applyNumberFormat="1" applyFont="1" applyFill="1" applyBorder="1"/>
    <xf numFmtId="1" fontId="64" fillId="5" borderId="23" xfId="0" applyNumberFormat="1" applyFont="1" applyFill="1" applyBorder="1" applyAlignment="1">
      <alignment horizontal="center" vertical="center"/>
    </xf>
    <xf numFmtId="1" fontId="64" fillId="8" borderId="59" xfId="0" applyNumberFormat="1" applyFont="1" applyFill="1" applyBorder="1" applyAlignment="1">
      <alignment horizontal="center" vertical="center"/>
    </xf>
    <xf numFmtId="1" fontId="64" fillId="8" borderId="23" xfId="0" applyNumberFormat="1" applyFont="1" applyFill="1" applyBorder="1" applyAlignment="1">
      <alignment horizontal="center" vertical="center"/>
    </xf>
    <xf numFmtId="1" fontId="64" fillId="8" borderId="60" xfId="0" applyNumberFormat="1" applyFont="1" applyFill="1" applyBorder="1" applyAlignment="1">
      <alignment horizontal="center" vertical="center"/>
    </xf>
    <xf numFmtId="1" fontId="0" fillId="5" borderId="3" xfId="0" applyNumberFormat="1" applyFill="1" applyBorder="1" applyAlignment="1">
      <alignment horizontal="center" vertical="center"/>
    </xf>
    <xf numFmtId="1" fontId="0" fillId="8" borderId="3" xfId="0" applyNumberFormat="1" applyFill="1" applyBorder="1" applyAlignment="1">
      <alignment horizontal="center" vertical="center"/>
    </xf>
    <xf numFmtId="1" fontId="64" fillId="5" borderId="66" xfId="0" applyNumberFormat="1" applyFont="1" applyFill="1" applyBorder="1" applyAlignment="1">
      <alignment horizontal="center" vertical="center"/>
    </xf>
    <xf numFmtId="1" fontId="43" fillId="5" borderId="3" xfId="0" applyNumberFormat="1" applyFont="1" applyFill="1" applyBorder="1" applyAlignment="1">
      <alignment horizontal="center" vertical="center" wrapText="1"/>
    </xf>
    <xf numFmtId="1" fontId="43" fillId="8" borderId="7" xfId="0" applyNumberFormat="1" applyFont="1" applyFill="1" applyBorder="1" applyAlignment="1">
      <alignment horizontal="center" vertical="center" wrapText="1"/>
    </xf>
    <xf numFmtId="1" fontId="4" fillId="8" borderId="13" xfId="0" applyNumberFormat="1" applyFont="1" applyFill="1" applyBorder="1" applyAlignment="1">
      <alignment horizontal="center" vertical="center"/>
    </xf>
    <xf numFmtId="1" fontId="4" fillId="5" borderId="13" xfId="0" applyNumberFormat="1" applyFont="1" applyFill="1" applyBorder="1" applyAlignment="1">
      <alignment horizontal="center" vertical="center"/>
    </xf>
    <xf numFmtId="1" fontId="64" fillId="0" borderId="3" xfId="0" applyNumberFormat="1" applyFont="1" applyBorder="1" applyAlignment="1">
      <alignment horizontal="center" vertical="center"/>
    </xf>
    <xf numFmtId="1" fontId="64" fillId="9" borderId="16" xfId="0" applyNumberFormat="1" applyFont="1" applyFill="1" applyBorder="1" applyAlignment="1">
      <alignment horizontal="center" vertical="center"/>
    </xf>
    <xf numFmtId="1" fontId="64" fillId="9" borderId="23" xfId="0" applyNumberFormat="1" applyFont="1" applyFill="1" applyBorder="1" applyAlignment="1">
      <alignment horizontal="center" vertical="center"/>
    </xf>
    <xf numFmtId="1" fontId="67" fillId="5" borderId="3" xfId="0" applyNumberFormat="1" applyFont="1" applyFill="1" applyBorder="1" applyAlignment="1">
      <alignment horizontal="center" vertical="center" wrapText="1"/>
    </xf>
    <xf numFmtId="1" fontId="67" fillId="8" borderId="3" xfId="0" applyNumberFormat="1" applyFont="1" applyFill="1" applyBorder="1" applyAlignment="1">
      <alignment horizontal="center" vertical="center" wrapText="1"/>
    </xf>
    <xf numFmtId="1" fontId="1" fillId="5" borderId="3" xfId="0" applyNumberFormat="1" applyFont="1" applyFill="1" applyBorder="1" applyAlignment="1">
      <alignment vertical="center"/>
    </xf>
    <xf numFmtId="1" fontId="1" fillId="8" borderId="3" xfId="0" applyNumberFormat="1" applyFont="1" applyFill="1" applyBorder="1" applyAlignment="1">
      <alignment vertical="center"/>
    </xf>
    <xf numFmtId="1" fontId="1" fillId="0" borderId="7" xfId="0" applyNumberFormat="1" applyFont="1" applyBorder="1"/>
    <xf numFmtId="1" fontId="64" fillId="8" borderId="11" xfId="0" applyNumberFormat="1" applyFont="1" applyFill="1" applyBorder="1" applyAlignment="1">
      <alignment horizontal="center" vertical="center"/>
    </xf>
    <xf numFmtId="168" fontId="77" fillId="5" borderId="10" xfId="0" applyNumberFormat="1" applyFont="1" applyFill="1" applyBorder="1" applyAlignment="1">
      <alignment horizontal="center" vertical="center"/>
    </xf>
    <xf numFmtId="168" fontId="4" fillId="6" borderId="3" xfId="0" applyNumberFormat="1" applyFont="1" applyFill="1" applyBorder="1" applyAlignment="1">
      <alignment horizontal="center" vertical="center"/>
    </xf>
    <xf numFmtId="168" fontId="64" fillId="8" borderId="3" xfId="0" applyNumberFormat="1" applyFont="1" applyFill="1" applyBorder="1" applyAlignment="1">
      <alignment horizontal="center" vertical="center"/>
    </xf>
    <xf numFmtId="168" fontId="64" fillId="8" borderId="7" xfId="0" applyNumberFormat="1" applyFont="1" applyFill="1" applyBorder="1" applyAlignment="1">
      <alignment horizontal="center" vertical="center"/>
    </xf>
    <xf numFmtId="168" fontId="64" fillId="8" borderId="21" xfId="0" applyNumberFormat="1" applyFont="1" applyFill="1" applyBorder="1" applyAlignment="1">
      <alignment horizontal="center" vertical="center"/>
    </xf>
    <xf numFmtId="168" fontId="64" fillId="5" borderId="3" xfId="0" applyNumberFormat="1" applyFont="1" applyFill="1" applyBorder="1" applyAlignment="1">
      <alignment horizontal="center" vertical="center"/>
    </xf>
    <xf numFmtId="168" fontId="64" fillId="8" borderId="10" xfId="0" applyNumberFormat="1" applyFont="1" applyFill="1" applyBorder="1" applyAlignment="1">
      <alignment horizontal="center" vertical="center"/>
    </xf>
    <xf numFmtId="0" fontId="3" fillId="13" borderId="38" xfId="0" applyNumberFormat="1" applyFont="1" applyFill="1" applyBorder="1" applyAlignment="1">
      <alignment horizontal="center" vertical="center" wrapText="1"/>
    </xf>
    <xf numFmtId="0" fontId="3" fillId="13" borderId="0" xfId="0" applyNumberFormat="1" applyFont="1" applyFill="1" applyBorder="1" applyAlignment="1">
      <alignment horizontal="center" vertical="center" wrapText="1"/>
    </xf>
    <xf numFmtId="0" fontId="3" fillId="13" borderId="14" xfId="0" applyNumberFormat="1" applyFont="1" applyFill="1" applyBorder="1" applyAlignment="1">
      <alignment horizontal="center" vertical="center" wrapText="1"/>
    </xf>
    <xf numFmtId="2" fontId="64" fillId="8" borderId="3" xfId="0" applyNumberFormat="1" applyFont="1" applyFill="1" applyBorder="1" applyAlignment="1">
      <alignment horizontal="center" vertical="center"/>
    </xf>
    <xf numFmtId="2" fontId="4" fillId="5" borderId="22" xfId="0" applyNumberFormat="1" applyFont="1" applyFill="1" applyBorder="1" applyAlignment="1">
      <alignment horizontal="center" vertical="center"/>
    </xf>
    <xf numFmtId="2" fontId="4" fillId="8" borderId="24" xfId="0" applyNumberFormat="1" applyFont="1" applyFill="1" applyBorder="1" applyAlignment="1">
      <alignment horizontal="center" vertical="center"/>
    </xf>
    <xf numFmtId="1" fontId="1" fillId="8" borderId="5" xfId="0" applyNumberFormat="1" applyFont="1" applyFill="1" applyBorder="1"/>
    <xf numFmtId="1" fontId="76" fillId="5" borderId="17" xfId="0" applyNumberFormat="1" applyFont="1" applyFill="1" applyBorder="1" applyAlignment="1">
      <alignment horizontal="center" vertical="center"/>
    </xf>
    <xf numFmtId="0" fontId="2" fillId="10" borderId="1" xfId="0" applyFont="1" applyFill="1" applyBorder="1" applyAlignment="1"/>
    <xf numFmtId="0" fontId="2" fillId="10" borderId="0" xfId="0" applyFont="1" applyFill="1" applyAlignment="1"/>
    <xf numFmtId="0" fontId="2" fillId="10" borderId="29" xfId="0" applyFont="1" applyFill="1" applyBorder="1" applyAlignment="1"/>
    <xf numFmtId="0" fontId="0" fillId="10" borderId="0" xfId="0" applyFill="1" applyBorder="1" applyAlignment="1">
      <alignment horizontal="center" vertical="center" wrapText="1"/>
    </xf>
    <xf numFmtId="0" fontId="71" fillId="10" borderId="1" xfId="0" applyFont="1" applyFill="1" applyBorder="1" applyAlignment="1">
      <alignment vertical="center"/>
    </xf>
    <xf numFmtId="0" fontId="71" fillId="10" borderId="0" xfId="0" applyFont="1" applyFill="1" applyBorder="1" applyAlignment="1">
      <alignment vertical="center"/>
    </xf>
    <xf numFmtId="0" fontId="71" fillId="10" borderId="29" xfId="0" applyFont="1" applyFill="1" applyBorder="1" applyAlignment="1">
      <alignment vertical="center"/>
    </xf>
    <xf numFmtId="2" fontId="64" fillId="8" borderId="3" xfId="0" applyNumberFormat="1" applyFont="1" applyFill="1" applyBorder="1" applyAlignment="1">
      <alignment horizontal="center" vertical="center"/>
    </xf>
    <xf numFmtId="2" fontId="64" fillId="8" borderId="3" xfId="0" applyNumberFormat="1" applyFont="1" applyFill="1" applyBorder="1" applyAlignment="1">
      <alignment horizontal="center" vertical="center"/>
    </xf>
    <xf numFmtId="1" fontId="64" fillId="9" borderId="10" xfId="0" applyNumberFormat="1" applyFont="1" applyFill="1" applyBorder="1" applyAlignment="1">
      <alignment horizontal="center" vertical="center"/>
    </xf>
    <xf numFmtId="1" fontId="64" fillId="8" borderId="62" xfId="0" applyNumberFormat="1" applyFont="1" applyFill="1" applyBorder="1" applyAlignment="1">
      <alignment horizontal="center" vertical="center"/>
    </xf>
    <xf numFmtId="1" fontId="113" fillId="5" borderId="3" xfId="0" applyNumberFormat="1" applyFont="1" applyFill="1" applyBorder="1" applyAlignment="1">
      <alignment horizontal="center" vertical="center"/>
    </xf>
    <xf numFmtId="1" fontId="113" fillId="8" borderId="3" xfId="0" applyNumberFormat="1" applyFont="1" applyFill="1" applyBorder="1" applyAlignment="1">
      <alignment horizontal="center" vertical="center"/>
    </xf>
    <xf numFmtId="1" fontId="113" fillId="8" borderId="4" xfId="0" applyNumberFormat="1" applyFont="1" applyFill="1" applyBorder="1" applyAlignment="1">
      <alignment horizontal="center" vertical="center"/>
    </xf>
    <xf numFmtId="1" fontId="113" fillId="5" borderId="4" xfId="0" applyNumberFormat="1" applyFont="1" applyFill="1" applyBorder="1" applyAlignment="1">
      <alignment horizontal="center" vertical="center"/>
    </xf>
    <xf numFmtId="1" fontId="113" fillId="9" borderId="3" xfId="0" applyNumberFormat="1" applyFont="1" applyFill="1" applyBorder="1" applyAlignment="1">
      <alignment horizontal="center" vertical="center"/>
    </xf>
    <xf numFmtId="1" fontId="113" fillId="8" borderId="5" xfId="0" applyNumberFormat="1" applyFont="1" applyFill="1" applyBorder="1" applyAlignment="1">
      <alignment horizontal="center" vertical="center"/>
    </xf>
    <xf numFmtId="1" fontId="113" fillId="5" borderId="5" xfId="0" applyNumberFormat="1" applyFont="1" applyFill="1" applyBorder="1" applyAlignment="1">
      <alignment horizontal="center" vertical="center"/>
    </xf>
    <xf numFmtId="1" fontId="113" fillId="8" borderId="7" xfId="0" applyNumberFormat="1" applyFont="1" applyFill="1" applyBorder="1" applyAlignment="1">
      <alignment horizontal="center" vertical="center"/>
    </xf>
    <xf numFmtId="1" fontId="113" fillId="5" borderId="7" xfId="0" applyNumberFormat="1" applyFont="1" applyFill="1" applyBorder="1" applyAlignment="1">
      <alignment horizontal="center" vertical="center"/>
    </xf>
    <xf numFmtId="1" fontId="113" fillId="8" borderId="17" xfId="0" applyNumberFormat="1" applyFont="1" applyFill="1" applyBorder="1" applyAlignment="1">
      <alignment horizontal="center" vertical="center"/>
    </xf>
    <xf numFmtId="0" fontId="80" fillId="11" borderId="33" xfId="0" applyFont="1" applyFill="1" applyBorder="1" applyAlignment="1">
      <alignment horizontal="center" vertical="center" wrapText="1"/>
    </xf>
    <xf numFmtId="0" fontId="70" fillId="8" borderId="3" xfId="0" applyFont="1" applyFill="1" applyBorder="1"/>
    <xf numFmtId="0" fontId="78" fillId="8" borderId="13" xfId="0" applyFont="1" applyFill="1" applyBorder="1" applyAlignment="1">
      <alignment horizontal="center" vertical="center"/>
    </xf>
    <xf numFmtId="1" fontId="114" fillId="8" borderId="3" xfId="0" applyNumberFormat="1" applyFont="1" applyFill="1" applyBorder="1" applyAlignment="1">
      <alignment horizontal="center" vertical="center"/>
    </xf>
    <xf numFmtId="2" fontId="64" fillId="8" borderId="3" xfId="0" applyNumberFormat="1" applyFont="1" applyFill="1" applyBorder="1" applyAlignment="1">
      <alignment horizontal="center" vertical="center"/>
    </xf>
    <xf numFmtId="1" fontId="64" fillId="8" borderId="63" xfId="0" applyNumberFormat="1" applyFont="1" applyFill="1" applyBorder="1" applyAlignment="1">
      <alignment horizontal="center" vertical="center"/>
    </xf>
    <xf numFmtId="1" fontId="64" fillId="5" borderId="63" xfId="0" applyNumberFormat="1" applyFont="1" applyFill="1" applyBorder="1" applyAlignment="1">
      <alignment horizontal="center" vertical="center"/>
    </xf>
    <xf numFmtId="2" fontId="64" fillId="8" borderId="11" xfId="0" applyNumberFormat="1" applyFont="1" applyFill="1" applyBorder="1" applyAlignment="1">
      <alignment horizontal="center" vertical="center"/>
    </xf>
    <xf numFmtId="0" fontId="67" fillId="5" borderId="3" xfId="0" applyFont="1" applyFill="1" applyBorder="1" applyAlignment="1">
      <alignment vertical="center"/>
    </xf>
    <xf numFmtId="0" fontId="67" fillId="8" borderId="3" xfId="0" applyFont="1" applyFill="1" applyBorder="1" applyAlignment="1">
      <alignment vertical="center"/>
    </xf>
    <xf numFmtId="2" fontId="64" fillId="0" borderId="5" xfId="0" applyNumberFormat="1" applyFont="1" applyBorder="1" applyAlignment="1">
      <alignment horizontal="center" vertical="center"/>
    </xf>
    <xf numFmtId="0" fontId="5" fillId="8" borderId="13" xfId="0" applyFont="1" applyFill="1" applyBorder="1"/>
    <xf numFmtId="1" fontId="64" fillId="19" borderId="3" xfId="0" applyNumberFormat="1" applyFont="1" applyFill="1" applyBorder="1" applyAlignment="1">
      <alignment horizontal="center" vertical="center"/>
    </xf>
    <xf numFmtId="2" fontId="76" fillId="5" borderId="3" xfId="0" applyNumberFormat="1" applyFont="1" applyFill="1" applyBorder="1" applyAlignment="1">
      <alignment horizontal="center" vertical="center"/>
    </xf>
    <xf numFmtId="0" fontId="0" fillId="10" borderId="0" xfId="0" applyFill="1" applyBorder="1" applyAlignment="1">
      <alignment horizontal="center" vertical="center" wrapText="1"/>
    </xf>
    <xf numFmtId="2" fontId="64" fillId="8" borderId="3" xfId="0" applyNumberFormat="1" applyFont="1" applyFill="1" applyBorder="1" applyAlignment="1">
      <alignment horizontal="center" vertical="center"/>
    </xf>
    <xf numFmtId="168" fontId="1" fillId="8" borderId="3" xfId="0" applyNumberFormat="1" applyFont="1" applyFill="1" applyBorder="1"/>
    <xf numFmtId="2" fontId="4" fillId="16" borderId="3" xfId="0" applyNumberFormat="1" applyFont="1" applyFill="1" applyBorder="1" applyAlignment="1">
      <alignment horizontal="center" vertical="center"/>
    </xf>
    <xf numFmtId="168" fontId="1" fillId="5" borderId="3" xfId="0" applyNumberFormat="1" applyFont="1" applyFill="1" applyBorder="1"/>
    <xf numFmtId="2" fontId="4" fillId="20" borderId="3" xfId="0" applyNumberFormat="1" applyFont="1" applyFill="1" applyBorder="1" applyAlignment="1">
      <alignment horizontal="center" vertical="center"/>
    </xf>
    <xf numFmtId="2" fontId="64" fillId="20" borderId="7" xfId="0" applyNumberFormat="1" applyFont="1" applyFill="1" applyBorder="1" applyAlignment="1">
      <alignment horizontal="center" vertical="center"/>
    </xf>
    <xf numFmtId="168" fontId="64" fillId="5" borderId="7" xfId="0" applyNumberFormat="1" applyFont="1" applyFill="1" applyBorder="1" applyAlignment="1">
      <alignment horizontal="center" vertical="center"/>
    </xf>
    <xf numFmtId="168" fontId="64" fillId="5" borderId="25" xfId="0" applyNumberFormat="1" applyFont="1" applyFill="1" applyBorder="1" applyAlignment="1">
      <alignment horizontal="center" vertical="center"/>
    </xf>
    <xf numFmtId="2" fontId="64" fillId="20" borderId="3" xfId="0" applyNumberFormat="1" applyFont="1" applyFill="1" applyBorder="1" applyAlignment="1">
      <alignment horizontal="center" vertical="center"/>
    </xf>
    <xf numFmtId="168" fontId="64" fillId="5" borderId="21" xfId="0" applyNumberFormat="1" applyFont="1" applyFill="1" applyBorder="1" applyAlignment="1">
      <alignment horizontal="center" vertical="center"/>
    </xf>
    <xf numFmtId="2" fontId="69" fillId="5" borderId="31" xfId="0" applyNumberFormat="1" applyFont="1" applyFill="1" applyBorder="1" applyAlignment="1">
      <alignment horizontal="center" vertical="center"/>
    </xf>
    <xf numFmtId="168" fontId="64" fillId="5" borderId="10" xfId="0" applyNumberFormat="1" applyFont="1" applyFill="1" applyBorder="1" applyAlignment="1">
      <alignment horizontal="center" vertical="center"/>
    </xf>
    <xf numFmtId="168" fontId="64" fillId="5" borderId="58" xfId="0" applyNumberFormat="1" applyFont="1" applyFill="1" applyBorder="1" applyAlignment="1">
      <alignment horizontal="center" vertical="center"/>
    </xf>
    <xf numFmtId="2" fontId="4" fillId="5" borderId="31" xfId="0" applyNumberFormat="1" applyFont="1" applyFill="1" applyBorder="1" applyAlignment="1">
      <alignment horizontal="center" vertical="center"/>
    </xf>
    <xf numFmtId="168" fontId="64" fillId="5" borderId="68" xfId="0" applyNumberFormat="1" applyFont="1" applyFill="1" applyBorder="1" applyAlignment="1">
      <alignment horizontal="center" vertical="center"/>
    </xf>
    <xf numFmtId="2" fontId="64" fillId="5" borderId="31" xfId="0" applyNumberFormat="1" applyFont="1" applyFill="1" applyBorder="1" applyAlignment="1">
      <alignment horizontal="center" vertical="center"/>
    </xf>
    <xf numFmtId="168" fontId="64" fillId="5" borderId="31" xfId="0" applyNumberFormat="1" applyFont="1" applyFill="1" applyBorder="1" applyAlignment="1">
      <alignment horizontal="center" vertical="center"/>
    </xf>
    <xf numFmtId="168" fontId="64" fillId="5" borderId="32" xfId="0" applyNumberFormat="1" applyFont="1" applyFill="1" applyBorder="1" applyAlignment="1">
      <alignment horizontal="center" vertical="center"/>
    </xf>
    <xf numFmtId="1" fontId="114" fillId="5" borderId="3" xfId="0" applyNumberFormat="1" applyFont="1" applyFill="1" applyBorder="1" applyAlignment="1">
      <alignment horizontal="center" vertical="center"/>
    </xf>
    <xf numFmtId="2" fontId="4" fillId="5" borderId="4" xfId="0" applyNumberFormat="1" applyFont="1" applyFill="1" applyBorder="1" applyAlignment="1">
      <alignment horizontal="center" vertical="center"/>
    </xf>
    <xf numFmtId="2" fontId="4" fillId="8" borderId="29" xfId="0" applyNumberFormat="1" applyFont="1" applyFill="1" applyBorder="1" applyAlignment="1">
      <alignment horizontal="center" vertical="center"/>
    </xf>
    <xf numFmtId="1" fontId="64" fillId="8" borderId="17" xfId="0" applyNumberFormat="1" applyFont="1" applyFill="1" applyBorder="1" applyAlignment="1">
      <alignment horizontal="center" vertical="center"/>
    </xf>
    <xf numFmtId="166" fontId="85" fillId="2" borderId="3" xfId="2" applyNumberFormat="1" applyFont="1" applyFill="1" applyBorder="1" applyAlignment="1" applyProtection="1">
      <alignment horizontal="center" vertical="center"/>
    </xf>
    <xf numFmtId="166" fontId="85" fillId="2" borderId="5" xfId="2" applyNumberFormat="1" applyFont="1" applyFill="1" applyBorder="1" applyAlignment="1" applyProtection="1">
      <alignment horizontal="center"/>
    </xf>
    <xf numFmtId="166" fontId="116" fillId="2" borderId="5" xfId="2" applyNumberFormat="1" applyFont="1" applyFill="1" applyBorder="1" applyAlignment="1" applyProtection="1">
      <alignment horizontal="center"/>
    </xf>
    <xf numFmtId="166" fontId="117" fillId="2" borderId="5" xfId="2" applyNumberFormat="1" applyFont="1" applyFill="1" applyBorder="1" applyAlignment="1" applyProtection="1">
      <alignment horizontal="center"/>
    </xf>
    <xf numFmtId="0" fontId="85" fillId="2" borderId="3" xfId="2" applyFont="1" applyFill="1" applyBorder="1" applyAlignment="1" applyProtection="1">
      <alignment horizontal="center"/>
    </xf>
    <xf numFmtId="166" fontId="85" fillId="2" borderId="26" xfId="2" applyNumberFormat="1" applyFont="1" applyFill="1" applyBorder="1" applyAlignment="1" applyProtection="1">
      <alignment horizontal="center"/>
    </xf>
    <xf numFmtId="0" fontId="85" fillId="0" borderId="3" xfId="2" applyNumberFormat="1" applyFont="1" applyBorder="1" applyAlignment="1" applyProtection="1">
      <alignment horizontal="center"/>
    </xf>
    <xf numFmtId="0" fontId="70" fillId="2" borderId="3" xfId="0" applyFont="1" applyFill="1" applyBorder="1" applyAlignment="1">
      <alignment horizontal="center"/>
    </xf>
    <xf numFmtId="0" fontId="70" fillId="0" borderId="3" xfId="0" applyNumberFormat="1" applyFont="1" applyBorder="1" applyAlignment="1">
      <alignment horizontal="center"/>
    </xf>
    <xf numFmtId="0" fontId="85" fillId="0" borderId="3" xfId="2" applyFont="1" applyBorder="1" applyAlignment="1" applyProtection="1">
      <alignment horizontal="center"/>
    </xf>
    <xf numFmtId="0" fontId="85" fillId="2" borderId="7" xfId="2" applyFont="1" applyFill="1" applyBorder="1" applyAlignment="1" applyProtection="1">
      <alignment horizontal="center"/>
    </xf>
    <xf numFmtId="166" fontId="85" fillId="2" borderId="4" xfId="2" applyNumberFormat="1" applyFont="1" applyFill="1" applyBorder="1" applyAlignment="1" applyProtection="1">
      <alignment horizontal="center" vertical="center"/>
    </xf>
    <xf numFmtId="166" fontId="85" fillId="2" borderId="4" xfId="2" applyNumberFormat="1" applyFont="1" applyFill="1" applyBorder="1" applyAlignment="1" applyProtection="1">
      <alignment horizontal="center"/>
    </xf>
    <xf numFmtId="0" fontId="5" fillId="21" borderId="27" xfId="0" applyFont="1" applyFill="1" applyBorder="1" applyAlignment="1">
      <alignment horizontal="left" vertical="center"/>
    </xf>
    <xf numFmtId="0" fontId="5" fillId="21" borderId="41" xfId="0" applyFont="1" applyFill="1" applyBorder="1" applyAlignment="1">
      <alignment horizontal="left" vertical="center"/>
    </xf>
    <xf numFmtId="166" fontId="85" fillId="0" borderId="3" xfId="2" applyNumberFormat="1" applyFont="1" applyBorder="1" applyAlignment="1" applyProtection="1">
      <alignment horizontal="center"/>
    </xf>
    <xf numFmtId="2" fontId="1" fillId="2" borderId="0" xfId="0" applyNumberFormat="1" applyFont="1" applyFill="1" applyBorder="1"/>
    <xf numFmtId="166" fontId="85" fillId="2" borderId="5" xfId="2" applyNumberFormat="1" applyFont="1" applyFill="1" applyBorder="1" applyAlignment="1" applyProtection="1">
      <alignment horizontal="center" vertical="center"/>
    </xf>
    <xf numFmtId="166" fontId="70" fillId="2" borderId="4" xfId="0" applyNumberFormat="1" applyFont="1" applyFill="1" applyBorder="1" applyAlignment="1">
      <alignment horizontal="center"/>
    </xf>
    <xf numFmtId="166" fontId="70" fillId="2" borderId="3" xfId="0" applyNumberFormat="1" applyFont="1" applyFill="1" applyBorder="1" applyAlignment="1">
      <alignment horizontal="center"/>
    </xf>
    <xf numFmtId="166" fontId="85" fillId="5" borderId="3" xfId="2" applyNumberFormat="1" applyFont="1" applyFill="1" applyBorder="1" applyAlignment="1" applyProtection="1">
      <alignment horizontal="center"/>
    </xf>
    <xf numFmtId="166" fontId="70" fillId="5" borderId="3" xfId="0" applyNumberFormat="1" applyFont="1" applyFill="1" applyBorder="1" applyAlignment="1">
      <alignment horizontal="center"/>
    </xf>
    <xf numFmtId="49" fontId="85" fillId="2" borderId="3" xfId="2" applyNumberFormat="1" applyFont="1" applyFill="1" applyBorder="1" applyAlignment="1" applyProtection="1">
      <alignment horizontal="center"/>
    </xf>
    <xf numFmtId="49" fontId="85" fillId="2" borderId="5" xfId="2" applyNumberFormat="1" applyFont="1" applyFill="1" applyBorder="1" applyAlignment="1" applyProtection="1">
      <alignment horizontal="center"/>
    </xf>
    <xf numFmtId="0" fontId="2" fillId="10" borderId="0" xfId="0" applyFont="1" applyFill="1" applyBorder="1" applyAlignment="1"/>
    <xf numFmtId="0" fontId="2" fillId="10" borderId="0" xfId="0" applyFont="1" applyFill="1" applyBorder="1" applyAlignment="1"/>
    <xf numFmtId="2" fontId="41" fillId="5" borderId="3" xfId="0" applyNumberFormat="1" applyFont="1" applyFill="1" applyBorder="1" applyAlignment="1">
      <alignment horizontal="center" vertical="center" wrapText="1"/>
    </xf>
    <xf numFmtId="2" fontId="64" fillId="8" borderId="3" xfId="0" applyNumberFormat="1" applyFont="1" applyFill="1" applyBorder="1" applyAlignment="1">
      <alignment horizontal="center" vertical="center"/>
    </xf>
    <xf numFmtId="0" fontId="0" fillId="5" borderId="0" xfId="0" applyFill="1" applyBorder="1" applyAlignment="1"/>
    <xf numFmtId="0" fontId="0" fillId="5" borderId="0" xfId="0" applyFill="1" applyBorder="1" applyAlignment="1">
      <alignment horizontal="center" vertical="center" wrapText="1"/>
    </xf>
    <xf numFmtId="168" fontId="77" fillId="5" borderId="3" xfId="0" applyNumberFormat="1" applyFont="1" applyFill="1" applyBorder="1" applyAlignment="1">
      <alignment horizontal="center" vertical="center" wrapText="1"/>
    </xf>
    <xf numFmtId="0" fontId="82" fillId="5" borderId="0" xfId="2" applyFont="1" applyFill="1" applyBorder="1" applyAlignment="1" applyProtection="1">
      <alignment horizontal="center" vertical="center" wrapText="1"/>
    </xf>
    <xf numFmtId="2" fontId="64" fillId="8" borderId="67" xfId="0" applyNumberFormat="1" applyFont="1" applyFill="1" applyBorder="1" applyAlignment="1">
      <alignment horizontal="center" vertical="center"/>
    </xf>
    <xf numFmtId="1" fontId="113" fillId="5" borderId="0" xfId="0" applyNumberFormat="1" applyFont="1" applyFill="1" applyBorder="1" applyAlignment="1">
      <alignment horizontal="center" vertical="center"/>
    </xf>
    <xf numFmtId="49" fontId="85" fillId="2" borderId="0" xfId="2" applyNumberFormat="1" applyFont="1" applyFill="1" applyBorder="1" applyAlignment="1" applyProtection="1">
      <alignment horizontal="center"/>
    </xf>
    <xf numFmtId="164" fontId="4" fillId="2" borderId="3" xfId="0" applyNumberFormat="1" applyFont="1" applyFill="1" applyBorder="1" applyAlignment="1">
      <alignment horizontal="center" vertical="center" wrapText="1"/>
    </xf>
    <xf numFmtId="168" fontId="77" fillId="5" borderId="3" xfId="0" applyNumberFormat="1" applyFont="1" applyFill="1" applyBorder="1" applyAlignment="1">
      <alignment horizontal="center" vertical="center"/>
    </xf>
    <xf numFmtId="2" fontId="41" fillId="8" borderId="7" xfId="0" applyNumberFormat="1" applyFont="1" applyFill="1" applyBorder="1" applyAlignment="1">
      <alignment horizontal="center" vertical="center"/>
    </xf>
    <xf numFmtId="1" fontId="76" fillId="8" borderId="7" xfId="0" applyNumberFormat="1" applyFont="1" applyFill="1" applyBorder="1" applyAlignment="1">
      <alignment horizontal="center" vertical="center"/>
    </xf>
    <xf numFmtId="2" fontId="64" fillId="8" borderId="3" xfId="0" applyNumberFormat="1" applyFont="1" applyFill="1" applyBorder="1" applyAlignment="1">
      <alignment horizontal="center" vertical="center"/>
    </xf>
    <xf numFmtId="0" fontId="1" fillId="5" borderId="3" xfId="0" applyFont="1" applyFill="1" applyBorder="1" applyAlignment="1">
      <alignment horizontal="center" vertical="center" wrapText="1"/>
    </xf>
    <xf numFmtId="0" fontId="1" fillId="8" borderId="3" xfId="0" applyFont="1" applyFill="1" applyBorder="1" applyAlignment="1">
      <alignment horizontal="center" vertical="center" wrapText="1"/>
    </xf>
    <xf numFmtId="2" fontId="64" fillId="8" borderId="3" xfId="0" applyNumberFormat="1" applyFont="1" applyFill="1" applyBorder="1" applyAlignment="1">
      <alignment horizontal="center" vertical="center"/>
    </xf>
    <xf numFmtId="0" fontId="2" fillId="10" borderId="1" xfId="0" applyFont="1" applyFill="1" applyBorder="1" applyAlignment="1"/>
    <xf numFmtId="0" fontId="2" fillId="10" borderId="0" xfId="0" applyFont="1" applyFill="1" applyAlignment="1"/>
    <xf numFmtId="0" fontId="2" fillId="10" borderId="29" xfId="0" applyFont="1" applyFill="1" applyBorder="1" applyAlignment="1"/>
    <xf numFmtId="2" fontId="71" fillId="5" borderId="3" xfId="0" applyNumberFormat="1" applyFont="1" applyFill="1" applyBorder="1" applyAlignment="1">
      <alignment horizontal="center" vertical="center"/>
    </xf>
    <xf numFmtId="0" fontId="2" fillId="10" borderId="0" xfId="0" applyFont="1" applyFill="1" applyAlignment="1"/>
    <xf numFmtId="0" fontId="2" fillId="10" borderId="29" xfId="0" applyFont="1" applyFill="1" applyBorder="1" applyAlignment="1"/>
    <xf numFmtId="0" fontId="2" fillId="10" borderId="0" xfId="0" applyFont="1" applyFill="1" applyBorder="1" applyAlignment="1"/>
    <xf numFmtId="2" fontId="64" fillId="8" borderId="3" xfId="0" applyNumberFormat="1" applyFont="1" applyFill="1" applyBorder="1" applyAlignment="1">
      <alignment horizontal="center" vertical="center"/>
    </xf>
    <xf numFmtId="0" fontId="2" fillId="10" borderId="1" xfId="0" applyFont="1" applyFill="1" applyBorder="1" applyAlignment="1"/>
    <xf numFmtId="0" fontId="2" fillId="10" borderId="0" xfId="0" applyFont="1" applyFill="1" applyAlignment="1"/>
    <xf numFmtId="0" fontId="2" fillId="10" borderId="29" xfId="0" applyFont="1" applyFill="1" applyBorder="1" applyAlignment="1"/>
    <xf numFmtId="1" fontId="113" fillId="9" borderId="5" xfId="0" applyNumberFormat="1" applyFont="1" applyFill="1" applyBorder="1" applyAlignment="1">
      <alignment horizontal="center" vertical="center"/>
    </xf>
    <xf numFmtId="0" fontId="71" fillId="10" borderId="0" xfId="0" applyFont="1" applyFill="1" applyBorder="1" applyAlignment="1">
      <alignment vertical="center"/>
    </xf>
    <xf numFmtId="0" fontId="71" fillId="10" borderId="29" xfId="0" applyFont="1" applyFill="1" applyBorder="1" applyAlignment="1">
      <alignment vertical="center"/>
    </xf>
    <xf numFmtId="0" fontId="71" fillId="10" borderId="1" xfId="0" applyFont="1" applyFill="1" applyBorder="1" applyAlignment="1">
      <alignment vertical="center"/>
    </xf>
    <xf numFmtId="2" fontId="64" fillId="8" borderId="3" xfId="0" applyNumberFormat="1" applyFont="1" applyFill="1" applyBorder="1" applyAlignment="1">
      <alignment horizontal="center" vertical="center"/>
    </xf>
    <xf numFmtId="2" fontId="64" fillId="9" borderId="3" xfId="0" applyNumberFormat="1" applyFont="1" applyFill="1" applyBorder="1" applyAlignment="1">
      <alignment horizontal="center" vertical="center"/>
    </xf>
    <xf numFmtId="2" fontId="41" fillId="5" borderId="3" xfId="0" applyNumberFormat="1" applyFont="1" applyFill="1" applyBorder="1" applyAlignment="1">
      <alignment horizontal="center" vertical="center" wrapText="1"/>
    </xf>
    <xf numFmtId="2" fontId="64" fillId="8" borderId="3" xfId="0" applyNumberFormat="1" applyFont="1" applyFill="1" applyBorder="1" applyAlignment="1">
      <alignment horizontal="center" vertical="center"/>
    </xf>
    <xf numFmtId="2" fontId="5" fillId="9" borderId="5" xfId="0" applyNumberFormat="1" applyFont="1" applyFill="1" applyBorder="1" applyAlignment="1">
      <alignment horizontal="center" vertical="center"/>
    </xf>
    <xf numFmtId="2" fontId="5" fillId="5" borderId="5" xfId="0" applyNumberFormat="1" applyFont="1" applyFill="1" applyBorder="1" applyAlignment="1">
      <alignment horizontal="center" vertical="center"/>
    </xf>
    <xf numFmtId="2" fontId="5" fillId="8" borderId="5" xfId="0" applyNumberFormat="1" applyFont="1" applyFill="1" applyBorder="1" applyAlignment="1">
      <alignment horizontal="center" vertical="center"/>
    </xf>
    <xf numFmtId="2" fontId="64" fillId="8" borderId="4" xfId="0" applyNumberFormat="1" applyFont="1" applyFill="1" applyBorder="1" applyAlignment="1">
      <alignment horizontal="center" vertical="center"/>
    </xf>
    <xf numFmtId="0" fontId="2" fillId="10" borderId="0" xfId="0" applyFont="1" applyFill="1" applyBorder="1" applyAlignment="1"/>
    <xf numFmtId="0" fontId="2" fillId="10" borderId="0" xfId="0" applyFont="1" applyFill="1" applyAlignment="1"/>
    <xf numFmtId="0" fontId="2" fillId="10" borderId="0" xfId="0" applyFont="1" applyFill="1" applyAlignment="1"/>
    <xf numFmtId="0" fontId="2" fillId="10" borderId="0" xfId="0" applyFont="1" applyFill="1" applyBorder="1" applyAlignment="1"/>
    <xf numFmtId="2" fontId="64" fillId="8" borderId="3" xfId="0" applyNumberFormat="1" applyFont="1" applyFill="1" applyBorder="1" applyAlignment="1">
      <alignment horizontal="center" vertical="center"/>
    </xf>
    <xf numFmtId="0" fontId="2" fillId="10" borderId="1" xfId="0" applyFont="1" applyFill="1" applyBorder="1" applyAlignment="1"/>
    <xf numFmtId="0" fontId="2" fillId="10" borderId="0" xfId="0" applyFont="1" applyFill="1" applyAlignment="1"/>
    <xf numFmtId="0" fontId="2" fillId="10" borderId="29" xfId="0" applyFont="1" applyFill="1" applyBorder="1" applyAlignment="1"/>
    <xf numFmtId="2" fontId="64" fillId="9" borderId="3" xfId="0" applyNumberFormat="1" applyFont="1" applyFill="1" applyBorder="1" applyAlignment="1">
      <alignment horizontal="center" vertical="center"/>
    </xf>
    <xf numFmtId="2" fontId="64" fillId="8" borderId="3" xfId="0" applyNumberFormat="1" applyFont="1" applyFill="1" applyBorder="1" applyAlignment="1">
      <alignment horizontal="center" vertical="center"/>
    </xf>
    <xf numFmtId="0" fontId="2" fillId="10" borderId="0" xfId="0" applyFont="1" applyFill="1" applyAlignment="1"/>
    <xf numFmtId="0" fontId="2" fillId="10" borderId="0" xfId="0" applyFont="1" applyFill="1" applyBorder="1" applyAlignment="1"/>
    <xf numFmtId="2" fontId="64" fillId="8" borderId="3" xfId="0" applyNumberFormat="1" applyFont="1" applyFill="1" applyBorder="1" applyAlignment="1">
      <alignment horizontal="center" vertical="center"/>
    </xf>
    <xf numFmtId="2" fontId="64" fillId="8" borderId="3" xfId="0" applyNumberFormat="1" applyFont="1" applyFill="1" applyBorder="1" applyAlignment="1">
      <alignment horizontal="center" vertical="center"/>
    </xf>
    <xf numFmtId="1" fontId="64" fillId="5" borderId="12" xfId="0" applyNumberFormat="1" applyFont="1" applyFill="1" applyBorder="1" applyAlignment="1">
      <alignment horizontal="center" vertical="center"/>
    </xf>
    <xf numFmtId="0" fontId="2" fillId="10" borderId="0" xfId="0" applyFont="1" applyFill="1" applyBorder="1" applyAlignment="1"/>
    <xf numFmtId="2" fontId="64" fillId="8" borderId="3" xfId="0" applyNumberFormat="1" applyFont="1" applyFill="1" applyBorder="1" applyAlignment="1">
      <alignment horizontal="center" vertical="center"/>
    </xf>
    <xf numFmtId="0" fontId="0" fillId="10" borderId="0" xfId="0" applyFill="1" applyBorder="1" applyAlignment="1">
      <alignment horizontal="center" vertical="center" wrapText="1"/>
    </xf>
    <xf numFmtId="2" fontId="64" fillId="8" borderId="3" xfId="0" applyNumberFormat="1" applyFont="1" applyFill="1" applyBorder="1" applyAlignment="1">
      <alignment horizontal="center" vertical="center"/>
    </xf>
    <xf numFmtId="166" fontId="85" fillId="2" borderId="11" xfId="2" applyNumberFormat="1" applyFont="1" applyFill="1" applyBorder="1" applyAlignment="1" applyProtection="1">
      <alignment horizontal="center"/>
    </xf>
    <xf numFmtId="0" fontId="2" fillId="10" borderId="0" xfId="0" applyFont="1" applyFill="1" applyBorder="1" applyAlignment="1"/>
    <xf numFmtId="2" fontId="64" fillId="8" borderId="3" xfId="0" applyNumberFormat="1" applyFont="1" applyFill="1" applyBorder="1" applyAlignment="1">
      <alignment horizontal="center" vertical="center"/>
    </xf>
    <xf numFmtId="2" fontId="67" fillId="5" borderId="3" xfId="0" applyNumberFormat="1" applyFont="1" applyFill="1" applyBorder="1"/>
    <xf numFmtId="2" fontId="64" fillId="5" borderId="3" xfId="0" applyNumberFormat="1" applyFont="1" applyFill="1" applyBorder="1" applyAlignment="1">
      <alignment horizontal="center"/>
    </xf>
    <xf numFmtId="1" fontId="64" fillId="5" borderId="3" xfId="0" applyNumberFormat="1" applyFont="1" applyFill="1" applyBorder="1" applyAlignment="1">
      <alignment horizontal="center"/>
    </xf>
    <xf numFmtId="0" fontId="0" fillId="0" borderId="5" xfId="0" applyBorder="1"/>
    <xf numFmtId="2" fontId="77" fillId="8" borderId="3" xfId="0" applyNumberFormat="1" applyFont="1" applyFill="1" applyBorder="1" applyAlignment="1">
      <alignment horizontal="center" vertical="center"/>
    </xf>
    <xf numFmtId="2" fontId="77" fillId="5" borderId="3" xfId="0" applyNumberFormat="1" applyFont="1" applyFill="1" applyBorder="1" applyAlignment="1">
      <alignment horizontal="center" vertical="center"/>
    </xf>
    <xf numFmtId="0" fontId="82" fillId="5" borderId="3" xfId="0" applyFont="1" applyFill="1" applyBorder="1" applyAlignment="1">
      <alignment horizontal="center" vertical="center"/>
    </xf>
    <xf numFmtId="0" fontId="82" fillId="8" borderId="3" xfId="0" applyFont="1" applyFill="1" applyBorder="1" applyAlignment="1">
      <alignment horizontal="center" vertical="center"/>
    </xf>
    <xf numFmtId="2" fontId="64" fillId="5" borderId="24" xfId="0" applyNumberFormat="1" applyFont="1" applyFill="1" applyBorder="1" applyAlignment="1">
      <alignment horizontal="center" vertical="center"/>
    </xf>
    <xf numFmtId="2" fontId="64" fillId="8" borderId="24" xfId="0" applyNumberFormat="1" applyFont="1" applyFill="1" applyBorder="1" applyAlignment="1">
      <alignment horizontal="center" vertical="center"/>
    </xf>
    <xf numFmtId="2" fontId="64" fillId="8" borderId="13" xfId="0" applyNumberFormat="1" applyFont="1" applyFill="1" applyBorder="1" applyAlignment="1">
      <alignment horizontal="center" vertical="center"/>
    </xf>
    <xf numFmtId="2" fontId="64" fillId="5" borderId="22" xfId="0" applyNumberFormat="1" applyFont="1" applyFill="1" applyBorder="1" applyAlignment="1">
      <alignment horizontal="center" vertical="center"/>
    </xf>
    <xf numFmtId="1" fontId="113" fillId="5" borderId="13" xfId="0" applyNumberFormat="1" applyFont="1" applyFill="1" applyBorder="1" applyAlignment="1">
      <alignment horizontal="center" vertical="center"/>
    </xf>
    <xf numFmtId="1" fontId="113" fillId="8" borderId="13" xfId="0" applyNumberFormat="1" applyFont="1" applyFill="1" applyBorder="1" applyAlignment="1">
      <alignment horizontal="center" vertical="center"/>
    </xf>
    <xf numFmtId="0" fontId="0" fillId="2" borderId="3" xfId="0" applyFill="1" applyBorder="1"/>
    <xf numFmtId="0" fontId="2" fillId="5" borderId="3" xfId="0" applyFont="1" applyFill="1" applyBorder="1" applyAlignment="1"/>
    <xf numFmtId="0" fontId="2" fillId="5" borderId="3" xfId="0" applyFont="1" applyFill="1" applyBorder="1"/>
    <xf numFmtId="0" fontId="71" fillId="5" borderId="3" xfId="0" applyFont="1" applyFill="1" applyBorder="1" applyAlignment="1"/>
    <xf numFmtId="0" fontId="82" fillId="5" borderId="3" xfId="2" applyFont="1" applyFill="1" applyBorder="1" applyAlignment="1" applyProtection="1">
      <alignment horizontal="center" vertical="center" wrapText="1"/>
    </xf>
    <xf numFmtId="0" fontId="26" fillId="8" borderId="3" xfId="0" applyFont="1" applyFill="1" applyBorder="1"/>
    <xf numFmtId="0" fontId="2" fillId="8" borderId="3" xfId="0" applyFont="1" applyFill="1" applyBorder="1" applyAlignment="1"/>
    <xf numFmtId="0" fontId="82" fillId="8" borderId="3" xfId="2" applyFont="1" applyFill="1" applyBorder="1" applyAlignment="1" applyProtection="1">
      <alignment horizontal="center" vertical="center" wrapText="1"/>
    </xf>
    <xf numFmtId="0" fontId="71" fillId="8" borderId="3" xfId="0" applyFont="1" applyFill="1" applyBorder="1" applyAlignment="1"/>
    <xf numFmtId="0" fontId="42" fillId="8" borderId="3" xfId="0" applyFont="1" applyFill="1" applyBorder="1"/>
    <xf numFmtId="0" fontId="2" fillId="8" borderId="3" xfId="0" applyFont="1" applyFill="1" applyBorder="1"/>
    <xf numFmtId="0" fontId="0" fillId="2" borderId="5" xfId="0" applyFill="1" applyBorder="1"/>
    <xf numFmtId="0" fontId="2" fillId="5" borderId="5" xfId="0" applyFont="1" applyFill="1" applyBorder="1" applyAlignment="1"/>
    <xf numFmtId="2" fontId="64" fillId="8" borderId="3" xfId="0" applyNumberFormat="1" applyFont="1" applyFill="1" applyBorder="1" applyAlignment="1">
      <alignment horizontal="center" vertical="center"/>
    </xf>
    <xf numFmtId="1" fontId="76" fillId="5" borderId="7" xfId="0" applyNumberFormat="1" applyFont="1" applyFill="1" applyBorder="1" applyAlignment="1">
      <alignment horizontal="center" vertical="center"/>
    </xf>
    <xf numFmtId="2" fontId="64" fillId="8" borderId="3" xfId="0" applyNumberFormat="1" applyFont="1" applyFill="1" applyBorder="1" applyAlignment="1">
      <alignment horizontal="center" vertical="center"/>
    </xf>
    <xf numFmtId="2" fontId="64" fillId="8" borderId="3" xfId="0" applyNumberFormat="1" applyFont="1" applyFill="1" applyBorder="1" applyAlignment="1">
      <alignment horizontal="center" vertical="center"/>
    </xf>
    <xf numFmtId="0" fontId="2" fillId="10" borderId="0" xfId="0" applyFont="1" applyFill="1" applyBorder="1" applyAlignment="1"/>
    <xf numFmtId="2" fontId="64" fillId="8" borderId="3" xfId="0" applyNumberFormat="1" applyFont="1" applyFill="1" applyBorder="1" applyAlignment="1">
      <alignment horizontal="center" vertical="center"/>
    </xf>
    <xf numFmtId="2" fontId="64" fillId="8" borderId="3" xfId="0" applyNumberFormat="1" applyFont="1" applyFill="1" applyBorder="1" applyAlignment="1">
      <alignment horizontal="center" vertical="center"/>
    </xf>
    <xf numFmtId="2" fontId="64" fillId="9" borderId="3" xfId="0" applyNumberFormat="1" applyFont="1" applyFill="1" applyBorder="1" applyAlignment="1">
      <alignment horizontal="center" vertical="center"/>
    </xf>
    <xf numFmtId="2" fontId="64" fillId="8" borderId="3" xfId="0" applyNumberFormat="1" applyFont="1" applyFill="1" applyBorder="1" applyAlignment="1">
      <alignment horizontal="center" vertical="center"/>
    </xf>
    <xf numFmtId="0" fontId="4" fillId="9" borderId="5" xfId="0" applyFont="1" applyFill="1" applyBorder="1" applyAlignment="1">
      <alignment horizontal="center" vertical="center"/>
    </xf>
    <xf numFmtId="0" fontId="82" fillId="5" borderId="0" xfId="2" applyFont="1" applyFill="1" applyBorder="1" applyAlignment="1" applyProtection="1">
      <alignment horizontal="center" vertical="center" wrapText="1"/>
    </xf>
    <xf numFmtId="2" fontId="64" fillId="8" borderId="3" xfId="0" applyNumberFormat="1" applyFont="1" applyFill="1" applyBorder="1" applyAlignment="1">
      <alignment horizontal="center" vertical="center"/>
    </xf>
    <xf numFmtId="0" fontId="0" fillId="5" borderId="0" xfId="0" applyFill="1" applyBorder="1" applyAlignment="1">
      <alignment horizontal="center" vertical="center" wrapText="1"/>
    </xf>
    <xf numFmtId="0" fontId="0" fillId="10" borderId="0" xfId="0" applyFill="1" applyBorder="1" applyAlignment="1">
      <alignment horizontal="center" vertical="center" wrapText="1"/>
    </xf>
    <xf numFmtId="0" fontId="0" fillId="5" borderId="0" xfId="0" applyFill="1" applyBorder="1" applyAlignment="1"/>
    <xf numFmtId="1" fontId="126" fillId="5" borderId="10" xfId="0" applyNumberFormat="1" applyFont="1" applyFill="1" applyBorder="1" applyAlignment="1">
      <alignment horizontal="center" vertical="center"/>
    </xf>
    <xf numFmtId="1" fontId="127" fillId="8" borderId="10" xfId="0" applyNumberFormat="1" applyFont="1" applyFill="1" applyBorder="1" applyAlignment="1">
      <alignment horizontal="center" vertical="center"/>
    </xf>
    <xf numFmtId="2" fontId="64" fillId="8" borderId="3" xfId="0" applyNumberFormat="1" applyFont="1" applyFill="1" applyBorder="1" applyAlignment="1">
      <alignment horizontal="center" vertical="center"/>
    </xf>
    <xf numFmtId="2" fontId="64" fillId="8" borderId="3" xfId="0" applyNumberFormat="1" applyFont="1" applyFill="1" applyBorder="1" applyAlignment="1">
      <alignment horizontal="center" vertical="center"/>
    </xf>
    <xf numFmtId="0" fontId="71" fillId="10" borderId="0" xfId="0" applyFont="1" applyFill="1" applyBorder="1" applyAlignment="1">
      <alignment vertical="center"/>
    </xf>
    <xf numFmtId="0" fontId="71" fillId="10" borderId="29" xfId="0" applyFont="1" applyFill="1" applyBorder="1" applyAlignment="1">
      <alignment vertical="center"/>
    </xf>
    <xf numFmtId="0" fontId="71" fillId="10" borderId="1" xfId="0" applyFont="1" applyFill="1" applyBorder="1" applyAlignment="1">
      <alignment vertical="center"/>
    </xf>
    <xf numFmtId="2" fontId="64" fillId="9" borderId="3" xfId="0" applyNumberFormat="1" applyFont="1" applyFill="1" applyBorder="1" applyAlignment="1">
      <alignment horizontal="center" vertical="center"/>
    </xf>
    <xf numFmtId="2" fontId="64" fillId="8" borderId="3" xfId="0" applyNumberFormat="1" applyFont="1" applyFill="1" applyBorder="1" applyAlignment="1">
      <alignment horizontal="center" vertical="center"/>
    </xf>
    <xf numFmtId="0" fontId="10" fillId="5" borderId="24" xfId="0" applyFont="1" applyFill="1" applyBorder="1" applyAlignment="1">
      <alignment horizontal="left" vertical="center"/>
    </xf>
    <xf numFmtId="0" fontId="43" fillId="8" borderId="2" xfId="0" applyFont="1" applyFill="1" applyBorder="1" applyAlignment="1">
      <alignment horizontal="center" vertical="center"/>
    </xf>
    <xf numFmtId="0" fontId="1" fillId="5" borderId="3" xfId="0" applyFont="1" applyFill="1" applyBorder="1" applyAlignment="1">
      <alignment horizontal="center" vertical="center" wrapText="1"/>
    </xf>
    <xf numFmtId="0" fontId="1" fillId="8" borderId="3" xfId="0" applyFont="1" applyFill="1" applyBorder="1" applyAlignment="1">
      <alignment horizontal="center" vertical="center" wrapText="1"/>
    </xf>
    <xf numFmtId="2" fontId="64" fillId="8" borderId="3" xfId="0" applyNumberFormat="1" applyFont="1" applyFill="1" applyBorder="1" applyAlignment="1">
      <alignment horizontal="center" vertical="center"/>
    </xf>
    <xf numFmtId="1" fontId="64" fillId="5" borderId="67" xfId="0" applyNumberFormat="1" applyFont="1" applyFill="1" applyBorder="1" applyAlignment="1">
      <alignment horizontal="center" vertical="center"/>
    </xf>
    <xf numFmtId="1" fontId="64" fillId="5" borderId="28" xfId="0" applyNumberFormat="1" applyFont="1" applyFill="1" applyBorder="1" applyAlignment="1">
      <alignment horizontal="center" vertical="center"/>
    </xf>
    <xf numFmtId="2" fontId="64" fillId="5" borderId="2" xfId="0" applyNumberFormat="1" applyFont="1" applyFill="1" applyBorder="1" applyAlignment="1">
      <alignment horizontal="center" vertical="center"/>
    </xf>
    <xf numFmtId="2" fontId="64" fillId="8" borderId="14" xfId="0" applyNumberFormat="1" applyFont="1" applyFill="1" applyBorder="1" applyAlignment="1">
      <alignment horizontal="center" vertical="center"/>
    </xf>
    <xf numFmtId="2" fontId="1" fillId="8" borderId="3" xfId="0" applyNumberFormat="1" applyFont="1" applyFill="1" applyBorder="1"/>
    <xf numFmtId="2" fontId="71" fillId="8" borderId="3" xfId="0" applyNumberFormat="1" applyFont="1" applyFill="1" applyBorder="1" applyAlignment="1">
      <alignment horizontal="center" vertical="center"/>
    </xf>
    <xf numFmtId="2" fontId="64" fillId="5" borderId="3" xfId="0" applyNumberFormat="1" applyFont="1" applyFill="1" applyBorder="1" applyAlignment="1">
      <alignment horizontal="center" vertical="center"/>
    </xf>
    <xf numFmtId="2" fontId="64" fillId="9" borderId="3" xfId="0" applyNumberFormat="1" applyFont="1" applyFill="1" applyBorder="1" applyAlignment="1">
      <alignment horizontal="center" vertical="center"/>
    </xf>
    <xf numFmtId="2" fontId="64" fillId="5" borderId="3" xfId="0" applyNumberFormat="1" applyFont="1" applyFill="1" applyBorder="1" applyAlignment="1">
      <alignment horizontal="center" vertical="center"/>
    </xf>
    <xf numFmtId="2" fontId="64" fillId="9" borderId="24" xfId="3" applyNumberFormat="1" applyFont="1" applyFill="1" applyBorder="1" applyAlignment="1">
      <alignment horizontal="center" vertical="center"/>
    </xf>
    <xf numFmtId="0" fontId="1" fillId="8" borderId="26" xfId="0" applyFont="1" applyFill="1" applyBorder="1" applyAlignment="1">
      <alignment horizontal="center" vertical="center" wrapText="1"/>
    </xf>
    <xf numFmtId="0" fontId="0" fillId="5" borderId="0" xfId="0" applyFill="1" applyBorder="1" applyAlignment="1"/>
    <xf numFmtId="0" fontId="1" fillId="8" borderId="3" xfId="0" applyFont="1" applyFill="1" applyBorder="1" applyAlignment="1">
      <alignment horizontal="center" vertical="center" wrapText="1"/>
    </xf>
    <xf numFmtId="0" fontId="0" fillId="5" borderId="0" xfId="0" applyFill="1" applyBorder="1" applyAlignment="1">
      <alignment horizontal="center" vertical="center" wrapText="1"/>
    </xf>
    <xf numFmtId="2" fontId="64" fillId="5" borderId="3" xfId="0" applyNumberFormat="1" applyFont="1" applyFill="1" applyBorder="1" applyAlignment="1">
      <alignment horizontal="center" vertical="center"/>
    </xf>
    <xf numFmtId="0" fontId="1" fillId="5" borderId="3" xfId="0" applyFont="1" applyFill="1" applyBorder="1" applyAlignment="1">
      <alignment horizontal="center" vertical="center" wrapText="1"/>
    </xf>
    <xf numFmtId="2" fontId="64" fillId="9" borderId="3" xfId="0" applyNumberFormat="1" applyFont="1" applyFill="1" applyBorder="1" applyAlignment="1">
      <alignment horizontal="center" vertical="center"/>
    </xf>
    <xf numFmtId="0" fontId="1" fillId="9" borderId="3" xfId="0" applyFont="1" applyFill="1" applyBorder="1" applyAlignment="1">
      <alignment horizontal="center" vertical="center"/>
    </xf>
    <xf numFmtId="0" fontId="82" fillId="5" borderId="0" xfId="2" applyFont="1" applyFill="1" applyBorder="1" applyAlignment="1" applyProtection="1">
      <alignment horizontal="center" vertical="center" wrapText="1"/>
    </xf>
    <xf numFmtId="2" fontId="64" fillId="5" borderId="3" xfId="0" applyNumberFormat="1" applyFont="1" applyFill="1" applyBorder="1" applyAlignment="1">
      <alignment horizontal="center" vertical="center"/>
    </xf>
    <xf numFmtId="0" fontId="82" fillId="14" borderId="7" xfId="0" applyFont="1" applyFill="1" applyBorder="1" applyAlignment="1">
      <alignment horizontal="center" vertical="center"/>
    </xf>
    <xf numFmtId="1" fontId="113" fillId="9" borderId="7" xfId="0" applyNumberFormat="1" applyFont="1" applyFill="1" applyBorder="1" applyAlignment="1">
      <alignment horizontal="center" vertical="center"/>
    </xf>
    <xf numFmtId="1" fontId="64" fillId="9" borderId="7" xfId="0" applyNumberFormat="1" applyFont="1" applyFill="1" applyBorder="1" applyAlignment="1">
      <alignment horizontal="center" vertical="center"/>
    </xf>
    <xf numFmtId="1" fontId="64" fillId="5" borderId="17" xfId="0" applyNumberFormat="1" applyFont="1" applyFill="1" applyBorder="1" applyAlignment="1">
      <alignment horizontal="center" vertical="center"/>
    </xf>
    <xf numFmtId="2" fontId="82" fillId="14" borderId="25" xfId="0" applyNumberFormat="1" applyFont="1" applyFill="1" applyBorder="1" applyAlignment="1">
      <alignment horizontal="center" vertical="center"/>
    </xf>
    <xf numFmtId="0" fontId="2" fillId="10" borderId="1" xfId="0" applyFont="1" applyFill="1" applyBorder="1" applyAlignment="1">
      <alignment vertical="center"/>
    </xf>
    <xf numFmtId="0" fontId="14" fillId="10" borderId="0" xfId="0" applyFont="1" applyFill="1" applyBorder="1" applyAlignment="1"/>
    <xf numFmtId="0" fontId="14" fillId="10" borderId="29" xfId="0" applyFont="1" applyFill="1" applyBorder="1" applyAlignment="1"/>
    <xf numFmtId="2" fontId="5" fillId="8" borderId="3" xfId="0" applyNumberFormat="1" applyFont="1" applyFill="1" applyBorder="1" applyAlignment="1"/>
    <xf numFmtId="0" fontId="1" fillId="8" borderId="3" xfId="0" applyFont="1" applyFill="1" applyBorder="1" applyAlignment="1"/>
    <xf numFmtId="2" fontId="2" fillId="13" borderId="13" xfId="0" applyNumberFormat="1" applyFont="1" applyFill="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2" fontId="5" fillId="7" borderId="3" xfId="0" applyNumberFormat="1" applyFont="1" applyFill="1" applyBorder="1" applyAlignment="1"/>
    <xf numFmtId="0" fontId="1" fillId="7" borderId="3" xfId="0" applyFont="1" applyFill="1" applyBorder="1" applyAlignment="1"/>
    <xf numFmtId="0" fontId="2" fillId="10" borderId="1" xfId="0" applyFont="1" applyFill="1" applyBorder="1" applyAlignment="1"/>
    <xf numFmtId="0" fontId="2" fillId="10" borderId="0" xfId="0" applyFont="1" applyFill="1" applyBorder="1" applyAlignment="1"/>
    <xf numFmtId="0" fontId="2" fillId="10" borderId="29" xfId="0" applyFont="1" applyFill="1" applyBorder="1" applyAlignment="1"/>
    <xf numFmtId="0" fontId="2" fillId="0" borderId="19"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31" xfId="0" applyFont="1" applyBorder="1" applyAlignment="1">
      <alignment horizontal="center" vertical="center" wrapText="1"/>
    </xf>
    <xf numFmtId="2" fontId="5" fillId="8" borderId="13" xfId="0" applyNumberFormat="1" applyFont="1" applyFill="1" applyBorder="1" applyAlignment="1">
      <alignment horizontal="left"/>
    </xf>
    <xf numFmtId="0" fontId="0" fillId="8" borderId="2" xfId="0" applyFill="1" applyBorder="1" applyAlignment="1"/>
    <xf numFmtId="0" fontId="0" fillId="8" borderId="4" xfId="0" applyFill="1" applyBorder="1" applyAlignment="1"/>
    <xf numFmtId="0" fontId="0" fillId="8" borderId="3" xfId="0" applyFill="1" applyBorder="1" applyAlignment="1"/>
    <xf numFmtId="2" fontId="5" fillId="5" borderId="3" xfId="0" applyNumberFormat="1" applyFont="1" applyFill="1" applyBorder="1" applyAlignment="1"/>
    <xf numFmtId="0" fontId="0" fillId="5" borderId="3" xfId="0" applyFill="1" applyBorder="1" applyAlignment="1"/>
    <xf numFmtId="2" fontId="5" fillId="8" borderId="13" xfId="0" applyNumberFormat="1" applyFont="1" applyFill="1" applyBorder="1" applyAlignment="1"/>
    <xf numFmtId="0" fontId="1" fillId="8" borderId="2" xfId="0" applyFont="1" applyFill="1" applyBorder="1" applyAlignment="1"/>
    <xf numFmtId="0" fontId="1" fillId="8" borderId="4" xfId="0" applyFont="1" applyFill="1" applyBorder="1" applyAlignment="1"/>
    <xf numFmtId="0" fontId="0" fillId="5" borderId="13" xfId="0" applyFill="1" applyBorder="1" applyAlignment="1"/>
    <xf numFmtId="0" fontId="0" fillId="8" borderId="13" xfId="0" applyFill="1" applyBorder="1" applyAlignment="1"/>
    <xf numFmtId="0" fontId="5" fillId="5" borderId="3" xfId="0" applyFont="1" applyFill="1" applyBorder="1" applyAlignment="1"/>
    <xf numFmtId="0" fontId="18" fillId="5" borderId="3" xfId="0" applyFont="1" applyFill="1" applyBorder="1" applyAlignment="1"/>
    <xf numFmtId="0" fontId="36" fillId="10" borderId="0" xfId="0" applyFont="1" applyFill="1" applyBorder="1" applyAlignment="1"/>
    <xf numFmtId="2" fontId="64" fillId="8" borderId="22" xfId="0" applyNumberFormat="1" applyFont="1" applyFill="1" applyBorder="1" applyAlignment="1">
      <alignment horizontal="center" vertical="center" wrapText="1"/>
    </xf>
    <xf numFmtId="0" fontId="5" fillId="8" borderId="38" xfId="0" applyFont="1" applyFill="1" applyBorder="1" applyAlignment="1">
      <alignment horizontal="center" vertical="center" wrapText="1"/>
    </xf>
    <xf numFmtId="0" fontId="1" fillId="8" borderId="38" xfId="0" applyFont="1" applyFill="1" applyBorder="1" applyAlignment="1">
      <alignment horizontal="center" vertical="center" wrapText="1"/>
    </xf>
    <xf numFmtId="0" fontId="1" fillId="8" borderId="26" xfId="0" applyFont="1" applyFill="1" applyBorder="1" applyAlignment="1">
      <alignment horizontal="center" vertical="center" wrapText="1"/>
    </xf>
    <xf numFmtId="0" fontId="71" fillId="10" borderId="0" xfId="0" applyFont="1" applyFill="1" applyBorder="1" applyAlignment="1">
      <alignment vertical="center"/>
    </xf>
    <xf numFmtId="0" fontId="71" fillId="10" borderId="0" xfId="0" applyFont="1" applyFill="1" applyAlignment="1">
      <alignment vertical="center"/>
    </xf>
    <xf numFmtId="0" fontId="71" fillId="10" borderId="29" xfId="0" applyFont="1" applyFill="1" applyBorder="1" applyAlignment="1">
      <alignment vertical="center"/>
    </xf>
    <xf numFmtId="0" fontId="79" fillId="10" borderId="1" xfId="0" applyFont="1" applyFill="1" applyBorder="1" applyAlignment="1"/>
    <xf numFmtId="0" fontId="0" fillId="0" borderId="0" xfId="0" applyBorder="1" applyAlignment="1"/>
    <xf numFmtId="0" fontId="0" fillId="0" borderId="29" xfId="0" applyBorder="1" applyAlignment="1"/>
    <xf numFmtId="0" fontId="79" fillId="10" borderId="0" xfId="0" applyFont="1" applyFill="1" applyBorder="1" applyAlignment="1"/>
    <xf numFmtId="0" fontId="79" fillId="10" borderId="29" xfId="0" applyFont="1" applyFill="1" applyBorder="1" applyAlignment="1"/>
    <xf numFmtId="2" fontId="2" fillId="7" borderId="22" xfId="0" applyNumberFormat="1" applyFont="1" applyFill="1" applyBorder="1" applyAlignment="1">
      <alignment horizontal="center" vertical="center" wrapText="1"/>
    </xf>
    <xf numFmtId="0" fontId="5" fillId="7" borderId="38"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0" xfId="0" applyFont="1" applyFill="1" applyBorder="1" applyAlignment="1">
      <alignment horizontal="center" vertical="center" wrapText="1"/>
    </xf>
    <xf numFmtId="0" fontId="5" fillId="7" borderId="24" xfId="0" applyFont="1" applyFill="1" applyBorder="1" applyAlignment="1">
      <alignment horizontal="center" vertical="center" wrapText="1"/>
    </xf>
    <xf numFmtId="0" fontId="5" fillId="7" borderId="14" xfId="0" applyFont="1" applyFill="1" applyBorder="1" applyAlignment="1">
      <alignment horizontal="center" vertical="center" wrapText="1"/>
    </xf>
    <xf numFmtId="0" fontId="79" fillId="10" borderId="1" xfId="0" applyFont="1" applyFill="1" applyBorder="1" applyAlignment="1">
      <alignment vertical="center"/>
    </xf>
    <xf numFmtId="0" fontId="81" fillId="10" borderId="0" xfId="0" applyFont="1" applyFill="1" applyBorder="1" applyAlignment="1">
      <alignment vertical="center"/>
    </xf>
    <xf numFmtId="0" fontId="81" fillId="10" borderId="29" xfId="0" applyFont="1" applyFill="1" applyBorder="1" applyAlignment="1">
      <alignment vertical="center"/>
    </xf>
    <xf numFmtId="0" fontId="53" fillId="2" borderId="0" xfId="2" applyFont="1" applyFill="1" applyAlignment="1" applyProtection="1"/>
    <xf numFmtId="0" fontId="53" fillId="0" borderId="0" xfId="2" applyFont="1" applyAlignment="1" applyProtection="1"/>
    <xf numFmtId="0" fontId="66" fillId="21" borderId="36" xfId="0" applyFont="1" applyFill="1" applyBorder="1" applyAlignment="1">
      <alignment horizontal="center" vertical="center" wrapText="1"/>
    </xf>
    <xf numFmtId="0" fontId="66" fillId="21" borderId="37" xfId="0" applyFont="1" applyFill="1" applyBorder="1" applyAlignment="1">
      <alignment horizontal="center" vertical="center" wrapText="1"/>
    </xf>
    <xf numFmtId="0" fontId="4" fillId="21" borderId="30" xfId="2" applyFont="1" applyFill="1" applyBorder="1" applyAlignment="1" applyProtection="1">
      <alignment horizontal="center" vertical="center" wrapText="1"/>
    </xf>
    <xf numFmtId="0" fontId="4" fillId="21" borderId="39" xfId="2" applyFont="1" applyFill="1" applyBorder="1" applyAlignment="1" applyProtection="1">
      <alignment horizontal="center" vertical="center" wrapText="1"/>
    </xf>
    <xf numFmtId="0" fontId="4" fillId="21" borderId="33" xfId="2" applyFont="1" applyFill="1" applyBorder="1" applyAlignment="1" applyProtection="1">
      <alignment horizontal="center" vertical="center" wrapText="1"/>
    </xf>
    <xf numFmtId="0" fontId="4" fillId="21" borderId="27" xfId="2" applyFont="1" applyFill="1" applyBorder="1" applyAlignment="1" applyProtection="1">
      <alignment horizontal="center" vertical="center" wrapText="1"/>
    </xf>
    <xf numFmtId="0" fontId="71" fillId="10" borderId="1" xfId="0" applyFont="1" applyFill="1" applyBorder="1" applyAlignment="1">
      <alignment vertical="center"/>
    </xf>
    <xf numFmtId="2" fontId="5" fillId="5" borderId="13" xfId="0" applyNumberFormat="1" applyFont="1" applyFill="1" applyBorder="1" applyAlignment="1"/>
    <xf numFmtId="0" fontId="18" fillId="5" borderId="2" xfId="0" applyFont="1" applyFill="1" applyBorder="1" applyAlignment="1"/>
    <xf numFmtId="0" fontId="18" fillId="5" borderId="4" xfId="0" applyFont="1" applyFill="1" applyBorder="1" applyAlignment="1"/>
    <xf numFmtId="0" fontId="0" fillId="5" borderId="2" xfId="0" applyFill="1" applyBorder="1" applyAlignment="1"/>
    <xf numFmtId="0" fontId="0" fillId="5" borderId="4" xfId="0" applyFill="1" applyBorder="1" applyAlignment="1"/>
    <xf numFmtId="0" fontId="71" fillId="10" borderId="1" xfId="0" applyFont="1" applyFill="1" applyBorder="1" applyAlignment="1"/>
    <xf numFmtId="0" fontId="71" fillId="10" borderId="0" xfId="0" applyFont="1" applyFill="1" applyAlignment="1"/>
    <xf numFmtId="0" fontId="71" fillId="10" borderId="29" xfId="0" applyFont="1" applyFill="1" applyBorder="1" applyAlignment="1"/>
    <xf numFmtId="2" fontId="5" fillId="5" borderId="2" xfId="0" applyNumberFormat="1" applyFont="1" applyFill="1" applyBorder="1" applyAlignment="1"/>
    <xf numFmtId="2" fontId="5" fillId="5" borderId="4" xfId="0" applyNumberFormat="1" applyFont="1" applyFill="1" applyBorder="1" applyAlignment="1"/>
    <xf numFmtId="2" fontId="56" fillId="12" borderId="19" xfId="0" applyNumberFormat="1" applyFont="1" applyFill="1" applyBorder="1" applyAlignment="1">
      <alignment horizontal="center" vertical="center" wrapText="1"/>
    </xf>
    <xf numFmtId="0" fontId="39" fillId="12" borderId="19" xfId="0" applyFont="1" applyFill="1" applyBorder="1" applyAlignment="1">
      <alignment horizontal="center" vertical="center" wrapText="1"/>
    </xf>
    <xf numFmtId="0" fontId="39" fillId="12" borderId="20" xfId="0" applyFont="1" applyFill="1" applyBorder="1" applyAlignment="1">
      <alignment horizontal="center" vertical="center" wrapText="1"/>
    </xf>
    <xf numFmtId="2" fontId="5" fillId="8" borderId="13" xfId="0" applyNumberFormat="1" applyFont="1" applyFill="1" applyBorder="1" applyAlignment="1">
      <alignment wrapText="1"/>
    </xf>
    <xf numFmtId="0" fontId="0" fillId="8" borderId="2" xfId="0" applyFill="1" applyBorder="1" applyAlignment="1">
      <alignment wrapText="1"/>
    </xf>
    <xf numFmtId="0" fontId="0" fillId="8" borderId="4" xfId="0" applyFill="1" applyBorder="1" applyAlignment="1">
      <alignment wrapText="1"/>
    </xf>
    <xf numFmtId="2" fontId="64" fillId="13" borderId="1" xfId="0" applyNumberFormat="1" applyFont="1" applyFill="1" applyBorder="1" applyAlignment="1">
      <alignment horizontal="center" vertical="center" wrapText="1"/>
    </xf>
    <xf numFmtId="0" fontId="1" fillId="13" borderId="0" xfId="0" applyFont="1" applyFill="1" applyBorder="1" applyAlignment="1">
      <alignment horizontal="center" vertical="center" wrapText="1"/>
    </xf>
    <xf numFmtId="0" fontId="1" fillId="13" borderId="29" xfId="0" applyFont="1" applyFill="1" applyBorder="1" applyAlignment="1">
      <alignment horizontal="center" vertical="center" wrapText="1"/>
    </xf>
    <xf numFmtId="0" fontId="1" fillId="13" borderId="1" xfId="0" applyFont="1" applyFill="1" applyBorder="1" applyAlignment="1">
      <alignment horizontal="center" vertical="center" wrapText="1"/>
    </xf>
    <xf numFmtId="0" fontId="1" fillId="13" borderId="0" xfId="0" applyFont="1" applyFill="1" applyAlignment="1">
      <alignment horizontal="center" vertical="center" wrapText="1"/>
    </xf>
    <xf numFmtId="0" fontId="1" fillId="13" borderId="24" xfId="0" applyFont="1" applyFill="1" applyBorder="1" applyAlignment="1">
      <alignment horizontal="center" vertical="center" wrapText="1"/>
    </xf>
    <xf numFmtId="0" fontId="1" fillId="13" borderId="14" xfId="0" applyFont="1" applyFill="1" applyBorder="1" applyAlignment="1">
      <alignment horizontal="center" vertical="center" wrapText="1"/>
    </xf>
    <xf numFmtId="0" fontId="1" fillId="13" borderId="11" xfId="0" applyFont="1" applyFill="1" applyBorder="1" applyAlignment="1">
      <alignment horizontal="center" vertical="center" wrapText="1"/>
    </xf>
    <xf numFmtId="2" fontId="5" fillId="7" borderId="13" xfId="0" applyNumberFormat="1" applyFont="1" applyFill="1" applyBorder="1" applyAlignment="1"/>
    <xf numFmtId="0" fontId="0" fillId="7" borderId="2" xfId="0" applyFill="1" applyBorder="1" applyAlignment="1"/>
    <xf numFmtId="0" fontId="0" fillId="7" borderId="4" xfId="0" applyFill="1" applyBorder="1" applyAlignment="1"/>
    <xf numFmtId="0" fontId="2" fillId="0" borderId="34" xfId="0" applyFont="1" applyBorder="1" applyAlignment="1">
      <alignment horizontal="left" vertical="center" wrapText="1"/>
    </xf>
    <xf numFmtId="0" fontId="2" fillId="0" borderId="35" xfId="0" applyFont="1" applyBorder="1" applyAlignment="1">
      <alignment horizontal="left" vertical="center" wrapText="1"/>
    </xf>
    <xf numFmtId="0" fontId="5" fillId="5" borderId="13" xfId="0" applyNumberFormat="1" applyFont="1" applyFill="1" applyBorder="1" applyAlignment="1"/>
    <xf numFmtId="0" fontId="0" fillId="5" borderId="2" xfId="0" applyNumberFormat="1" applyFill="1" applyBorder="1" applyAlignment="1"/>
    <xf numFmtId="0" fontId="0" fillId="5" borderId="4" xfId="0" applyNumberFormat="1" applyFill="1" applyBorder="1" applyAlignment="1"/>
    <xf numFmtId="2" fontId="5" fillId="7" borderId="3" xfId="0" applyNumberFormat="1" applyFont="1" applyFill="1" applyBorder="1" applyAlignment="1">
      <alignment wrapText="1"/>
    </xf>
    <xf numFmtId="0" fontId="1" fillId="7" borderId="3" xfId="0" applyFont="1" applyFill="1" applyBorder="1" applyAlignment="1">
      <alignment wrapText="1"/>
    </xf>
    <xf numFmtId="2" fontId="5" fillId="7" borderId="13" xfId="0" applyNumberFormat="1" applyFont="1" applyFill="1" applyBorder="1" applyAlignment="1">
      <alignment wrapText="1"/>
    </xf>
    <xf numFmtId="0" fontId="0" fillId="7" borderId="2" xfId="0" applyFill="1" applyBorder="1" applyAlignment="1">
      <alignment wrapText="1"/>
    </xf>
    <xf numFmtId="0" fontId="0" fillId="7" borderId="4" xfId="0" applyFill="1" applyBorder="1" applyAlignment="1">
      <alignment wrapText="1"/>
    </xf>
    <xf numFmtId="2" fontId="5" fillId="5" borderId="3" xfId="0" applyNumberFormat="1" applyFont="1" applyFill="1" applyBorder="1" applyAlignment="1">
      <alignment wrapText="1"/>
    </xf>
    <xf numFmtId="0" fontId="18" fillId="5" borderId="3" xfId="0" applyFont="1" applyFill="1" applyBorder="1" applyAlignment="1">
      <alignment wrapText="1"/>
    </xf>
    <xf numFmtId="0" fontId="79" fillId="5" borderId="1" xfId="0" applyFont="1" applyFill="1" applyBorder="1" applyAlignment="1"/>
    <xf numFmtId="0" fontId="0" fillId="5" borderId="0" xfId="0" applyFill="1" applyBorder="1" applyAlignment="1"/>
    <xf numFmtId="0" fontId="115" fillId="13" borderId="22" xfId="0" applyFont="1" applyFill="1" applyBorder="1" applyAlignment="1">
      <alignment horizontal="center" vertical="center" wrapText="1"/>
    </xf>
    <xf numFmtId="0" fontId="115" fillId="13" borderId="38" xfId="0" applyFont="1" applyFill="1" applyBorder="1" applyAlignment="1">
      <alignment horizontal="center" vertical="center" wrapText="1"/>
    </xf>
    <xf numFmtId="0" fontId="14" fillId="0" borderId="38" xfId="0" applyFont="1" applyBorder="1" applyAlignment="1">
      <alignment horizontal="center" vertical="center" wrapText="1"/>
    </xf>
    <xf numFmtId="0" fontId="14" fillId="0" borderId="26" xfId="0" applyFont="1" applyBorder="1" applyAlignment="1">
      <alignment horizontal="center" vertical="center" wrapText="1"/>
    </xf>
    <xf numFmtId="0" fontId="115" fillId="13" borderId="24" xfId="0" applyFont="1" applyFill="1" applyBorder="1" applyAlignment="1">
      <alignment horizontal="center" vertical="center" wrapText="1"/>
    </xf>
    <xf numFmtId="0" fontId="115" fillId="13" borderId="14" xfId="0" applyFont="1" applyFill="1" applyBorder="1" applyAlignment="1">
      <alignment horizontal="center" vertical="center" wrapText="1"/>
    </xf>
    <xf numFmtId="0" fontId="14" fillId="0" borderId="14" xfId="0" applyFont="1" applyBorder="1" applyAlignment="1">
      <alignment horizontal="center" vertical="center" wrapText="1"/>
    </xf>
    <xf numFmtId="0" fontId="14" fillId="0" borderId="11" xfId="0" applyFont="1" applyBorder="1" applyAlignment="1">
      <alignment horizontal="center" vertical="center" wrapText="1"/>
    </xf>
    <xf numFmtId="2" fontId="5" fillId="8" borderId="5" xfId="0" applyNumberFormat="1" applyFont="1" applyFill="1" applyBorder="1" applyAlignment="1"/>
    <xf numFmtId="0" fontId="0" fillId="8" borderId="5" xfId="0" applyFill="1" applyBorder="1" applyAlignment="1"/>
    <xf numFmtId="2" fontId="17" fillId="5" borderId="3" xfId="0" applyNumberFormat="1" applyFont="1" applyFill="1" applyBorder="1" applyAlignment="1"/>
    <xf numFmtId="0" fontId="39" fillId="5" borderId="3" xfId="0" applyFont="1" applyFill="1" applyBorder="1" applyAlignment="1"/>
    <xf numFmtId="0" fontId="5" fillId="5" borderId="5" xfId="0" applyFont="1" applyFill="1" applyBorder="1" applyAlignment="1"/>
    <xf numFmtId="0" fontId="0" fillId="5" borderId="5" xfId="0" applyFill="1" applyBorder="1" applyAlignment="1"/>
    <xf numFmtId="2" fontId="71" fillId="13" borderId="22" xfId="0" applyNumberFormat="1" applyFont="1" applyFill="1" applyBorder="1" applyAlignment="1">
      <alignment horizontal="center" vertical="center" wrapText="1"/>
    </xf>
    <xf numFmtId="0" fontId="78" fillId="13" borderId="38" xfId="0" applyFont="1" applyFill="1" applyBorder="1" applyAlignment="1">
      <alignment horizontal="center" vertical="center" wrapText="1"/>
    </xf>
    <xf numFmtId="0" fontId="78" fillId="13" borderId="26" xfId="0" applyFont="1" applyFill="1" applyBorder="1" applyAlignment="1">
      <alignment horizontal="center" vertical="center" wrapText="1"/>
    </xf>
    <xf numFmtId="0" fontId="78" fillId="13" borderId="1" xfId="0" applyFont="1" applyFill="1" applyBorder="1" applyAlignment="1">
      <alignment horizontal="center" vertical="center" wrapText="1"/>
    </xf>
    <xf numFmtId="0" fontId="78" fillId="13" borderId="0" xfId="0" applyFont="1" applyFill="1" applyBorder="1" applyAlignment="1">
      <alignment horizontal="center" vertical="center" wrapText="1"/>
    </xf>
    <xf numFmtId="0" fontId="78" fillId="13" borderId="14" xfId="0" applyFont="1" applyFill="1" applyBorder="1" applyAlignment="1">
      <alignment horizontal="center" vertical="center" wrapText="1"/>
    </xf>
    <xf numFmtId="0" fontId="78" fillId="13" borderId="11" xfId="0" applyFont="1" applyFill="1" applyBorder="1" applyAlignment="1">
      <alignment horizontal="center" vertical="center" wrapText="1"/>
    </xf>
    <xf numFmtId="2" fontId="4" fillId="9" borderId="24" xfId="0" applyNumberFormat="1" applyFont="1" applyFill="1" applyBorder="1" applyAlignment="1">
      <alignment horizontal="center" vertical="center"/>
    </xf>
    <xf numFmtId="2" fontId="4" fillId="9" borderId="14" xfId="0" applyNumberFormat="1" applyFont="1" applyFill="1" applyBorder="1" applyAlignment="1">
      <alignment horizontal="center" vertical="center"/>
    </xf>
    <xf numFmtId="2" fontId="63" fillId="8" borderId="3" xfId="0" applyNumberFormat="1" applyFont="1" applyFill="1" applyBorder="1" applyAlignment="1">
      <alignment horizontal="center" vertical="center" wrapText="1"/>
    </xf>
    <xf numFmtId="0" fontId="6" fillId="8" borderId="3"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 fillId="5" borderId="3" xfId="0" applyFont="1" applyFill="1" applyBorder="1" applyAlignment="1"/>
    <xf numFmtId="0" fontId="2" fillId="10" borderId="0" xfId="0" applyFont="1" applyFill="1" applyAlignment="1"/>
    <xf numFmtId="0" fontId="5" fillId="7" borderId="13" xfId="0" applyFont="1" applyFill="1" applyBorder="1" applyAlignment="1"/>
    <xf numFmtId="0" fontId="26" fillId="10" borderId="0" xfId="0" applyFont="1" applyFill="1" applyBorder="1" applyAlignment="1"/>
    <xf numFmtId="0" fontId="15" fillId="0" borderId="0" xfId="0" applyFont="1" applyAlignment="1"/>
    <xf numFmtId="0" fontId="15" fillId="0" borderId="29" xfId="0" applyFont="1" applyBorder="1" applyAlignment="1"/>
    <xf numFmtId="0" fontId="5" fillId="8" borderId="13" xfId="0" applyFont="1" applyFill="1" applyBorder="1" applyAlignment="1"/>
    <xf numFmtId="0" fontId="5" fillId="8" borderId="2" xfId="0" applyFont="1" applyFill="1" applyBorder="1" applyAlignment="1"/>
    <xf numFmtId="0" fontId="5" fillId="8" borderId="4" xfId="0" applyFont="1" applyFill="1" applyBorder="1" applyAlignment="1"/>
    <xf numFmtId="0" fontId="5" fillId="7" borderId="2" xfId="0" applyFont="1" applyFill="1" applyBorder="1" applyAlignment="1"/>
    <xf numFmtId="0" fontId="5" fillId="7" borderId="4" xfId="0" applyFont="1" applyFill="1" applyBorder="1" applyAlignment="1"/>
    <xf numFmtId="2" fontId="5" fillId="7" borderId="5" xfId="0" applyNumberFormat="1" applyFont="1" applyFill="1" applyBorder="1" applyAlignment="1"/>
    <xf numFmtId="0" fontId="18" fillId="7" borderId="5" xfId="0" applyFont="1" applyFill="1" applyBorder="1" applyAlignment="1"/>
    <xf numFmtId="0" fontId="5" fillId="8" borderId="3" xfId="0" applyFont="1" applyFill="1" applyBorder="1" applyAlignment="1"/>
    <xf numFmtId="0" fontId="0" fillId="7" borderId="3" xfId="0" applyFill="1" applyBorder="1" applyAlignment="1"/>
    <xf numFmtId="0" fontId="0" fillId="0" borderId="0" xfId="0" applyAlignment="1"/>
    <xf numFmtId="0" fontId="100" fillId="10" borderId="0" xfId="0" applyFont="1" applyFill="1" applyBorder="1" applyAlignment="1"/>
    <xf numFmtId="0" fontId="70" fillId="10" borderId="0" xfId="0" applyFont="1" applyFill="1" applyBorder="1" applyAlignment="1"/>
    <xf numFmtId="0" fontId="68" fillId="2" borderId="36" xfId="2" applyFont="1" applyFill="1" applyBorder="1" applyAlignment="1" applyProtection="1">
      <alignment horizontal="center" vertical="center"/>
    </xf>
    <xf numFmtId="0" fontId="68" fillId="0" borderId="37" xfId="2" applyFont="1" applyBorder="1" applyAlignment="1" applyProtection="1">
      <alignment horizontal="center" vertical="center"/>
    </xf>
    <xf numFmtId="0" fontId="48" fillId="21" borderId="30" xfId="0" applyFont="1" applyFill="1" applyBorder="1" applyAlignment="1">
      <alignment horizontal="left" vertical="center" wrapText="1"/>
    </xf>
    <xf numFmtId="0" fontId="18" fillId="21" borderId="39" xfId="0" applyFont="1" applyFill="1" applyBorder="1" applyAlignment="1">
      <alignment horizontal="left" vertical="center" wrapText="1"/>
    </xf>
    <xf numFmtId="0" fontId="18" fillId="21" borderId="40" xfId="0" applyFont="1" applyFill="1" applyBorder="1" applyAlignment="1">
      <alignment horizontal="left" vertical="center" wrapText="1"/>
    </xf>
    <xf numFmtId="0" fontId="8" fillId="21" borderId="39" xfId="0" applyFont="1" applyFill="1" applyBorder="1" applyAlignment="1">
      <alignment horizontal="center" vertical="center" wrapText="1"/>
    </xf>
    <xf numFmtId="0" fontId="47" fillId="21" borderId="39" xfId="0" applyFont="1" applyFill="1" applyBorder="1" applyAlignment="1">
      <alignment horizontal="center" vertical="center" wrapText="1"/>
    </xf>
    <xf numFmtId="0" fontId="47" fillId="21" borderId="40" xfId="0" applyFont="1" applyFill="1" applyBorder="1" applyAlignment="1">
      <alignment horizontal="center" vertical="center" wrapText="1"/>
    </xf>
    <xf numFmtId="0" fontId="55" fillId="2" borderId="0" xfId="2" applyFont="1" applyFill="1" applyAlignment="1" applyProtection="1"/>
    <xf numFmtId="0" fontId="93" fillId="5" borderId="0" xfId="0" applyFont="1" applyFill="1" applyBorder="1" applyAlignment="1">
      <alignment horizontal="center" vertical="center" wrapText="1"/>
    </xf>
    <xf numFmtId="0" fontId="0" fillId="5" borderId="0" xfId="0" applyFill="1" applyBorder="1" applyAlignment="1">
      <alignment horizontal="center" vertical="center" wrapText="1"/>
    </xf>
    <xf numFmtId="0" fontId="12" fillId="21" borderId="33" xfId="2" applyFill="1" applyBorder="1" applyAlignment="1" applyProtection="1">
      <alignment horizontal="left" vertical="center"/>
    </xf>
    <xf numFmtId="0" fontId="12" fillId="21" borderId="27" xfId="2" applyFill="1" applyBorder="1" applyAlignment="1" applyProtection="1">
      <alignment horizontal="left" vertical="center"/>
    </xf>
    <xf numFmtId="0" fontId="37" fillId="10" borderId="30" xfId="0" applyFont="1" applyFill="1" applyBorder="1" applyAlignment="1">
      <alignment horizontal="center" vertical="center" wrapText="1"/>
    </xf>
    <xf numFmtId="0" fontId="37" fillId="10" borderId="39" xfId="0" applyFont="1" applyFill="1" applyBorder="1" applyAlignment="1">
      <alignment horizontal="center" vertical="center" wrapText="1"/>
    </xf>
    <xf numFmtId="0" fontId="37" fillId="10" borderId="40" xfId="0" applyFont="1" applyFill="1" applyBorder="1" applyAlignment="1">
      <alignment horizontal="center" vertical="center" wrapText="1"/>
    </xf>
    <xf numFmtId="0" fontId="37" fillId="10" borderId="6" xfId="0" applyFont="1" applyFill="1" applyBorder="1" applyAlignment="1">
      <alignment horizontal="center" vertical="center" wrapText="1"/>
    </xf>
    <xf numFmtId="0" fontId="37" fillId="10" borderId="0" xfId="0" applyFont="1" applyFill="1" applyBorder="1" applyAlignment="1">
      <alignment horizontal="center" vertical="center" wrapText="1"/>
    </xf>
    <xf numFmtId="0" fontId="37" fillId="10" borderId="15" xfId="0" applyFont="1" applyFill="1" applyBorder="1" applyAlignment="1">
      <alignment horizontal="center" vertical="center" wrapText="1"/>
    </xf>
    <xf numFmtId="0" fontId="0" fillId="10" borderId="33" xfId="0" applyFill="1" applyBorder="1" applyAlignment="1">
      <alignment horizontal="center" vertical="center" wrapText="1"/>
    </xf>
    <xf numFmtId="0" fontId="0" fillId="10" borderId="27" xfId="0" applyFill="1" applyBorder="1" applyAlignment="1">
      <alignment horizontal="center" vertical="center" wrapText="1"/>
    </xf>
    <xf numFmtId="0" fontId="0" fillId="10" borderId="0" xfId="0" applyFill="1" applyBorder="1" applyAlignment="1">
      <alignment horizontal="center" vertical="center" wrapText="1"/>
    </xf>
    <xf numFmtId="0" fontId="0" fillId="10" borderId="15" xfId="0" applyFill="1" applyBorder="1" applyAlignment="1">
      <alignment horizontal="center" vertical="center" wrapText="1"/>
    </xf>
    <xf numFmtId="0" fontId="66" fillId="21" borderId="51" xfId="0" applyFont="1" applyFill="1" applyBorder="1" applyAlignment="1">
      <alignment horizontal="center" vertical="center" wrapText="1"/>
    </xf>
    <xf numFmtId="0" fontId="66" fillId="21" borderId="57" xfId="0" applyFont="1" applyFill="1" applyBorder="1" applyAlignment="1">
      <alignment horizontal="center" vertical="center" wrapText="1"/>
    </xf>
    <xf numFmtId="0" fontId="96" fillId="22" borderId="18" xfId="0" applyFont="1" applyFill="1" applyBorder="1" applyAlignment="1">
      <alignment horizontal="center" vertical="center"/>
    </xf>
    <xf numFmtId="0" fontId="97" fillId="22" borderId="8" xfId="0" applyFont="1" applyFill="1" applyBorder="1" applyAlignment="1">
      <alignment horizontal="center" vertical="center"/>
    </xf>
    <xf numFmtId="0" fontId="97" fillId="22" borderId="9" xfId="0" applyFont="1" applyFill="1" applyBorder="1" applyAlignment="1">
      <alignment horizontal="center" vertical="center"/>
    </xf>
    <xf numFmtId="0" fontId="0" fillId="2" borderId="6" xfId="0" applyFill="1" applyBorder="1" applyAlignment="1">
      <alignment horizontal="center" vertical="center"/>
    </xf>
    <xf numFmtId="0" fontId="0" fillId="0" borderId="0" xfId="0" applyBorder="1" applyAlignment="1">
      <alignment horizontal="center" vertical="center"/>
    </xf>
    <xf numFmtId="0" fontId="0" fillId="0" borderId="15" xfId="0" applyBorder="1" applyAlignment="1">
      <alignment horizontal="center" vertical="center"/>
    </xf>
    <xf numFmtId="0" fontId="0" fillId="0" borderId="6" xfId="0" applyBorder="1" applyAlignment="1">
      <alignment horizontal="center" vertical="center"/>
    </xf>
    <xf numFmtId="0" fontId="0" fillId="0" borderId="33" xfId="0" applyBorder="1" applyAlignment="1">
      <alignment horizontal="center" vertical="center"/>
    </xf>
    <xf numFmtId="0" fontId="0" fillId="0" borderId="27" xfId="0" applyBorder="1" applyAlignment="1">
      <alignment horizontal="center" vertical="center"/>
    </xf>
    <xf numFmtId="0" fontId="0" fillId="0" borderId="41" xfId="0" applyBorder="1" applyAlignment="1">
      <alignment horizontal="center" vertical="center"/>
    </xf>
    <xf numFmtId="0" fontId="120" fillId="9" borderId="18" xfId="0" applyFont="1" applyFill="1" applyBorder="1" applyAlignment="1">
      <alignment horizontal="center" vertical="center" wrapText="1"/>
    </xf>
    <xf numFmtId="0" fontId="120" fillId="9" borderId="8" xfId="0" applyFont="1" applyFill="1" applyBorder="1" applyAlignment="1">
      <alignment horizontal="center" vertical="center" wrapText="1"/>
    </xf>
    <xf numFmtId="0" fontId="121" fillId="9" borderId="9" xfId="0" applyFont="1" applyFill="1" applyBorder="1" applyAlignment="1">
      <alignment horizontal="center" vertical="center" wrapText="1"/>
    </xf>
    <xf numFmtId="0" fontId="122" fillId="21" borderId="30" xfId="0" applyFont="1" applyFill="1" applyBorder="1" applyAlignment="1">
      <alignment horizontal="center" vertical="center" wrapText="1"/>
    </xf>
    <xf numFmtId="0" fontId="1" fillId="21" borderId="39" xfId="0" applyFont="1" applyFill="1" applyBorder="1" applyAlignment="1">
      <alignment horizontal="center" vertical="center" wrapText="1"/>
    </xf>
    <xf numFmtId="0" fontId="1" fillId="21" borderId="40" xfId="0" applyFont="1" applyFill="1" applyBorder="1" applyAlignment="1">
      <alignment horizontal="center" vertical="center" wrapText="1"/>
    </xf>
    <xf numFmtId="0" fontId="1" fillId="21" borderId="33" xfId="0" applyFont="1" applyFill="1" applyBorder="1" applyAlignment="1">
      <alignment horizontal="center" vertical="center" wrapText="1"/>
    </xf>
    <xf numFmtId="0" fontId="1" fillId="21" borderId="27" xfId="0" applyFont="1" applyFill="1" applyBorder="1" applyAlignment="1">
      <alignment horizontal="center" vertical="center" wrapText="1"/>
    </xf>
    <xf numFmtId="0" fontId="1" fillId="21" borderId="41" xfId="0" applyFont="1" applyFill="1" applyBorder="1" applyAlignment="1">
      <alignment horizontal="center" vertical="center" wrapText="1"/>
    </xf>
    <xf numFmtId="0" fontId="55" fillId="5" borderId="0" xfId="2" applyFont="1" applyFill="1" applyAlignment="1" applyProtection="1"/>
    <xf numFmtId="0" fontId="18" fillId="8" borderId="3" xfId="0" applyFont="1" applyFill="1" applyBorder="1" applyAlignment="1"/>
    <xf numFmtId="0" fontId="99" fillId="5" borderId="6" xfId="0" applyFont="1" applyFill="1" applyBorder="1" applyAlignment="1">
      <alignment horizontal="center" vertical="center"/>
    </xf>
    <xf numFmtId="0" fontId="97" fillId="5" borderId="0" xfId="0" applyFont="1" applyFill="1" applyBorder="1" applyAlignment="1">
      <alignment horizontal="center" vertical="center"/>
    </xf>
    <xf numFmtId="0" fontId="97" fillId="5" borderId="0" xfId="0" applyFont="1" applyFill="1" applyBorder="1" applyAlignment="1"/>
    <xf numFmtId="0" fontId="97" fillId="5" borderId="15" xfId="0" applyFont="1" applyFill="1" applyBorder="1" applyAlignment="1"/>
    <xf numFmtId="0" fontId="118" fillId="21" borderId="18" xfId="0" applyFont="1" applyFill="1" applyBorder="1" applyAlignment="1">
      <alignment horizontal="center" vertical="center" wrapText="1"/>
    </xf>
    <xf numFmtId="0" fontId="119" fillId="21" borderId="8" xfId="0" applyFont="1" applyFill="1" applyBorder="1" applyAlignment="1">
      <alignment horizontal="center" vertical="center" wrapText="1"/>
    </xf>
    <xf numFmtId="0" fontId="119" fillId="21" borderId="9" xfId="0" applyFont="1" applyFill="1" applyBorder="1" applyAlignment="1">
      <alignment horizontal="center" vertical="center" wrapText="1"/>
    </xf>
    <xf numFmtId="0" fontId="14" fillId="21" borderId="27" xfId="0" applyFont="1" applyFill="1" applyBorder="1" applyAlignment="1">
      <alignment horizontal="center" vertical="center" wrapText="1"/>
    </xf>
    <xf numFmtId="0" fontId="14" fillId="21" borderId="41" xfId="0" applyFont="1" applyFill="1" applyBorder="1" applyAlignment="1">
      <alignment horizontal="center" vertical="center" wrapText="1"/>
    </xf>
    <xf numFmtId="0" fontId="55" fillId="0" borderId="0" xfId="2" applyFont="1" applyAlignment="1" applyProtection="1"/>
    <xf numFmtId="0" fontId="5" fillId="5" borderId="13" xfId="0" applyFont="1" applyFill="1" applyBorder="1" applyAlignment="1"/>
    <xf numFmtId="0" fontId="124" fillId="21" borderId="18" xfId="2" applyFont="1" applyFill="1" applyBorder="1" applyAlignment="1" applyProtection="1">
      <alignment horizontal="center" vertical="center" wrapText="1"/>
    </xf>
    <xf numFmtId="0" fontId="124" fillId="21" borderId="8" xfId="2" applyFont="1" applyFill="1" applyBorder="1" applyAlignment="1" applyProtection="1">
      <alignment horizontal="center" vertical="center" wrapText="1"/>
    </xf>
    <xf numFmtId="0" fontId="124" fillId="21" borderId="9" xfId="2" applyFont="1" applyFill="1" applyBorder="1" applyAlignment="1" applyProtection="1">
      <alignment horizontal="center" vertical="center" wrapText="1"/>
    </xf>
    <xf numFmtId="0" fontId="95" fillId="5" borderId="0" xfId="2" applyFont="1" applyFill="1" applyBorder="1" applyAlignment="1" applyProtection="1">
      <alignment horizontal="center" vertical="center" wrapText="1"/>
    </xf>
    <xf numFmtId="0" fontId="123" fillId="21" borderId="30" xfId="2" applyFont="1" applyFill="1" applyBorder="1" applyAlignment="1" applyProtection="1">
      <alignment horizontal="center" vertical="center" wrapText="1"/>
    </xf>
    <xf numFmtId="0" fontId="123" fillId="21" borderId="39" xfId="2" applyFont="1" applyFill="1" applyBorder="1" applyAlignment="1" applyProtection="1">
      <alignment horizontal="center" vertical="center" wrapText="1"/>
    </xf>
    <xf numFmtId="0" fontId="123" fillId="21" borderId="40" xfId="2" applyFont="1" applyFill="1" applyBorder="1" applyAlignment="1" applyProtection="1">
      <alignment horizontal="center" vertical="center" wrapText="1"/>
    </xf>
    <xf numFmtId="0" fontId="123" fillId="21" borderId="33" xfId="2" applyFont="1" applyFill="1" applyBorder="1" applyAlignment="1" applyProtection="1">
      <alignment horizontal="center" vertical="center" wrapText="1"/>
    </xf>
    <xf numFmtId="0" fontId="123" fillId="21" borderId="27" xfId="2" applyFont="1" applyFill="1" applyBorder="1" applyAlignment="1" applyProtection="1">
      <alignment horizontal="center" vertical="center" wrapText="1"/>
    </xf>
    <xf numFmtId="0" fontId="123" fillId="21" borderId="41" xfId="2" applyFont="1" applyFill="1" applyBorder="1" applyAlignment="1" applyProtection="1">
      <alignment horizontal="center" vertical="center" wrapText="1"/>
    </xf>
    <xf numFmtId="0" fontId="94" fillId="14" borderId="18" xfId="0" applyFont="1" applyFill="1" applyBorder="1" applyAlignment="1">
      <alignment horizontal="center" vertical="center"/>
    </xf>
    <xf numFmtId="0" fontId="84" fillId="14" borderId="8" xfId="0" applyFont="1" applyFill="1" applyBorder="1" applyAlignment="1">
      <alignment horizontal="center" vertical="center"/>
    </xf>
    <xf numFmtId="0" fontId="84" fillId="14" borderId="8" xfId="0" applyFont="1" applyFill="1" applyBorder="1" applyAlignment="1">
      <alignment horizontal="center"/>
    </xf>
    <xf numFmtId="0" fontId="84" fillId="14" borderId="9" xfId="0" applyFont="1" applyFill="1" applyBorder="1" applyAlignment="1">
      <alignment horizontal="center"/>
    </xf>
    <xf numFmtId="0" fontId="5" fillId="8" borderId="13" xfId="0" applyNumberFormat="1" applyFont="1" applyFill="1" applyBorder="1" applyAlignment="1"/>
    <xf numFmtId="0" fontId="0" fillId="8" borderId="2" xfId="0" applyNumberFormat="1" applyFill="1" applyBorder="1" applyAlignment="1"/>
    <xf numFmtId="0" fontId="0" fillId="8" borderId="4" xfId="0" applyNumberFormat="1" applyFill="1" applyBorder="1" applyAlignment="1"/>
    <xf numFmtId="0" fontId="66" fillId="12" borderId="19" xfId="0" applyFont="1" applyFill="1" applyBorder="1" applyAlignment="1">
      <alignment horizontal="center" vertical="center" wrapText="1"/>
    </xf>
    <xf numFmtId="0" fontId="65" fillId="12" borderId="31" xfId="0" applyFont="1" applyFill="1" applyBorder="1" applyAlignment="1">
      <alignment horizontal="center" vertical="center" wrapText="1"/>
    </xf>
    <xf numFmtId="0" fontId="14" fillId="0" borderId="0" xfId="0" applyFont="1" applyAlignment="1"/>
    <xf numFmtId="0" fontId="14" fillId="0" borderId="29" xfId="0" applyFont="1" applyBorder="1" applyAlignment="1"/>
    <xf numFmtId="2" fontId="5" fillId="5" borderId="13" xfId="0" applyNumberFormat="1" applyFont="1" applyFill="1" applyBorder="1" applyAlignment="1">
      <alignment vertical="center" wrapText="1"/>
    </xf>
    <xf numFmtId="0" fontId="18" fillId="5" borderId="2" xfId="0" applyFont="1" applyFill="1" applyBorder="1" applyAlignment="1">
      <alignment vertical="center" wrapText="1"/>
    </xf>
    <xf numFmtId="0" fontId="18" fillId="5" borderId="4" xfId="0" applyFont="1" applyFill="1" applyBorder="1" applyAlignment="1">
      <alignment vertical="center" wrapText="1"/>
    </xf>
    <xf numFmtId="0" fontId="66" fillId="21" borderId="61" xfId="0" applyFont="1" applyFill="1" applyBorder="1" applyAlignment="1">
      <alignment horizontal="center" vertical="center" wrapText="1"/>
    </xf>
    <xf numFmtId="0" fontId="5" fillId="9" borderId="5" xfId="0" applyFont="1" applyFill="1" applyBorder="1" applyAlignment="1"/>
    <xf numFmtId="0" fontId="0" fillId="9" borderId="5" xfId="0" applyFill="1" applyBorder="1" applyAlignment="1"/>
    <xf numFmtId="2" fontId="5" fillId="8" borderId="7" xfId="0" applyNumberFormat="1" applyFont="1" applyFill="1" applyBorder="1" applyAlignment="1"/>
    <xf numFmtId="0" fontId="0" fillId="8" borderId="7" xfId="0" applyFill="1" applyBorder="1" applyAlignment="1"/>
    <xf numFmtId="0" fontId="71" fillId="10" borderId="0" xfId="0" applyFont="1" applyFill="1" applyBorder="1" applyAlignment="1"/>
    <xf numFmtId="2" fontId="4" fillId="7" borderId="13" xfId="0" applyNumberFormat="1" applyFont="1" applyFill="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4" fillId="21" borderId="42" xfId="2" applyFont="1" applyFill="1" applyBorder="1" applyAlignment="1" applyProtection="1">
      <alignment horizontal="center" vertical="center" wrapText="1"/>
    </xf>
    <xf numFmtId="0" fontId="4" fillId="21" borderId="56" xfId="2" applyFont="1" applyFill="1" applyBorder="1" applyAlignment="1" applyProtection="1">
      <alignment horizontal="center" vertical="center" wrapText="1"/>
    </xf>
    <xf numFmtId="2" fontId="4" fillId="7" borderId="24" xfId="0" applyNumberFormat="1" applyFont="1" applyFill="1" applyBorder="1" applyAlignment="1">
      <alignment horizontal="center" vertical="center"/>
    </xf>
    <xf numFmtId="0" fontId="1" fillId="0" borderId="14" xfId="0" applyFont="1" applyBorder="1" applyAlignment="1">
      <alignment horizontal="center" vertical="center"/>
    </xf>
    <xf numFmtId="0" fontId="1" fillId="0" borderId="11" xfId="0" applyFont="1" applyBorder="1" applyAlignment="1">
      <alignment horizontal="center" vertical="center"/>
    </xf>
    <xf numFmtId="0" fontId="18" fillId="8" borderId="5" xfId="0" applyFont="1" applyFill="1" applyBorder="1" applyAlignment="1"/>
    <xf numFmtId="0" fontId="18" fillId="8" borderId="2" xfId="0" applyFont="1" applyFill="1" applyBorder="1" applyAlignment="1"/>
    <xf numFmtId="0" fontId="18" fillId="8" borderId="4" xfId="0" applyFont="1" applyFill="1" applyBorder="1" applyAlignment="1"/>
    <xf numFmtId="0" fontId="0" fillId="7" borderId="3" xfId="0" applyFill="1" applyBorder="1" applyAlignment="1">
      <alignment wrapText="1"/>
    </xf>
    <xf numFmtId="2" fontId="5" fillId="8" borderId="2" xfId="0" applyNumberFormat="1" applyFont="1" applyFill="1" applyBorder="1" applyAlignment="1"/>
    <xf numFmtId="2" fontId="5" fillId="8" borderId="4" xfId="0" applyNumberFormat="1" applyFont="1" applyFill="1" applyBorder="1" applyAlignment="1"/>
    <xf numFmtId="2" fontId="64" fillId="5" borderId="3" xfId="0" applyNumberFormat="1" applyFont="1" applyFill="1" applyBorder="1" applyAlignment="1">
      <alignment horizontal="center" vertical="center"/>
    </xf>
    <xf numFmtId="0" fontId="1" fillId="5" borderId="3" xfId="0" applyFont="1" applyFill="1" applyBorder="1" applyAlignment="1">
      <alignment horizontal="center" vertical="center"/>
    </xf>
    <xf numFmtId="0" fontId="36" fillId="8" borderId="24" xfId="0" applyFont="1" applyFill="1" applyBorder="1" applyAlignment="1"/>
    <xf numFmtId="0" fontId="36" fillId="8" borderId="14" xfId="0" applyFont="1" applyFill="1" applyBorder="1" applyAlignment="1"/>
    <xf numFmtId="0" fontId="5" fillId="8" borderId="7" xfId="0" applyFont="1" applyFill="1" applyBorder="1" applyAlignment="1"/>
    <xf numFmtId="0" fontId="18" fillId="8" borderId="7" xfId="0" applyFont="1" applyFill="1" applyBorder="1" applyAlignment="1"/>
    <xf numFmtId="0" fontId="57" fillId="4" borderId="18" xfId="0" applyFont="1" applyFill="1" applyBorder="1" applyAlignment="1">
      <alignment horizontal="center" wrapText="1"/>
    </xf>
    <xf numFmtId="0" fontId="57" fillId="4" borderId="8" xfId="0" applyFont="1" applyFill="1" applyBorder="1" applyAlignment="1">
      <alignment horizontal="center" wrapText="1"/>
    </xf>
    <xf numFmtId="0" fontId="50" fillId="4" borderId="9" xfId="0" applyFont="1" applyFill="1" applyBorder="1" applyAlignment="1">
      <alignment horizontal="center" wrapText="1"/>
    </xf>
    <xf numFmtId="0" fontId="5" fillId="7" borderId="5" xfId="0" applyFont="1" applyFill="1" applyBorder="1" applyAlignment="1"/>
    <xf numFmtId="0" fontId="0" fillId="7" borderId="5" xfId="0" applyFill="1" applyBorder="1" applyAlignment="1"/>
    <xf numFmtId="2" fontId="63" fillId="8" borderId="5" xfId="0" applyNumberFormat="1" applyFont="1" applyFill="1" applyBorder="1" applyAlignment="1">
      <alignment horizontal="center" vertical="center" wrapText="1"/>
    </xf>
    <xf numFmtId="0" fontId="6" fillId="8" borderId="5" xfId="0" applyFont="1" applyFill="1" applyBorder="1" applyAlignment="1">
      <alignment horizontal="center" vertical="center" wrapText="1"/>
    </xf>
    <xf numFmtId="0" fontId="1" fillId="8" borderId="5" xfId="0" applyFont="1" applyFill="1" applyBorder="1" applyAlignment="1">
      <alignment horizontal="center" vertical="center" wrapText="1"/>
    </xf>
    <xf numFmtId="2" fontId="63" fillId="5" borderId="3" xfId="0" applyNumberFormat="1" applyFont="1" applyFill="1" applyBorder="1" applyAlignment="1">
      <alignment horizontal="center" vertical="center" wrapText="1"/>
    </xf>
    <xf numFmtId="0" fontId="6" fillId="5" borderId="3" xfId="0" applyFont="1" applyFill="1" applyBorder="1" applyAlignment="1">
      <alignment horizontal="center" vertical="center" wrapText="1"/>
    </xf>
    <xf numFmtId="0" fontId="1" fillId="5" borderId="3" xfId="0" applyFont="1" applyFill="1" applyBorder="1" applyAlignment="1">
      <alignment horizontal="center" vertical="center" wrapText="1"/>
    </xf>
    <xf numFmtId="2" fontId="64" fillId="5" borderId="22" xfId="0" applyNumberFormat="1" applyFont="1" applyFill="1" applyBorder="1" applyAlignment="1">
      <alignment horizontal="center" vertical="center" wrapText="1"/>
    </xf>
    <xf numFmtId="0" fontId="5" fillId="5" borderId="38" xfId="0" applyFont="1" applyFill="1" applyBorder="1" applyAlignment="1">
      <alignment horizontal="center" vertical="center" wrapText="1"/>
    </xf>
    <xf numFmtId="0" fontId="1" fillId="5" borderId="38" xfId="0" applyFont="1" applyFill="1" applyBorder="1" applyAlignment="1">
      <alignment horizontal="center" vertical="center" wrapText="1"/>
    </xf>
    <xf numFmtId="0" fontId="1" fillId="5" borderId="26" xfId="0" applyFont="1" applyFill="1" applyBorder="1" applyAlignment="1">
      <alignment horizontal="center" vertical="center" wrapText="1"/>
    </xf>
    <xf numFmtId="2" fontId="5" fillId="9" borderId="3" xfId="0" applyNumberFormat="1" applyFont="1" applyFill="1" applyBorder="1" applyAlignment="1"/>
    <xf numFmtId="0" fontId="0" fillId="9" borderId="3" xfId="0" applyFill="1" applyBorder="1" applyAlignment="1"/>
    <xf numFmtId="2" fontId="5" fillId="5" borderId="5" xfId="0" applyNumberFormat="1" applyFont="1" applyFill="1" applyBorder="1" applyAlignment="1"/>
    <xf numFmtId="2" fontId="5" fillId="9" borderId="5" xfId="0" applyNumberFormat="1" applyFont="1" applyFill="1" applyBorder="1" applyAlignment="1"/>
    <xf numFmtId="0" fontId="17" fillId="8" borderId="13" xfId="0" applyFont="1" applyFill="1" applyBorder="1" applyAlignment="1"/>
    <xf numFmtId="0" fontId="39" fillId="8" borderId="2" xfId="0" applyFont="1" applyFill="1" applyBorder="1" applyAlignment="1"/>
    <xf numFmtId="0" fontId="39" fillId="8" borderId="4" xfId="0" applyFont="1" applyFill="1" applyBorder="1" applyAlignment="1"/>
    <xf numFmtId="0" fontId="17" fillId="5" borderId="13" xfId="0" applyFont="1" applyFill="1" applyBorder="1" applyAlignment="1"/>
    <xf numFmtId="0" fontId="39" fillId="5" borderId="2" xfId="0" applyFont="1" applyFill="1" applyBorder="1" applyAlignment="1"/>
    <xf numFmtId="0" fontId="29" fillId="5" borderId="3" xfId="0" applyFont="1" applyFill="1" applyBorder="1" applyAlignment="1">
      <alignment horizontal="center" vertical="center" wrapText="1"/>
    </xf>
    <xf numFmtId="0" fontId="30" fillId="2" borderId="0" xfId="0" applyFont="1" applyFill="1" applyBorder="1" applyAlignment="1">
      <alignment horizontal="center" vertical="center" textRotation="90" wrapText="1"/>
    </xf>
    <xf numFmtId="2" fontId="4" fillId="5" borderId="43" xfId="0" applyNumberFormat="1" applyFont="1" applyFill="1" applyBorder="1" applyAlignment="1">
      <alignment vertical="center" wrapText="1"/>
    </xf>
    <xf numFmtId="2" fontId="4" fillId="5" borderId="2" xfId="0" applyNumberFormat="1" applyFont="1" applyFill="1" applyBorder="1" applyAlignment="1">
      <alignment vertical="center" wrapText="1"/>
    </xf>
    <xf numFmtId="0" fontId="0" fillId="5" borderId="4" xfId="0" applyFill="1" applyBorder="1" applyAlignment="1">
      <alignment vertical="center" wrapText="1"/>
    </xf>
    <xf numFmtId="0" fontId="5" fillId="8" borderId="5" xfId="0" applyFont="1" applyFill="1" applyBorder="1" applyAlignment="1"/>
    <xf numFmtId="2" fontId="4" fillId="8" borderId="43" xfId="0" applyNumberFormat="1" applyFont="1" applyFill="1" applyBorder="1" applyAlignment="1">
      <alignment vertical="center" wrapText="1"/>
    </xf>
    <xf numFmtId="2" fontId="4" fillId="8" borderId="2" xfId="0" applyNumberFormat="1" applyFont="1" applyFill="1" applyBorder="1" applyAlignment="1">
      <alignment vertical="center" wrapText="1"/>
    </xf>
    <xf numFmtId="0" fontId="0" fillId="8" borderId="4" xfId="0" applyFill="1" applyBorder="1" applyAlignment="1">
      <alignment vertical="center" wrapText="1"/>
    </xf>
    <xf numFmtId="2" fontId="4" fillId="5" borderId="45" xfId="0" applyNumberFormat="1" applyFont="1" applyFill="1" applyBorder="1" applyAlignment="1">
      <alignment vertical="center" wrapText="1"/>
    </xf>
    <xf numFmtId="2" fontId="4" fillId="5" borderId="46" xfId="0" applyNumberFormat="1" applyFont="1" applyFill="1" applyBorder="1" applyAlignment="1">
      <alignment vertical="center" wrapText="1"/>
    </xf>
    <xf numFmtId="0" fontId="0" fillId="5" borderId="47" xfId="0" applyFill="1" applyBorder="1" applyAlignment="1">
      <alignment vertical="center" wrapText="1"/>
    </xf>
    <xf numFmtId="0" fontId="54" fillId="8" borderId="49" xfId="0" applyFont="1" applyFill="1" applyBorder="1" applyAlignment="1">
      <alignment horizontal="center" vertical="center" wrapText="1"/>
    </xf>
    <xf numFmtId="0" fontId="14" fillId="8" borderId="48" xfId="0" applyFont="1" applyFill="1" applyBorder="1" applyAlignment="1">
      <alignment horizontal="center" vertical="center" wrapText="1"/>
    </xf>
    <xf numFmtId="0" fontId="14" fillId="8" borderId="50" xfId="0" applyFont="1" applyFill="1" applyBorder="1" applyAlignment="1">
      <alignment horizontal="center" vertical="center" wrapText="1"/>
    </xf>
    <xf numFmtId="0" fontId="5" fillId="5" borderId="2" xfId="0" applyFont="1" applyFill="1" applyBorder="1" applyAlignment="1"/>
    <xf numFmtId="0" fontId="5" fillId="5" borderId="4" xfId="0" applyFont="1" applyFill="1" applyBorder="1" applyAlignment="1"/>
    <xf numFmtId="0" fontId="11" fillId="5" borderId="3" xfId="0" applyFont="1" applyFill="1" applyBorder="1" applyAlignment="1"/>
    <xf numFmtId="0" fontId="0" fillId="5" borderId="3" xfId="0" applyFill="1" applyBorder="1" applyAlignment="1">
      <alignment wrapText="1"/>
    </xf>
    <xf numFmtId="2" fontId="90" fillId="8" borderId="13" xfId="0" applyNumberFormat="1" applyFont="1" applyFill="1" applyBorder="1" applyAlignment="1"/>
    <xf numFmtId="0" fontId="83" fillId="18" borderId="5" xfId="0" applyFont="1" applyFill="1" applyBorder="1" applyAlignment="1"/>
    <xf numFmtId="0" fontId="84" fillId="18" borderId="5" xfId="0" applyFont="1" applyFill="1" applyBorder="1" applyAlignment="1"/>
    <xf numFmtId="0" fontId="83" fillId="14" borderId="5" xfId="0" applyFont="1" applyFill="1" applyBorder="1" applyAlignment="1"/>
    <xf numFmtId="0" fontId="84" fillId="14" borderId="5" xfId="0" applyFont="1" applyFill="1" applyBorder="1" applyAlignment="1"/>
    <xf numFmtId="0" fontId="2" fillId="5" borderId="19" xfId="0" applyFont="1" applyFill="1" applyBorder="1" applyAlignment="1">
      <alignment horizontal="center" vertical="center"/>
    </xf>
    <xf numFmtId="0" fontId="11" fillId="5" borderId="19" xfId="0" applyFont="1" applyFill="1" applyBorder="1" applyAlignment="1">
      <alignment horizontal="center" vertical="center"/>
    </xf>
    <xf numFmtId="0" fontId="11" fillId="5" borderId="31" xfId="0" applyFont="1" applyFill="1" applyBorder="1" applyAlignment="1">
      <alignment horizontal="center" vertical="center"/>
    </xf>
    <xf numFmtId="0" fontId="2" fillId="2" borderId="19" xfId="0" applyFont="1" applyFill="1" applyBorder="1" applyAlignment="1">
      <alignment horizontal="center" vertical="center"/>
    </xf>
    <xf numFmtId="0" fontId="11" fillId="0" borderId="19" xfId="0" applyFont="1" applyBorder="1" applyAlignment="1">
      <alignment horizontal="center" vertical="center"/>
    </xf>
    <xf numFmtId="0" fontId="11" fillId="0" borderId="31" xfId="0" applyFont="1" applyBorder="1" applyAlignment="1">
      <alignment horizontal="center" vertical="center"/>
    </xf>
    <xf numFmtId="2" fontId="82" fillId="17" borderId="44" xfId="0" applyNumberFormat="1" applyFont="1" applyFill="1" applyBorder="1" applyAlignment="1">
      <alignment horizontal="center" vertical="center" wrapText="1"/>
    </xf>
    <xf numFmtId="0" fontId="111" fillId="17" borderId="17" xfId="0" applyFont="1" applyFill="1" applyBorder="1" applyAlignment="1">
      <alignment horizontal="center" vertical="center" wrapText="1"/>
    </xf>
    <xf numFmtId="0" fontId="107" fillId="14" borderId="13" xfId="2" applyFont="1" applyFill="1" applyBorder="1" applyAlignment="1" applyProtection="1">
      <alignment horizontal="center" vertical="center" wrapText="1"/>
    </xf>
    <xf numFmtId="0" fontId="107" fillId="14" borderId="2" xfId="2" applyFont="1" applyFill="1" applyBorder="1" applyAlignment="1" applyProtection="1">
      <alignment horizontal="center" vertical="center" wrapText="1"/>
    </xf>
    <xf numFmtId="0" fontId="107" fillId="14" borderId="4" xfId="2" applyFont="1" applyFill="1" applyBorder="1" applyAlignment="1" applyProtection="1">
      <alignment horizontal="center" vertical="center" wrapText="1"/>
    </xf>
    <xf numFmtId="0" fontId="91" fillId="14" borderId="30" xfId="0" applyFont="1" applyFill="1" applyBorder="1" applyAlignment="1">
      <alignment horizontal="center" vertical="center" wrapText="1"/>
    </xf>
    <xf numFmtId="0" fontId="92" fillId="14" borderId="39" xfId="0" applyFont="1" applyFill="1" applyBorder="1" applyAlignment="1">
      <alignment horizontal="center" vertical="center" wrapText="1"/>
    </xf>
    <xf numFmtId="0" fontId="84" fillId="14" borderId="40"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15" fillId="21" borderId="18" xfId="0" applyFont="1" applyFill="1" applyBorder="1" applyAlignment="1">
      <alignment horizontal="center" vertical="center" wrapText="1"/>
    </xf>
    <xf numFmtId="0" fontId="9" fillId="21" borderId="8" xfId="0" applyFont="1" applyFill="1" applyBorder="1" applyAlignment="1">
      <alignment horizontal="center" vertical="center" wrapText="1"/>
    </xf>
    <xf numFmtId="0" fontId="9" fillId="21" borderId="9" xfId="0" applyFont="1" applyFill="1" applyBorder="1" applyAlignment="1">
      <alignment horizontal="center" vertical="center" wrapText="1"/>
    </xf>
    <xf numFmtId="0" fontId="9" fillId="21" borderId="30" xfId="0" applyFont="1" applyFill="1" applyBorder="1" applyAlignment="1">
      <alignment horizontal="left" vertical="center" wrapText="1"/>
    </xf>
    <xf numFmtId="0" fontId="9" fillId="21" borderId="39" xfId="0" applyFont="1" applyFill="1" applyBorder="1" applyAlignment="1">
      <alignment horizontal="left" vertical="center" wrapText="1"/>
    </xf>
    <xf numFmtId="0" fontId="9" fillId="21" borderId="39" xfId="0" applyFont="1" applyFill="1" applyBorder="1" applyAlignment="1">
      <alignment wrapText="1"/>
    </xf>
    <xf numFmtId="0" fontId="9" fillId="21" borderId="40" xfId="0" applyFont="1" applyFill="1" applyBorder="1" applyAlignment="1">
      <alignment wrapText="1"/>
    </xf>
    <xf numFmtId="0" fontId="9" fillId="21" borderId="6" xfId="0" applyFont="1" applyFill="1" applyBorder="1" applyAlignment="1">
      <alignment horizontal="left" vertical="center" wrapText="1"/>
    </xf>
    <xf numFmtId="0" fontId="9" fillId="21" borderId="0" xfId="0" applyFont="1" applyFill="1" applyBorder="1" applyAlignment="1">
      <alignment horizontal="left" vertical="center" wrapText="1"/>
    </xf>
    <xf numFmtId="0" fontId="9" fillId="21" borderId="0" xfId="0" applyFont="1" applyFill="1" applyBorder="1" applyAlignment="1">
      <alignment wrapText="1"/>
    </xf>
    <xf numFmtId="0" fontId="9" fillId="21" borderId="15" xfId="0" applyFont="1" applyFill="1" applyBorder="1" applyAlignment="1">
      <alignment wrapText="1"/>
    </xf>
    <xf numFmtId="0" fontId="9" fillId="21" borderId="6" xfId="0" applyFont="1" applyFill="1" applyBorder="1" applyAlignment="1">
      <alignment horizontal="left" wrapText="1"/>
    </xf>
    <xf numFmtId="0" fontId="9" fillId="21" borderId="0" xfId="0" applyFont="1" applyFill="1" applyBorder="1" applyAlignment="1">
      <alignment horizontal="left" wrapText="1"/>
    </xf>
    <xf numFmtId="0" fontId="0" fillId="21" borderId="6" xfId="0" applyFill="1" applyBorder="1" applyAlignment="1">
      <alignment wrapText="1"/>
    </xf>
    <xf numFmtId="0" fontId="0" fillId="21" borderId="0" xfId="0" applyFill="1" applyBorder="1" applyAlignment="1">
      <alignment wrapText="1"/>
    </xf>
    <xf numFmtId="0" fontId="0" fillId="21" borderId="15" xfId="0" applyFill="1" applyBorder="1" applyAlignment="1">
      <alignment wrapText="1"/>
    </xf>
    <xf numFmtId="0" fontId="0" fillId="21" borderId="33" xfId="0" applyFill="1" applyBorder="1" applyAlignment="1">
      <alignment wrapText="1"/>
    </xf>
    <xf numFmtId="0" fontId="0" fillId="21" borderId="27" xfId="0" applyFill="1" applyBorder="1" applyAlignment="1">
      <alignment wrapText="1"/>
    </xf>
    <xf numFmtId="0" fontId="0" fillId="21" borderId="41" xfId="0" applyFill="1" applyBorder="1" applyAlignment="1">
      <alignment wrapText="1"/>
    </xf>
    <xf numFmtId="0" fontId="15" fillId="2" borderId="52" xfId="0" applyFont="1" applyFill="1" applyBorder="1" applyAlignment="1">
      <alignment horizontal="center" vertical="center" wrapText="1"/>
    </xf>
    <xf numFmtId="0" fontId="0" fillId="0" borderId="3" xfId="0" applyBorder="1" applyAlignment="1">
      <alignment horizontal="center" vertical="center" wrapText="1"/>
    </xf>
    <xf numFmtId="0" fontId="0" fillId="0" borderId="21" xfId="0" applyBorder="1" applyAlignment="1">
      <alignment horizontal="center" vertical="center" wrapText="1"/>
    </xf>
    <xf numFmtId="0" fontId="2" fillId="2" borderId="18" xfId="0" applyFont="1" applyFill="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37" fillId="10" borderId="18" xfId="0" applyFont="1" applyFill="1" applyBorder="1" applyAlignment="1">
      <alignment horizontal="center" vertical="center" wrapText="1"/>
    </xf>
    <xf numFmtId="0" fontId="37" fillId="10" borderId="8" xfId="0" applyFont="1" applyFill="1" applyBorder="1" applyAlignment="1">
      <alignment horizontal="center" vertical="center" wrapText="1"/>
    </xf>
    <xf numFmtId="0" fontId="0" fillId="10" borderId="8" xfId="0" applyFill="1" applyBorder="1" applyAlignment="1">
      <alignment horizontal="center" vertical="center" wrapText="1"/>
    </xf>
    <xf numFmtId="0" fontId="0" fillId="10" borderId="9" xfId="0" applyFill="1" applyBorder="1" applyAlignment="1">
      <alignment horizontal="center" vertical="center" wrapText="1"/>
    </xf>
    <xf numFmtId="0" fontId="106" fillId="21" borderId="6" xfId="0" applyFont="1" applyFill="1" applyBorder="1" applyAlignment="1">
      <alignment horizontal="center" vertical="center" wrapText="1"/>
    </xf>
    <xf numFmtId="0" fontId="5" fillId="21" borderId="0" xfId="0" applyFont="1" applyFill="1" applyBorder="1" applyAlignment="1">
      <alignment wrapText="1"/>
    </xf>
    <xf numFmtId="0" fontId="1" fillId="21" borderId="0" xfId="0" applyFont="1" applyFill="1" applyBorder="1" applyAlignment="1">
      <alignment wrapText="1"/>
    </xf>
    <xf numFmtId="0" fontId="1" fillId="21" borderId="15" xfId="0" applyFont="1" applyFill="1" applyBorder="1" applyAlignment="1">
      <alignment wrapText="1"/>
    </xf>
    <xf numFmtId="0" fontId="5" fillId="21" borderId="6" xfId="0" applyFont="1" applyFill="1" applyBorder="1" applyAlignment="1">
      <alignment wrapText="1"/>
    </xf>
    <xf numFmtId="0" fontId="5" fillId="21" borderId="33" xfId="0" applyFont="1" applyFill="1" applyBorder="1" applyAlignment="1">
      <alignment wrapText="1"/>
    </xf>
    <xf numFmtId="0" fontId="5" fillId="21" borderId="27" xfId="0" applyFont="1" applyFill="1" applyBorder="1" applyAlignment="1">
      <alignment wrapText="1"/>
    </xf>
    <xf numFmtId="0" fontId="1" fillId="21" borderId="27" xfId="0" applyFont="1" applyFill="1" applyBorder="1" applyAlignment="1">
      <alignment wrapText="1"/>
    </xf>
    <xf numFmtId="0" fontId="1" fillId="21" borderId="41" xfId="0" applyFont="1" applyFill="1" applyBorder="1" applyAlignment="1">
      <alignment wrapText="1"/>
    </xf>
    <xf numFmtId="0" fontId="26" fillId="2" borderId="30" xfId="0" applyFont="1" applyFill="1" applyBorder="1" applyAlignment="1">
      <alignment horizontal="center" vertical="center" wrapText="1"/>
    </xf>
    <xf numFmtId="0" fontId="15" fillId="0" borderId="39"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41" xfId="0" applyFont="1" applyBorder="1" applyAlignment="1">
      <alignment horizontal="center" vertical="center" wrapText="1"/>
    </xf>
    <xf numFmtId="0" fontId="98" fillId="14" borderId="18" xfId="0" applyFont="1" applyFill="1" applyBorder="1" applyAlignment="1">
      <alignment horizontal="center" vertical="center" wrapText="1"/>
    </xf>
    <xf numFmtId="0" fontId="84" fillId="14" borderId="8" xfId="0" applyFont="1" applyFill="1" applyBorder="1" applyAlignment="1">
      <alignment horizontal="center" vertical="center" wrapText="1"/>
    </xf>
    <xf numFmtId="0" fontId="84" fillId="14" borderId="9" xfId="0" applyFont="1" applyFill="1" applyBorder="1" applyAlignment="1">
      <alignment horizontal="center" vertical="center" wrapText="1"/>
    </xf>
    <xf numFmtId="0" fontId="15" fillId="2" borderId="35" xfId="0" applyFont="1" applyFill="1"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5" fillId="2" borderId="22" xfId="0" applyFont="1" applyFill="1" applyBorder="1" applyAlignment="1">
      <alignment horizontal="center" vertical="center" wrapText="1"/>
    </xf>
    <xf numFmtId="0" fontId="5" fillId="0" borderId="38" xfId="0" applyFont="1" applyBorder="1" applyAlignment="1">
      <alignment horizontal="center" vertical="center" wrapText="1"/>
    </xf>
    <xf numFmtId="0" fontId="5" fillId="0" borderId="26" xfId="0" applyFont="1" applyBorder="1" applyAlignment="1">
      <alignment horizontal="center" vertical="center" wrapText="1"/>
    </xf>
    <xf numFmtId="0" fontId="15" fillId="2" borderId="22" xfId="0" applyFont="1" applyFill="1" applyBorder="1" applyAlignment="1">
      <alignment horizontal="center" vertical="center" wrapText="1"/>
    </xf>
    <xf numFmtId="0" fontId="0" fillId="5" borderId="38" xfId="0" applyFill="1" applyBorder="1" applyAlignment="1">
      <alignment horizontal="center" vertical="center" wrapText="1"/>
    </xf>
    <xf numFmtId="0" fontId="0" fillId="8" borderId="26" xfId="0" applyFill="1" applyBorder="1" applyAlignment="1">
      <alignment horizontal="center" vertical="center" wrapText="1"/>
    </xf>
    <xf numFmtId="0" fontId="0" fillId="5" borderId="1" xfId="0" applyFill="1" applyBorder="1" applyAlignment="1">
      <alignment horizontal="center" vertical="center" wrapText="1"/>
    </xf>
    <xf numFmtId="0" fontId="0" fillId="5" borderId="0" xfId="0" applyFill="1" applyAlignment="1">
      <alignment horizontal="center" vertical="center" wrapText="1"/>
    </xf>
    <xf numFmtId="0" fontId="0" fillId="5" borderId="29" xfId="0" applyFill="1" applyBorder="1" applyAlignment="1">
      <alignment horizontal="center" vertical="center" wrapText="1"/>
    </xf>
    <xf numFmtId="0" fontId="0" fillId="5" borderId="24"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1" xfId="0" applyFill="1" applyBorder="1" applyAlignment="1">
      <alignment horizontal="center" vertical="center" wrapText="1"/>
    </xf>
    <xf numFmtId="0" fontId="5" fillId="21" borderId="1" xfId="0" applyFont="1" applyFill="1" applyBorder="1" applyAlignment="1">
      <alignment horizontal="center" vertical="center" wrapText="1"/>
    </xf>
    <xf numFmtId="0" fontId="5" fillId="21" borderId="0" xfId="0" applyFont="1" applyFill="1" applyBorder="1" applyAlignment="1">
      <alignment horizontal="center" vertical="center" wrapText="1"/>
    </xf>
    <xf numFmtId="0" fontId="0" fillId="21" borderId="0" xfId="0" applyFill="1" applyBorder="1" applyAlignment="1">
      <alignment horizontal="center" vertical="center" wrapText="1"/>
    </xf>
    <xf numFmtId="0" fontId="0" fillId="21" borderId="29" xfId="0" applyFill="1" applyBorder="1" applyAlignment="1">
      <alignment horizontal="center" vertical="center" wrapText="1"/>
    </xf>
    <xf numFmtId="0" fontId="5" fillId="21" borderId="24" xfId="0" applyFont="1" applyFill="1" applyBorder="1" applyAlignment="1">
      <alignment horizontal="center" vertical="center" wrapText="1"/>
    </xf>
    <xf numFmtId="0" fontId="5" fillId="21" borderId="14" xfId="0" applyFont="1" applyFill="1" applyBorder="1" applyAlignment="1">
      <alignment horizontal="center" vertical="center" wrapText="1"/>
    </xf>
    <xf numFmtId="0" fontId="0" fillId="21" borderId="14" xfId="0" applyFill="1" applyBorder="1" applyAlignment="1">
      <alignment horizontal="center" vertical="center" wrapText="1"/>
    </xf>
    <xf numFmtId="0" fontId="0" fillId="21" borderId="11" xfId="0" applyFill="1" applyBorder="1" applyAlignment="1">
      <alignment horizontal="center" vertical="center" wrapText="1"/>
    </xf>
    <xf numFmtId="0" fontId="5" fillId="5" borderId="24" xfId="0" applyFont="1" applyFill="1" applyBorder="1" applyAlignment="1"/>
    <xf numFmtId="0" fontId="0" fillId="5" borderId="14" xfId="0" applyFill="1" applyBorder="1" applyAlignment="1"/>
    <xf numFmtId="0" fontId="0" fillId="5" borderId="11" xfId="0" applyFill="1" applyBorder="1" applyAlignment="1"/>
    <xf numFmtId="2" fontId="5" fillId="5" borderId="13" xfId="0" applyNumberFormat="1" applyFont="1" applyFill="1" applyBorder="1" applyAlignment="1">
      <alignment wrapText="1"/>
    </xf>
    <xf numFmtId="0" fontId="0" fillId="5" borderId="2" xfId="0" applyFill="1" applyBorder="1" applyAlignment="1">
      <alignment wrapText="1"/>
    </xf>
    <xf numFmtId="0" fontId="0" fillId="5" borderId="4" xfId="0" applyFill="1" applyBorder="1" applyAlignment="1">
      <alignment wrapText="1"/>
    </xf>
    <xf numFmtId="0" fontId="5" fillId="2" borderId="1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91" fillId="14" borderId="3" xfId="0" applyFont="1" applyFill="1" applyBorder="1" applyAlignment="1">
      <alignment horizontal="center" vertical="center" wrapText="1"/>
    </xf>
    <xf numFmtId="0" fontId="92" fillId="14" borderId="3" xfId="0" applyFont="1" applyFill="1" applyBorder="1" applyAlignment="1">
      <alignment horizontal="center" vertical="center" wrapText="1"/>
    </xf>
    <xf numFmtId="2" fontId="28" fillId="6" borderId="13" xfId="0" applyNumberFormat="1" applyFont="1" applyFill="1" applyBorder="1" applyAlignment="1">
      <alignment horizontal="left" vertical="center" wrapText="1"/>
    </xf>
    <xf numFmtId="0" fontId="6" fillId="6" borderId="2" xfId="0" applyFont="1" applyFill="1" applyBorder="1" applyAlignment="1">
      <alignment horizontal="left" vertical="center" wrapText="1"/>
    </xf>
    <xf numFmtId="0" fontId="19" fillId="5" borderId="54" xfId="0" applyFont="1" applyFill="1" applyBorder="1" applyAlignment="1">
      <alignment horizontal="left" vertical="center"/>
    </xf>
    <xf numFmtId="0" fontId="15" fillId="5" borderId="38" xfId="0" applyFont="1" applyFill="1" applyBorder="1" applyAlignment="1">
      <alignment horizontal="left" vertical="center"/>
    </xf>
    <xf numFmtId="0" fontId="15" fillId="5" borderId="26" xfId="0" applyFont="1" applyFill="1" applyBorder="1" applyAlignment="1">
      <alignment horizontal="left" vertical="center"/>
    </xf>
    <xf numFmtId="2" fontId="83" fillId="17" borderId="44" xfId="0" applyNumberFormat="1" applyFont="1" applyFill="1" applyBorder="1" applyAlignment="1">
      <alignment horizontal="center" vertical="center" wrapText="1"/>
    </xf>
    <xf numFmtId="0" fontId="84" fillId="17" borderId="17" xfId="0" applyFont="1" applyFill="1" applyBorder="1" applyAlignment="1">
      <alignment horizontal="center" vertical="center" wrapText="1"/>
    </xf>
    <xf numFmtId="2" fontId="17" fillId="8" borderId="3" xfId="0" applyNumberFormat="1" applyFont="1" applyFill="1" applyBorder="1" applyAlignment="1"/>
    <xf numFmtId="0" fontId="39" fillId="8" borderId="3" xfId="0" applyFont="1" applyFill="1" applyBorder="1" applyAlignment="1"/>
    <xf numFmtId="2" fontId="5" fillId="9" borderId="13" xfId="0" applyNumberFormat="1" applyFont="1" applyFill="1" applyBorder="1" applyAlignment="1"/>
    <xf numFmtId="0" fontId="0" fillId="9" borderId="2" xfId="0" applyFill="1" applyBorder="1" applyAlignment="1"/>
    <xf numFmtId="0" fontId="0" fillId="9" borderId="4" xfId="0" applyFill="1" applyBorder="1" applyAlignment="1"/>
    <xf numFmtId="2" fontId="90" fillId="5" borderId="3" xfId="0" applyNumberFormat="1" applyFont="1" applyFill="1" applyBorder="1" applyAlignment="1"/>
    <xf numFmtId="0" fontId="89" fillId="5" borderId="3" xfId="0" applyFont="1" applyFill="1" applyBorder="1" applyAlignment="1"/>
    <xf numFmtId="2" fontId="5" fillId="8" borderId="3" xfId="0" applyNumberFormat="1" applyFont="1" applyFill="1" applyBorder="1" applyAlignment="1">
      <alignment wrapText="1"/>
    </xf>
    <xf numFmtId="0" fontId="0" fillId="8" borderId="3" xfId="0" applyFill="1" applyBorder="1" applyAlignment="1">
      <alignment wrapText="1"/>
    </xf>
    <xf numFmtId="0" fontId="18" fillId="5" borderId="5" xfId="0" applyFont="1" applyFill="1" applyBorder="1" applyAlignment="1"/>
    <xf numFmtId="0" fontId="5" fillId="8" borderId="22" xfId="0" applyFont="1" applyFill="1" applyBorder="1" applyAlignment="1"/>
    <xf numFmtId="0" fontId="0" fillId="8" borderId="38" xfId="0" applyFill="1" applyBorder="1" applyAlignment="1"/>
    <xf numFmtId="0" fontId="0" fillId="8" borderId="26" xfId="0" applyFill="1" applyBorder="1" applyAlignment="1"/>
    <xf numFmtId="2" fontId="63" fillId="5" borderId="5" xfId="0" applyNumberFormat="1" applyFont="1" applyFill="1" applyBorder="1" applyAlignment="1">
      <alignment horizontal="center" vertical="center" wrapText="1"/>
    </xf>
    <xf numFmtId="0" fontId="6" fillId="5" borderId="5"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4" fillId="21" borderId="40" xfId="2" applyFont="1" applyFill="1" applyBorder="1" applyAlignment="1" applyProtection="1">
      <alignment horizontal="center" vertical="center" wrapText="1"/>
    </xf>
    <xf numFmtId="0" fontId="4" fillId="21" borderId="41" xfId="2" applyFont="1" applyFill="1" applyBorder="1" applyAlignment="1" applyProtection="1">
      <alignment horizontal="center" vertical="center" wrapText="1"/>
    </xf>
    <xf numFmtId="2" fontId="1" fillId="9" borderId="5" xfId="0" applyNumberFormat="1" applyFont="1" applyFill="1" applyBorder="1" applyAlignment="1"/>
    <xf numFmtId="0" fontId="2" fillId="13" borderId="38" xfId="0" applyNumberFormat="1" applyFont="1" applyFill="1" applyBorder="1" applyAlignment="1">
      <alignment horizontal="center" vertical="center" wrapText="1"/>
    </xf>
    <xf numFmtId="0" fontId="14" fillId="0" borderId="0" xfId="0" applyFont="1" applyAlignment="1">
      <alignment horizontal="center" vertical="center" wrapText="1"/>
    </xf>
    <xf numFmtId="0" fontId="14" fillId="0" borderId="29" xfId="0" applyFont="1" applyBorder="1" applyAlignment="1">
      <alignment horizontal="center" vertical="center" wrapText="1"/>
    </xf>
    <xf numFmtId="2" fontId="64" fillId="9" borderId="3" xfId="0" applyNumberFormat="1" applyFont="1" applyFill="1" applyBorder="1" applyAlignment="1">
      <alignment horizontal="center" vertical="center"/>
    </xf>
    <xf numFmtId="0" fontId="1" fillId="9" borderId="3" xfId="0" applyFont="1" applyFill="1" applyBorder="1" applyAlignment="1">
      <alignment horizontal="center" vertical="center"/>
    </xf>
    <xf numFmtId="0" fontId="62" fillId="2" borderId="0" xfId="2" applyFont="1" applyFill="1" applyAlignment="1" applyProtection="1"/>
    <xf numFmtId="0" fontId="39" fillId="5" borderId="4" xfId="0" applyFont="1" applyFill="1" applyBorder="1" applyAlignment="1"/>
    <xf numFmtId="2" fontId="63" fillId="8" borderId="7" xfId="0" applyNumberFormat="1" applyFont="1" applyFill="1" applyBorder="1" applyAlignment="1">
      <alignment horizontal="center" vertical="center" wrapText="1"/>
    </xf>
    <xf numFmtId="0" fontId="6" fillId="8" borderId="7" xfId="0" applyFont="1" applyFill="1" applyBorder="1" applyAlignment="1">
      <alignment horizontal="center" vertical="center" wrapText="1"/>
    </xf>
    <xf numFmtId="0" fontId="1" fillId="8" borderId="7" xfId="0" applyFont="1" applyFill="1" applyBorder="1" applyAlignment="1">
      <alignment horizontal="center" vertical="center" wrapText="1"/>
    </xf>
    <xf numFmtId="2" fontId="5" fillId="5" borderId="24" xfId="0" applyNumberFormat="1" applyFont="1" applyFill="1" applyBorder="1" applyAlignment="1"/>
    <xf numFmtId="0" fontId="15" fillId="10" borderId="1" xfId="0" applyFont="1" applyFill="1" applyBorder="1" applyAlignment="1">
      <alignment vertical="center"/>
    </xf>
    <xf numFmtId="0" fontId="9" fillId="10" borderId="0" xfId="0" applyFont="1" applyFill="1" applyBorder="1" applyAlignment="1">
      <alignment vertical="center"/>
    </xf>
    <xf numFmtId="0" fontId="9" fillId="10" borderId="29" xfId="0" applyFont="1" applyFill="1" applyBorder="1" applyAlignment="1">
      <alignment vertical="center"/>
    </xf>
    <xf numFmtId="0" fontId="112" fillId="13" borderId="22" xfId="0" applyFont="1" applyFill="1" applyBorder="1" applyAlignment="1">
      <alignment horizontal="center" vertical="center" wrapText="1"/>
    </xf>
    <xf numFmtId="0" fontId="112" fillId="13" borderId="38" xfId="0" applyFont="1" applyFill="1" applyBorder="1" applyAlignment="1">
      <alignment horizontal="center" vertical="center" wrapText="1"/>
    </xf>
    <xf numFmtId="0" fontId="112" fillId="13" borderId="26" xfId="0" applyFont="1" applyFill="1" applyBorder="1" applyAlignment="1">
      <alignment horizontal="center" vertical="center" wrapText="1"/>
    </xf>
    <xf numFmtId="0" fontId="112" fillId="13" borderId="1" xfId="0" applyFont="1" applyFill="1" applyBorder="1" applyAlignment="1">
      <alignment horizontal="center" vertical="center" wrapText="1"/>
    </xf>
    <xf numFmtId="0" fontId="112" fillId="13" borderId="0" xfId="0" applyFont="1" applyFill="1" applyBorder="1" applyAlignment="1">
      <alignment horizontal="center" vertical="center" wrapText="1"/>
    </xf>
    <xf numFmtId="0" fontId="112" fillId="13" borderId="29" xfId="0" applyFont="1" applyFill="1" applyBorder="1" applyAlignment="1">
      <alignment horizontal="center" vertical="center" wrapText="1"/>
    </xf>
    <xf numFmtId="0" fontId="112" fillId="13" borderId="24" xfId="0" applyFont="1" applyFill="1" applyBorder="1" applyAlignment="1">
      <alignment horizontal="center" vertical="center" wrapText="1"/>
    </xf>
    <xf numFmtId="0" fontId="112" fillId="13" borderId="14" xfId="0" applyFont="1" applyFill="1" applyBorder="1" applyAlignment="1">
      <alignment horizontal="center" vertical="center" wrapText="1"/>
    </xf>
    <xf numFmtId="0" fontId="112" fillId="13" borderId="11" xfId="0" applyFont="1" applyFill="1" applyBorder="1" applyAlignment="1">
      <alignment horizontal="center" vertical="center" wrapText="1"/>
    </xf>
    <xf numFmtId="0" fontId="2" fillId="5" borderId="34" xfId="0" applyFont="1" applyFill="1" applyBorder="1" applyAlignment="1">
      <alignment horizontal="left" vertical="center" wrapText="1"/>
    </xf>
    <xf numFmtId="0" fontId="2" fillId="5" borderId="35" xfId="0" applyFont="1" applyFill="1" applyBorder="1" applyAlignment="1">
      <alignment horizontal="left" vertical="center" wrapText="1"/>
    </xf>
    <xf numFmtId="2" fontId="90" fillId="8" borderId="3" xfId="0" applyNumberFormat="1" applyFont="1" applyFill="1" applyBorder="1" applyAlignment="1">
      <alignment wrapText="1"/>
    </xf>
    <xf numFmtId="0" fontId="89" fillId="8" borderId="3" xfId="0" applyFont="1" applyFill="1" applyBorder="1" applyAlignment="1">
      <alignment wrapText="1"/>
    </xf>
    <xf numFmtId="2" fontId="5" fillId="5" borderId="2" xfId="0" applyNumberFormat="1" applyFont="1" applyFill="1" applyBorder="1" applyAlignment="1">
      <alignment wrapText="1"/>
    </xf>
    <xf numFmtId="2" fontId="5" fillId="5" borderId="4" xfId="0" applyNumberFormat="1" applyFont="1" applyFill="1" applyBorder="1" applyAlignment="1">
      <alignment wrapText="1"/>
    </xf>
    <xf numFmtId="0" fontId="2" fillId="5" borderId="19"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1" fillId="5" borderId="31" xfId="0" applyFont="1" applyFill="1" applyBorder="1" applyAlignment="1">
      <alignment horizontal="center" vertical="center" wrapText="1"/>
    </xf>
    <xf numFmtId="0" fontId="2" fillId="10" borderId="1" xfId="0" applyFont="1" applyFill="1" applyBorder="1" applyAlignment="1">
      <alignment horizontal="left"/>
    </xf>
    <xf numFmtId="0" fontId="2" fillId="10" borderId="0" xfId="0" applyFont="1" applyFill="1" applyBorder="1" applyAlignment="1">
      <alignment horizontal="left"/>
    </xf>
    <xf numFmtId="0" fontId="2" fillId="10" borderId="29" xfId="0" applyFont="1" applyFill="1" applyBorder="1" applyAlignment="1">
      <alignment horizontal="left"/>
    </xf>
    <xf numFmtId="0" fontId="70" fillId="0" borderId="0" xfId="0" applyFont="1" applyAlignment="1"/>
    <xf numFmtId="0" fontId="70" fillId="0" borderId="29" xfId="0" applyFont="1" applyBorder="1" applyAlignment="1"/>
    <xf numFmtId="0" fontId="78" fillId="5" borderId="0" xfId="0" applyFont="1" applyFill="1" applyBorder="1" applyAlignment="1">
      <alignment horizontal="center" vertical="center" wrapText="1"/>
    </xf>
    <xf numFmtId="2" fontId="5" fillId="8" borderId="24" xfId="0" applyNumberFormat="1" applyFont="1" applyFill="1" applyBorder="1" applyAlignment="1"/>
    <xf numFmtId="0" fontId="0" fillId="8" borderId="14" xfId="0" applyFill="1" applyBorder="1" applyAlignment="1"/>
    <xf numFmtId="0" fontId="0" fillId="8" borderId="11" xfId="0" applyFill="1" applyBorder="1" applyAlignment="1"/>
    <xf numFmtId="2" fontId="78" fillId="9" borderId="3" xfId="0" applyNumberFormat="1" applyFont="1" applyFill="1" applyBorder="1" applyAlignment="1"/>
    <xf numFmtId="0" fontId="70" fillId="9" borderId="3" xfId="0" applyFont="1" applyFill="1" applyBorder="1" applyAlignment="1"/>
    <xf numFmtId="0" fontId="0" fillId="0" borderId="38" xfId="0" applyBorder="1" applyAlignment="1">
      <alignment horizontal="center" vertical="center" wrapText="1"/>
    </xf>
    <xf numFmtId="0" fontId="0" fillId="0" borderId="26" xfId="0" applyBorder="1" applyAlignment="1">
      <alignment horizontal="center" vertical="center" wrapText="1"/>
    </xf>
    <xf numFmtId="0" fontId="0" fillId="0" borderId="0" xfId="0" applyAlignment="1">
      <alignment horizontal="center" vertical="center" wrapText="1"/>
    </xf>
    <xf numFmtId="0" fontId="0" fillId="0" borderId="0" xfId="0" applyBorder="1" applyAlignment="1">
      <alignment horizontal="center" vertical="center" wrapText="1"/>
    </xf>
    <xf numFmtId="0" fontId="0" fillId="0" borderId="29" xfId="0" applyBorder="1" applyAlignment="1">
      <alignment horizontal="center" vertical="center" wrapText="1"/>
    </xf>
    <xf numFmtId="0" fontId="78" fillId="13" borderId="24"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11" xfId="0" applyBorder="1" applyAlignment="1">
      <alignment horizontal="center" vertical="center" wrapText="1"/>
    </xf>
    <xf numFmtId="2" fontId="4" fillId="9" borderId="2"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8" fillId="9" borderId="3" xfId="0" applyFont="1" applyFill="1" applyBorder="1" applyAlignment="1"/>
    <xf numFmtId="0" fontId="71" fillId="13" borderId="22" xfId="0" applyFont="1" applyFill="1" applyBorder="1" applyAlignment="1">
      <alignment horizontal="center" vertical="center" wrapText="1"/>
    </xf>
    <xf numFmtId="0" fontId="71" fillId="13" borderId="38" xfId="0" applyFont="1" applyFill="1" applyBorder="1" applyAlignment="1">
      <alignment horizontal="center" vertical="center" wrapText="1"/>
    </xf>
    <xf numFmtId="0" fontId="0" fillId="13" borderId="38" xfId="0" applyFill="1" applyBorder="1" applyAlignment="1">
      <alignment horizontal="center" vertical="center" wrapText="1"/>
    </xf>
    <xf numFmtId="0" fontId="0" fillId="13" borderId="26" xfId="0" applyFill="1" applyBorder="1" applyAlignment="1">
      <alignment horizontal="center" vertical="center" wrapText="1"/>
    </xf>
    <xf numFmtId="0" fontId="71" fillId="13" borderId="1" xfId="0" applyFont="1" applyFill="1" applyBorder="1" applyAlignment="1">
      <alignment horizontal="center" vertical="center" wrapText="1"/>
    </xf>
    <xf numFmtId="0" fontId="71" fillId="13" borderId="0" xfId="0" applyFont="1" applyFill="1" applyBorder="1" applyAlignment="1">
      <alignment horizontal="center" vertical="center" wrapText="1"/>
    </xf>
    <xf numFmtId="0" fontId="0" fillId="13" borderId="0" xfId="0" applyFill="1" applyAlignment="1">
      <alignment horizontal="center" vertical="center" wrapText="1"/>
    </xf>
    <xf numFmtId="0" fontId="0" fillId="13" borderId="29" xfId="0" applyFill="1" applyBorder="1" applyAlignment="1">
      <alignment horizontal="center" vertical="center" wrapText="1"/>
    </xf>
    <xf numFmtId="0" fontId="0" fillId="13" borderId="1" xfId="0" applyFill="1" applyBorder="1" applyAlignment="1">
      <alignment horizontal="center" vertical="center" wrapText="1"/>
    </xf>
    <xf numFmtId="0" fontId="0" fillId="13" borderId="0" xfId="0" applyFill="1" applyBorder="1" applyAlignment="1">
      <alignment horizontal="center" vertical="center" wrapText="1"/>
    </xf>
    <xf numFmtId="0" fontId="0" fillId="13" borderId="24" xfId="0" applyFill="1" applyBorder="1" applyAlignment="1">
      <alignment horizontal="center" vertical="center" wrapText="1"/>
    </xf>
    <xf numFmtId="0" fontId="0" fillId="13" borderId="14" xfId="0" applyFill="1" applyBorder="1" applyAlignment="1">
      <alignment horizontal="center" vertical="center" wrapText="1"/>
    </xf>
    <xf numFmtId="0" fontId="0" fillId="13" borderId="11" xfId="0" applyFill="1" applyBorder="1" applyAlignment="1">
      <alignment horizontal="center" vertical="center" wrapText="1"/>
    </xf>
    <xf numFmtId="2" fontId="5" fillId="5" borderId="7" xfId="0" applyNumberFormat="1" applyFont="1" applyFill="1" applyBorder="1" applyAlignment="1"/>
    <xf numFmtId="0" fontId="18" fillId="5" borderId="7" xfId="0" applyFont="1" applyFill="1" applyBorder="1" applyAlignment="1"/>
    <xf numFmtId="0" fontId="36" fillId="10" borderId="0" xfId="0" applyFont="1" applyFill="1" applyAlignment="1"/>
    <xf numFmtId="2" fontId="5" fillId="5" borderId="24" xfId="0" applyNumberFormat="1" applyFont="1" applyFill="1" applyBorder="1" applyAlignment="1">
      <alignment wrapText="1"/>
    </xf>
    <xf numFmtId="0" fontId="1" fillId="5" borderId="14" xfId="0" applyFont="1" applyFill="1" applyBorder="1" applyAlignment="1">
      <alignment wrapText="1"/>
    </xf>
    <xf numFmtId="0" fontId="1" fillId="5" borderId="11" xfId="0" applyFont="1" applyFill="1" applyBorder="1" applyAlignment="1">
      <alignment wrapText="1"/>
    </xf>
    <xf numFmtId="0" fontId="104" fillId="14" borderId="18" xfId="0" applyFont="1" applyFill="1" applyBorder="1" applyAlignment="1">
      <alignment horizontal="center" vertical="center" wrapText="1"/>
    </xf>
    <xf numFmtId="0" fontId="104" fillId="14" borderId="8" xfId="0" applyFont="1" applyFill="1" applyBorder="1" applyAlignment="1">
      <alignment horizontal="center" vertical="center" wrapText="1"/>
    </xf>
    <xf numFmtId="0" fontId="105" fillId="14" borderId="9" xfId="0" applyFont="1" applyFill="1" applyBorder="1" applyAlignment="1">
      <alignment horizontal="center" vertical="center" wrapText="1"/>
    </xf>
    <xf numFmtId="2" fontId="4" fillId="21" borderId="30" xfId="0" applyNumberFormat="1" applyFont="1" applyFill="1" applyBorder="1" applyAlignment="1">
      <alignment horizontal="center" vertical="center" wrapText="1"/>
    </xf>
    <xf numFmtId="0" fontId="5" fillId="21" borderId="39" xfId="0" applyFont="1" applyFill="1" applyBorder="1" applyAlignment="1">
      <alignment horizontal="center" vertical="center" wrapText="1"/>
    </xf>
    <xf numFmtId="0" fontId="5" fillId="21" borderId="42" xfId="0" applyFont="1" applyFill="1" applyBorder="1" applyAlignment="1">
      <alignment horizontal="center" vertical="center" wrapText="1"/>
    </xf>
    <xf numFmtId="0" fontId="5" fillId="21" borderId="55" xfId="0" applyFont="1" applyFill="1" applyBorder="1" applyAlignment="1">
      <alignment horizontal="center" vertical="center" wrapText="1"/>
    </xf>
    <xf numFmtId="0" fontId="5" fillId="21" borderId="11" xfId="0" applyFont="1" applyFill="1" applyBorder="1" applyAlignment="1">
      <alignment horizontal="center" vertical="center" wrapText="1"/>
    </xf>
    <xf numFmtId="0" fontId="83" fillId="14" borderId="30" xfId="0" applyFont="1" applyFill="1" applyBorder="1" applyAlignment="1">
      <alignment horizontal="center" vertical="center" wrapText="1"/>
    </xf>
    <xf numFmtId="0" fontId="83" fillId="14" borderId="39" xfId="0" applyFont="1" applyFill="1" applyBorder="1" applyAlignment="1">
      <alignment horizontal="center" vertical="center" wrapText="1"/>
    </xf>
    <xf numFmtId="0" fontId="83" fillId="14" borderId="40" xfId="0" applyFont="1" applyFill="1" applyBorder="1" applyAlignment="1">
      <alignment horizontal="center" vertical="center" wrapText="1"/>
    </xf>
    <xf numFmtId="0" fontId="83" fillId="14" borderId="6" xfId="0" applyFont="1" applyFill="1" applyBorder="1" applyAlignment="1">
      <alignment horizontal="center" vertical="center" wrapText="1"/>
    </xf>
    <xf numFmtId="0" fontId="83" fillId="14" borderId="0" xfId="0" applyFont="1" applyFill="1" applyBorder="1" applyAlignment="1">
      <alignment horizontal="center" vertical="center" wrapText="1"/>
    </xf>
    <xf numFmtId="0" fontId="83" fillId="14" borderId="15" xfId="0" applyFont="1" applyFill="1" applyBorder="1" applyAlignment="1">
      <alignment horizontal="center" vertical="center" wrapText="1"/>
    </xf>
    <xf numFmtId="0" fontId="83" fillId="14" borderId="33" xfId="0" applyFont="1" applyFill="1" applyBorder="1" applyAlignment="1">
      <alignment horizontal="center" vertical="center" wrapText="1"/>
    </xf>
    <xf numFmtId="0" fontId="83" fillId="14" borderId="27" xfId="0" applyFont="1" applyFill="1" applyBorder="1" applyAlignment="1">
      <alignment horizontal="center" vertical="center" wrapText="1"/>
    </xf>
    <xf numFmtId="0" fontId="83" fillId="14" borderId="41" xfId="0" applyFont="1" applyFill="1" applyBorder="1" applyAlignment="1">
      <alignment horizontal="center" vertical="center" wrapText="1"/>
    </xf>
    <xf numFmtId="0" fontId="91" fillId="14" borderId="22" xfId="0" applyFont="1" applyFill="1" applyBorder="1" applyAlignment="1">
      <alignment horizontal="center" vertical="center" wrapText="1"/>
    </xf>
    <xf numFmtId="0" fontId="92" fillId="14" borderId="38" xfId="0" applyFont="1" applyFill="1" applyBorder="1" applyAlignment="1">
      <alignment horizontal="center" vertical="center" wrapText="1"/>
    </xf>
    <xf numFmtId="0" fontId="92" fillId="14" borderId="26" xfId="0" applyFont="1" applyFill="1" applyBorder="1" applyAlignment="1">
      <alignment horizontal="center" vertical="center" wrapText="1"/>
    </xf>
    <xf numFmtId="0" fontId="9" fillId="2" borderId="5" xfId="0" applyFont="1" applyFill="1" applyBorder="1" applyAlignment="1">
      <alignment vertical="center"/>
    </xf>
    <xf numFmtId="0" fontId="0" fillId="2" borderId="5" xfId="0" applyFill="1" applyBorder="1" applyAlignment="1">
      <alignment vertical="center"/>
    </xf>
    <xf numFmtId="0" fontId="0" fillId="0" borderId="5" xfId="0" applyBorder="1" applyAlignment="1">
      <alignment vertical="center"/>
    </xf>
    <xf numFmtId="2" fontId="4" fillId="8" borderId="45" xfId="0" applyNumberFormat="1" applyFont="1" applyFill="1" applyBorder="1" applyAlignment="1">
      <alignment horizontal="center" vertical="center"/>
    </xf>
    <xf numFmtId="0" fontId="4" fillId="8" borderId="46" xfId="0" applyFont="1" applyFill="1" applyBorder="1" applyAlignment="1">
      <alignment horizontal="center" vertical="center"/>
    </xf>
    <xf numFmtId="0" fontId="18" fillId="8" borderId="53" xfId="0" applyFont="1" applyFill="1" applyBorder="1" applyAlignment="1">
      <alignment horizontal="center" vertical="center"/>
    </xf>
    <xf numFmtId="0" fontId="82" fillId="5" borderId="0" xfId="2" applyFont="1" applyFill="1" applyBorder="1" applyAlignment="1" applyProtection="1">
      <alignment horizontal="center" vertical="center" wrapText="1"/>
    </xf>
    <xf numFmtId="0" fontId="14" fillId="5" borderId="0" xfId="0" applyFont="1" applyFill="1" applyBorder="1" applyAlignment="1">
      <alignment horizontal="center" vertical="center" wrapText="1"/>
    </xf>
    <xf numFmtId="0" fontId="19" fillId="8" borderId="43" xfId="0" applyFont="1" applyFill="1" applyBorder="1" applyAlignment="1">
      <alignment horizontal="left" vertical="center"/>
    </xf>
    <xf numFmtId="0" fontId="15" fillId="8" borderId="2" xfId="0" applyFont="1" applyFill="1" applyBorder="1" applyAlignment="1">
      <alignment horizontal="left" vertical="center"/>
    </xf>
    <xf numFmtId="0" fontId="15" fillId="8" borderId="4" xfId="0" applyFont="1" applyFill="1" applyBorder="1" applyAlignment="1">
      <alignment horizontal="left" vertical="center"/>
    </xf>
    <xf numFmtId="0" fontId="2" fillId="2" borderId="34" xfId="0" applyFont="1" applyFill="1" applyBorder="1" applyAlignment="1">
      <alignment horizontal="center" vertical="center"/>
    </xf>
    <xf numFmtId="0" fontId="11" fillId="0" borderId="35" xfId="0" applyFont="1" applyBorder="1" applyAlignment="1">
      <alignment horizontal="center" vertical="center"/>
    </xf>
    <xf numFmtId="0" fontId="90" fillId="5" borderId="3" xfId="0" applyFont="1" applyFill="1" applyBorder="1" applyAlignment="1">
      <alignment horizontal="left" wrapText="1"/>
    </xf>
    <xf numFmtId="2" fontId="82" fillId="17" borderId="64" xfId="0" applyNumberFormat="1" applyFont="1" applyFill="1" applyBorder="1" applyAlignment="1">
      <alignment horizontal="center" vertical="center" wrapText="1"/>
    </xf>
    <xf numFmtId="0" fontId="111" fillId="17" borderId="65" xfId="0" applyFont="1" applyFill="1" applyBorder="1" applyAlignment="1">
      <alignment horizontal="center" vertical="center" wrapText="1"/>
    </xf>
    <xf numFmtId="0" fontId="111" fillId="17" borderId="5" xfId="0" applyFont="1" applyFill="1" applyBorder="1" applyAlignment="1">
      <alignment horizontal="center" vertical="center" wrapText="1"/>
    </xf>
    <xf numFmtId="0" fontId="5" fillId="7" borderId="3" xfId="0" applyFont="1" applyFill="1" applyBorder="1" applyAlignment="1"/>
    <xf numFmtId="0" fontId="19" fillId="12" borderId="1" xfId="0" applyFont="1" applyFill="1" applyBorder="1" applyAlignment="1">
      <alignment horizontal="center" vertical="center" wrapText="1"/>
    </xf>
    <xf numFmtId="0" fontId="19" fillId="12" borderId="0" xfId="0" applyFont="1" applyFill="1" applyBorder="1" applyAlignment="1">
      <alignment horizontal="center" vertical="center" wrapText="1"/>
    </xf>
    <xf numFmtId="0" fontId="39" fillId="12" borderId="0" xfId="0" applyFont="1" applyFill="1" applyBorder="1" applyAlignment="1">
      <alignment horizontal="center" vertical="center" wrapText="1"/>
    </xf>
    <xf numFmtId="0" fontId="0" fillId="12" borderId="0" xfId="0" applyFill="1" applyBorder="1" applyAlignment="1">
      <alignment horizontal="center" vertical="center" wrapText="1"/>
    </xf>
    <xf numFmtId="0" fontId="0" fillId="0" borderId="0" xfId="0" applyBorder="1" applyAlignment="1">
      <alignment wrapText="1"/>
    </xf>
    <xf numFmtId="0" fontId="0" fillId="0" borderId="15" xfId="0" applyBorder="1" applyAlignment="1">
      <alignment wrapText="1"/>
    </xf>
    <xf numFmtId="0" fontId="56" fillId="12" borderId="19" xfId="0" applyFont="1" applyFill="1" applyBorder="1" applyAlignment="1">
      <alignment horizontal="center" vertical="center" wrapText="1"/>
    </xf>
    <xf numFmtId="0" fontId="102" fillId="12" borderId="19" xfId="0" applyFont="1" applyFill="1" applyBorder="1" applyAlignment="1">
      <alignment horizontal="center" vertical="center" wrapText="1"/>
    </xf>
    <xf numFmtId="0" fontId="102" fillId="12" borderId="20" xfId="0" applyFont="1" applyFill="1" applyBorder="1" applyAlignment="1">
      <alignment horizontal="center" vertical="center" wrapText="1"/>
    </xf>
    <xf numFmtId="2" fontId="5" fillId="8" borderId="22" xfId="0" applyNumberFormat="1" applyFont="1" applyFill="1" applyBorder="1" applyAlignment="1">
      <alignment wrapText="1"/>
    </xf>
    <xf numFmtId="0" fontId="0" fillId="8" borderId="38" xfId="0" applyFill="1" applyBorder="1" applyAlignment="1">
      <alignment wrapText="1"/>
    </xf>
    <xf numFmtId="0" fontId="0" fillId="8" borderId="26" xfId="0" applyFill="1" applyBorder="1" applyAlignment="1">
      <alignment wrapText="1"/>
    </xf>
    <xf numFmtId="2" fontId="0" fillId="8" borderId="3" xfId="0" applyNumberFormat="1" applyFill="1" applyBorder="1" applyAlignment="1"/>
    <xf numFmtId="2" fontId="0" fillId="5" borderId="3" xfId="0" applyNumberFormat="1" applyFill="1" applyBorder="1" applyAlignment="1"/>
    <xf numFmtId="0" fontId="19" fillId="5" borderId="43" xfId="0" applyFont="1" applyFill="1" applyBorder="1" applyAlignment="1">
      <alignment horizontal="left" vertical="center"/>
    </xf>
    <xf numFmtId="0" fontId="15" fillId="5" borderId="2" xfId="0" applyFont="1" applyFill="1" applyBorder="1" applyAlignment="1">
      <alignment horizontal="left" vertical="center"/>
    </xf>
    <xf numFmtId="0" fontId="15" fillId="5" borderId="4" xfId="0" applyFont="1" applyFill="1" applyBorder="1" applyAlignment="1">
      <alignment horizontal="left" vertical="center"/>
    </xf>
    <xf numFmtId="0" fontId="19" fillId="12" borderId="19" xfId="0" applyFont="1" applyFill="1" applyBorder="1" applyAlignment="1">
      <alignment horizontal="center" vertical="center" wrapText="1"/>
    </xf>
    <xf numFmtId="0" fontId="90" fillId="8" borderId="3" xfId="0" applyFont="1" applyFill="1" applyBorder="1" applyAlignment="1">
      <alignment horizontal="left" wrapText="1"/>
    </xf>
    <xf numFmtId="0" fontId="94" fillId="14" borderId="18" xfId="0" applyFont="1" applyFill="1" applyBorder="1" applyAlignment="1">
      <alignment horizontal="center" vertical="center" wrapText="1"/>
    </xf>
    <xf numFmtId="0" fontId="86" fillId="14" borderId="8" xfId="0" applyFont="1" applyFill="1" applyBorder="1" applyAlignment="1">
      <alignment horizontal="center" vertical="center" wrapText="1"/>
    </xf>
    <xf numFmtId="0" fontId="86" fillId="14" borderId="9" xfId="0" applyFont="1" applyFill="1" applyBorder="1" applyAlignment="1">
      <alignment horizontal="center" vertical="center" wrapText="1"/>
    </xf>
    <xf numFmtId="0" fontId="2" fillId="5" borderId="34" xfId="0" applyFont="1" applyFill="1" applyBorder="1" applyAlignment="1">
      <alignment horizontal="center" vertical="center"/>
    </xf>
    <xf numFmtId="0" fontId="11" fillId="5" borderId="35" xfId="0" applyFont="1" applyFill="1" applyBorder="1" applyAlignment="1">
      <alignment horizontal="center" vertical="center"/>
    </xf>
    <xf numFmtId="0" fontId="82" fillId="19" borderId="5" xfId="0" applyFont="1" applyFill="1" applyBorder="1" applyAlignment="1"/>
    <xf numFmtId="0" fontId="111" fillId="19" borderId="5" xfId="0" applyFont="1" applyFill="1" applyBorder="1" applyAlignment="1"/>
    <xf numFmtId="0" fontId="10" fillId="10" borderId="0" xfId="0" applyFont="1" applyFill="1" applyBorder="1" applyAlignment="1"/>
    <xf numFmtId="0" fontId="10" fillId="10" borderId="0" xfId="0" applyFont="1" applyFill="1" applyAlignment="1"/>
    <xf numFmtId="0" fontId="79" fillId="10" borderId="0" xfId="0" applyFont="1" applyFill="1" applyBorder="1" applyAlignment="1">
      <alignment horizontal="left" vertical="center"/>
    </xf>
    <xf numFmtId="0" fontId="0" fillId="0" borderId="0" xfId="0" applyAlignment="1">
      <alignment vertical="center"/>
    </xf>
    <xf numFmtId="0" fontId="0" fillId="0" borderId="29" xfId="0" applyBorder="1" applyAlignment="1">
      <alignment vertical="center"/>
    </xf>
    <xf numFmtId="0" fontId="26" fillId="10" borderId="0" xfId="0" applyFont="1" applyFill="1" applyBorder="1" applyAlignment="1">
      <alignment wrapText="1"/>
    </xf>
    <xf numFmtId="0" fontId="9" fillId="10" borderId="0" xfId="0" applyFont="1" applyFill="1" applyBorder="1" applyAlignment="1">
      <alignment wrapText="1"/>
    </xf>
    <xf numFmtId="0" fontId="9" fillId="10" borderId="29" xfId="0" applyFont="1" applyFill="1" applyBorder="1" applyAlignment="1">
      <alignment wrapText="1"/>
    </xf>
    <xf numFmtId="2" fontId="5" fillId="0" borderId="3" xfId="0" applyNumberFormat="1" applyFont="1" applyFill="1" applyBorder="1" applyAlignment="1"/>
    <xf numFmtId="0" fontId="0" fillId="0" borderId="3" xfId="0" applyFill="1" applyBorder="1" applyAlignment="1"/>
    <xf numFmtId="2" fontId="5" fillId="0" borderId="3" xfId="0" applyNumberFormat="1" applyFont="1" applyBorder="1" applyAlignment="1"/>
    <xf numFmtId="0" fontId="0" fillId="0" borderId="3" xfId="0" applyBorder="1" applyAlignment="1"/>
    <xf numFmtId="0" fontId="18" fillId="8" borderId="3" xfId="0" applyFont="1" applyFill="1" applyBorder="1" applyAlignment="1">
      <alignment wrapText="1"/>
    </xf>
    <xf numFmtId="2" fontId="17" fillId="5" borderId="13" xfId="0" applyNumberFormat="1" applyFont="1" applyFill="1" applyBorder="1" applyAlignment="1"/>
    <xf numFmtId="0" fontId="70" fillId="13" borderId="38" xfId="0" applyFont="1" applyFill="1" applyBorder="1" applyAlignment="1">
      <alignment horizontal="center" vertical="center" wrapText="1"/>
    </xf>
    <xf numFmtId="0" fontId="70" fillId="13" borderId="26" xfId="0" applyFont="1" applyFill="1" applyBorder="1" applyAlignment="1">
      <alignment horizontal="center" vertical="center" wrapText="1"/>
    </xf>
    <xf numFmtId="0" fontId="70" fillId="13" borderId="1" xfId="0" applyFont="1" applyFill="1" applyBorder="1" applyAlignment="1">
      <alignment horizontal="center" vertical="center" wrapText="1"/>
    </xf>
    <xf numFmtId="0" fontId="70" fillId="13" borderId="0" xfId="0" applyFont="1" applyFill="1" applyAlignment="1">
      <alignment horizontal="center" vertical="center" wrapText="1"/>
    </xf>
    <xf numFmtId="0" fontId="70" fillId="13" borderId="29" xfId="0" applyFont="1" applyFill="1" applyBorder="1" applyAlignment="1">
      <alignment horizontal="center" vertical="center" wrapText="1"/>
    </xf>
    <xf numFmtId="0" fontId="70" fillId="13" borderId="24" xfId="0" applyFont="1" applyFill="1" applyBorder="1" applyAlignment="1">
      <alignment horizontal="center" vertical="center" wrapText="1"/>
    </xf>
    <xf numFmtId="0" fontId="70" fillId="13" borderId="14" xfId="0" applyFont="1" applyFill="1" applyBorder="1" applyAlignment="1">
      <alignment horizontal="center" vertical="center" wrapText="1"/>
    </xf>
    <xf numFmtId="0" fontId="70" fillId="13" borderId="11" xfId="0" applyFont="1" applyFill="1" applyBorder="1" applyAlignment="1">
      <alignment horizontal="center" vertical="center" wrapText="1"/>
    </xf>
    <xf numFmtId="2" fontId="82" fillId="14" borderId="24" xfId="0" applyNumberFormat="1" applyFont="1" applyFill="1" applyBorder="1" applyAlignment="1">
      <alignment horizontal="center" vertical="center"/>
    </xf>
    <xf numFmtId="0" fontId="84" fillId="14" borderId="14" xfId="0" applyFont="1" applyFill="1" applyBorder="1" applyAlignment="1">
      <alignment horizontal="center" vertical="center"/>
    </xf>
    <xf numFmtId="0" fontId="84" fillId="14" borderId="11" xfId="0" applyFont="1" applyFill="1" applyBorder="1" applyAlignment="1">
      <alignment horizontal="center" vertical="center"/>
    </xf>
    <xf numFmtId="0" fontId="0" fillId="5" borderId="7" xfId="0" applyFill="1" applyBorder="1" applyAlignment="1"/>
    <xf numFmtId="0" fontId="1" fillId="5" borderId="5" xfId="0" applyFont="1" applyFill="1" applyBorder="1" applyAlignment="1"/>
    <xf numFmtId="2" fontId="82" fillId="15" borderId="13" xfId="0" applyNumberFormat="1" applyFont="1" applyFill="1" applyBorder="1" applyAlignment="1">
      <alignment horizontal="center" vertical="center"/>
    </xf>
    <xf numFmtId="0" fontId="84" fillId="15" borderId="2" xfId="0" applyFont="1" applyFill="1" applyBorder="1" applyAlignment="1">
      <alignment horizontal="center" vertical="center"/>
    </xf>
    <xf numFmtId="0" fontId="84" fillId="15" borderId="4" xfId="0" applyFont="1" applyFill="1" applyBorder="1" applyAlignment="1">
      <alignment horizontal="center" vertical="center"/>
    </xf>
    <xf numFmtId="0" fontId="1" fillId="8" borderId="3" xfId="0" applyFont="1" applyFill="1" applyBorder="1" applyAlignment="1">
      <alignment wrapText="1"/>
    </xf>
    <xf numFmtId="0" fontId="1" fillId="5" borderId="3" xfId="0" applyFont="1" applyFill="1" applyBorder="1" applyAlignment="1">
      <alignment wrapText="1"/>
    </xf>
    <xf numFmtId="0" fontId="1" fillId="9" borderId="3" xfId="0" applyFont="1" applyFill="1" applyBorder="1" applyAlignment="1"/>
    <xf numFmtId="2" fontId="5" fillId="7" borderId="2" xfId="0" applyNumberFormat="1" applyFont="1" applyFill="1" applyBorder="1" applyAlignment="1">
      <alignment wrapText="1"/>
    </xf>
    <xf numFmtId="2" fontId="5" fillId="7" borderId="4" xfId="0" applyNumberFormat="1" applyFont="1" applyFill="1" applyBorder="1" applyAlignment="1">
      <alignment wrapText="1"/>
    </xf>
    <xf numFmtId="2" fontId="17" fillId="5" borderId="13" xfId="0" applyNumberFormat="1" applyFont="1" applyFill="1" applyBorder="1" applyAlignment="1">
      <alignment wrapText="1"/>
    </xf>
    <xf numFmtId="0" fontId="39" fillId="5" borderId="2" xfId="0" applyFont="1" applyFill="1" applyBorder="1" applyAlignment="1">
      <alignment wrapText="1"/>
    </xf>
    <xf numFmtId="0" fontId="39" fillId="5" borderId="4" xfId="0" applyFont="1" applyFill="1" applyBorder="1" applyAlignment="1">
      <alignment wrapText="1"/>
    </xf>
    <xf numFmtId="2" fontId="5" fillId="8" borderId="5" xfId="0" applyNumberFormat="1" applyFont="1" applyFill="1" applyBorder="1" applyAlignment="1">
      <alignment wrapText="1"/>
    </xf>
    <xf numFmtId="0" fontId="1" fillId="8" borderId="5" xfId="0" applyFont="1" applyFill="1" applyBorder="1" applyAlignment="1">
      <alignment wrapText="1"/>
    </xf>
    <xf numFmtId="2" fontId="5" fillId="8" borderId="7" xfId="0" applyNumberFormat="1" applyFont="1" applyFill="1" applyBorder="1" applyAlignment="1">
      <alignment wrapText="1"/>
    </xf>
    <xf numFmtId="0" fontId="18" fillId="8" borderId="7" xfId="0" applyFont="1" applyFill="1" applyBorder="1" applyAlignment="1">
      <alignment wrapText="1"/>
    </xf>
    <xf numFmtId="0" fontId="5" fillId="7" borderId="19" xfId="0" applyFont="1" applyFill="1" applyBorder="1" applyAlignment="1"/>
    <xf numFmtId="0" fontId="0" fillId="7" borderId="19" xfId="0" applyFill="1" applyBorder="1" applyAlignment="1"/>
    <xf numFmtId="0" fontId="94" fillId="14" borderId="30" xfId="0" applyFont="1" applyFill="1" applyBorder="1" applyAlignment="1">
      <alignment horizontal="center" vertical="center" wrapText="1"/>
    </xf>
    <xf numFmtId="0" fontId="86" fillId="14" borderId="39" xfId="0" applyFont="1" applyFill="1" applyBorder="1" applyAlignment="1">
      <alignment horizontal="center" vertical="center" wrapText="1"/>
    </xf>
    <xf numFmtId="0" fontId="84" fillId="14" borderId="39" xfId="0" applyFont="1" applyFill="1"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2" fontId="5" fillId="9" borderId="13" xfId="0" applyNumberFormat="1" applyFont="1" applyFill="1" applyBorder="1" applyAlignment="1">
      <alignment wrapText="1"/>
    </xf>
    <xf numFmtId="0" fontId="0" fillId="9" borderId="2" xfId="0" applyFill="1" applyBorder="1" applyAlignment="1">
      <alignment wrapText="1"/>
    </xf>
    <xf numFmtId="0" fontId="0" fillId="9" borderId="4" xfId="0" applyFill="1" applyBorder="1" applyAlignment="1">
      <alignment wrapText="1"/>
    </xf>
    <xf numFmtId="0" fontId="18" fillId="8" borderId="2" xfId="0" applyFont="1" applyFill="1" applyBorder="1" applyAlignment="1">
      <alignment wrapText="1"/>
    </xf>
    <xf numFmtId="0" fontId="18" fillId="8" borderId="4" xfId="0" applyFont="1" applyFill="1" applyBorder="1" applyAlignment="1">
      <alignment wrapText="1"/>
    </xf>
    <xf numFmtId="0" fontId="18" fillId="7" borderId="3" xfId="0" applyFont="1" applyFill="1" applyBorder="1" applyAlignment="1"/>
    <xf numFmtId="2" fontId="41" fillId="5" borderId="3" xfId="0" applyNumberFormat="1" applyFont="1" applyFill="1" applyBorder="1" applyAlignment="1">
      <alignment horizontal="center" vertical="center" wrapText="1"/>
    </xf>
    <xf numFmtId="2" fontId="48" fillId="5" borderId="3" xfId="0" applyNumberFormat="1" applyFont="1" applyFill="1" applyBorder="1" applyAlignment="1">
      <alignment horizontal="center" vertical="center" wrapText="1"/>
    </xf>
    <xf numFmtId="0" fontId="65" fillId="5" borderId="3" xfId="0" applyFont="1" applyFill="1" applyBorder="1" applyAlignment="1">
      <alignment horizontal="center" vertical="center" wrapText="1"/>
    </xf>
  </cellXfs>
  <cellStyles count="4">
    <cellStyle name="Euro" xfId="1"/>
    <cellStyle name="Hipervínculo" xfId="2" builtinId="8"/>
    <cellStyle name="Normal" xfId="0" builtinId="0"/>
    <cellStyle name="Porcentaje" xfId="3" builtinId="5"/>
  </cellStyles>
  <dxfs count="0"/>
  <tableStyles count="0" defaultTableStyle="TableStyleMedium9" defaultPivotStyle="PivotStyleLight16"/>
  <colors>
    <mruColors>
      <color rgb="FFFFFF99"/>
      <color rgb="FF007635"/>
      <color rgb="FF008E40"/>
      <color rgb="FFFFFFCC"/>
      <color rgb="FF0054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5.png"/><Relationship Id="rId21" Type="http://schemas.openxmlformats.org/officeDocument/2006/relationships/image" Target="../media/image20.png"/><Relationship Id="rId42" Type="http://schemas.openxmlformats.org/officeDocument/2006/relationships/image" Target="../media/image41.png"/><Relationship Id="rId47" Type="http://schemas.openxmlformats.org/officeDocument/2006/relationships/image" Target="../media/image46.png"/><Relationship Id="rId63" Type="http://schemas.openxmlformats.org/officeDocument/2006/relationships/image" Target="../media/image62.png"/><Relationship Id="rId68" Type="http://schemas.openxmlformats.org/officeDocument/2006/relationships/image" Target="../media/image67.png"/><Relationship Id="rId7" Type="http://schemas.openxmlformats.org/officeDocument/2006/relationships/image" Target="../media/image7.jpeg"/><Relationship Id="rId2" Type="http://schemas.openxmlformats.org/officeDocument/2006/relationships/image" Target="../media/image2.jpeg"/><Relationship Id="rId16" Type="http://schemas.openxmlformats.org/officeDocument/2006/relationships/image" Target="../media/image15.png"/><Relationship Id="rId29" Type="http://schemas.openxmlformats.org/officeDocument/2006/relationships/image" Target="../media/image28.png"/><Relationship Id="rId11" Type="http://schemas.openxmlformats.org/officeDocument/2006/relationships/image" Target="../media/image11.jpeg"/><Relationship Id="rId24" Type="http://schemas.openxmlformats.org/officeDocument/2006/relationships/image" Target="../media/image23.png"/><Relationship Id="rId32" Type="http://schemas.openxmlformats.org/officeDocument/2006/relationships/image" Target="../media/image31.png"/><Relationship Id="rId37" Type="http://schemas.openxmlformats.org/officeDocument/2006/relationships/image" Target="../media/image36.png"/><Relationship Id="rId40" Type="http://schemas.openxmlformats.org/officeDocument/2006/relationships/image" Target="../media/image39.png"/><Relationship Id="rId45" Type="http://schemas.openxmlformats.org/officeDocument/2006/relationships/image" Target="../media/image44.png"/><Relationship Id="rId53" Type="http://schemas.openxmlformats.org/officeDocument/2006/relationships/image" Target="../media/image52.png"/><Relationship Id="rId58" Type="http://schemas.openxmlformats.org/officeDocument/2006/relationships/image" Target="../media/image57.png"/><Relationship Id="rId66" Type="http://schemas.openxmlformats.org/officeDocument/2006/relationships/image" Target="../media/image65.jpeg"/><Relationship Id="rId5" Type="http://schemas.openxmlformats.org/officeDocument/2006/relationships/image" Target="../media/image5.jpeg"/><Relationship Id="rId61" Type="http://schemas.openxmlformats.org/officeDocument/2006/relationships/image" Target="../media/image60.png"/><Relationship Id="rId19" Type="http://schemas.openxmlformats.org/officeDocument/2006/relationships/image" Target="../media/image18.png"/><Relationship Id="rId14" Type="http://schemas.openxmlformats.org/officeDocument/2006/relationships/hyperlink" Target="http://www.jivi.com.ar/home.asp" TargetMode="External"/><Relationship Id="rId22" Type="http://schemas.openxmlformats.org/officeDocument/2006/relationships/image" Target="../media/image21.png"/><Relationship Id="rId27" Type="http://schemas.openxmlformats.org/officeDocument/2006/relationships/image" Target="../media/image26.png"/><Relationship Id="rId30" Type="http://schemas.openxmlformats.org/officeDocument/2006/relationships/image" Target="../media/image29.png"/><Relationship Id="rId35" Type="http://schemas.openxmlformats.org/officeDocument/2006/relationships/image" Target="../media/image34.png"/><Relationship Id="rId43" Type="http://schemas.openxmlformats.org/officeDocument/2006/relationships/image" Target="../media/image42.png"/><Relationship Id="rId48" Type="http://schemas.openxmlformats.org/officeDocument/2006/relationships/image" Target="../media/image47.png"/><Relationship Id="rId56" Type="http://schemas.openxmlformats.org/officeDocument/2006/relationships/image" Target="../media/image55.png"/><Relationship Id="rId64" Type="http://schemas.openxmlformats.org/officeDocument/2006/relationships/image" Target="../media/image63.jpeg"/><Relationship Id="rId69" Type="http://schemas.openxmlformats.org/officeDocument/2006/relationships/image" Target="../media/image68.png"/><Relationship Id="rId8" Type="http://schemas.openxmlformats.org/officeDocument/2006/relationships/image" Target="../media/image8.png"/><Relationship Id="rId51" Type="http://schemas.openxmlformats.org/officeDocument/2006/relationships/image" Target="../media/image50.png"/><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6.png"/><Relationship Id="rId25" Type="http://schemas.openxmlformats.org/officeDocument/2006/relationships/image" Target="../media/image24.png"/><Relationship Id="rId33" Type="http://schemas.openxmlformats.org/officeDocument/2006/relationships/image" Target="../media/image32.png"/><Relationship Id="rId38" Type="http://schemas.openxmlformats.org/officeDocument/2006/relationships/image" Target="../media/image37.png"/><Relationship Id="rId46" Type="http://schemas.openxmlformats.org/officeDocument/2006/relationships/image" Target="../media/image45.png"/><Relationship Id="rId59" Type="http://schemas.openxmlformats.org/officeDocument/2006/relationships/image" Target="../media/image58.png"/><Relationship Id="rId67" Type="http://schemas.openxmlformats.org/officeDocument/2006/relationships/image" Target="../media/image66.png"/><Relationship Id="rId20" Type="http://schemas.openxmlformats.org/officeDocument/2006/relationships/image" Target="../media/image19.png"/><Relationship Id="rId41" Type="http://schemas.openxmlformats.org/officeDocument/2006/relationships/image" Target="../media/image40.png"/><Relationship Id="rId54" Type="http://schemas.openxmlformats.org/officeDocument/2006/relationships/image" Target="../media/image53.png"/><Relationship Id="rId62" Type="http://schemas.openxmlformats.org/officeDocument/2006/relationships/image" Target="../media/image61.png"/><Relationship Id="rId70" Type="http://schemas.openxmlformats.org/officeDocument/2006/relationships/image" Target="../media/image69.png"/><Relationship Id="rId1" Type="http://schemas.openxmlformats.org/officeDocument/2006/relationships/image" Target="../media/image1.jpeg"/><Relationship Id="rId6" Type="http://schemas.openxmlformats.org/officeDocument/2006/relationships/image" Target="../media/image6.jpeg"/><Relationship Id="rId15" Type="http://schemas.openxmlformats.org/officeDocument/2006/relationships/image" Target="../media/image14.png"/><Relationship Id="rId23" Type="http://schemas.openxmlformats.org/officeDocument/2006/relationships/image" Target="../media/image22.png"/><Relationship Id="rId28" Type="http://schemas.openxmlformats.org/officeDocument/2006/relationships/image" Target="../media/image27.png"/><Relationship Id="rId36" Type="http://schemas.openxmlformats.org/officeDocument/2006/relationships/image" Target="../media/image35.png"/><Relationship Id="rId49" Type="http://schemas.openxmlformats.org/officeDocument/2006/relationships/image" Target="../media/image48.png"/><Relationship Id="rId57" Type="http://schemas.openxmlformats.org/officeDocument/2006/relationships/image" Target="../media/image56.png"/><Relationship Id="rId10" Type="http://schemas.openxmlformats.org/officeDocument/2006/relationships/image" Target="../media/image10.jpeg"/><Relationship Id="rId31" Type="http://schemas.openxmlformats.org/officeDocument/2006/relationships/image" Target="../media/image30.png"/><Relationship Id="rId44" Type="http://schemas.openxmlformats.org/officeDocument/2006/relationships/image" Target="../media/image43.png"/><Relationship Id="rId52" Type="http://schemas.openxmlformats.org/officeDocument/2006/relationships/image" Target="../media/image51.jpeg"/><Relationship Id="rId60" Type="http://schemas.openxmlformats.org/officeDocument/2006/relationships/image" Target="../media/image59.png"/><Relationship Id="rId65" Type="http://schemas.openxmlformats.org/officeDocument/2006/relationships/image" Target="../media/image64.png"/><Relationship Id="rId4" Type="http://schemas.openxmlformats.org/officeDocument/2006/relationships/image" Target="../media/image4.jpeg"/><Relationship Id="rId9" Type="http://schemas.openxmlformats.org/officeDocument/2006/relationships/image" Target="../media/image9.jpeg"/><Relationship Id="rId13" Type="http://schemas.openxmlformats.org/officeDocument/2006/relationships/image" Target="../media/image13.jpeg"/><Relationship Id="rId18" Type="http://schemas.openxmlformats.org/officeDocument/2006/relationships/image" Target="../media/image17.png"/><Relationship Id="rId39" Type="http://schemas.openxmlformats.org/officeDocument/2006/relationships/image" Target="../media/image38.png"/><Relationship Id="rId34" Type="http://schemas.openxmlformats.org/officeDocument/2006/relationships/image" Target="../media/image33.png"/><Relationship Id="rId50" Type="http://schemas.openxmlformats.org/officeDocument/2006/relationships/image" Target="../media/image49.png"/><Relationship Id="rId55" Type="http://schemas.openxmlformats.org/officeDocument/2006/relationships/image" Target="../media/image54.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451</xdr:row>
      <xdr:rowOff>28575</xdr:rowOff>
    </xdr:from>
    <xdr:to>
      <xdr:col>0</xdr:col>
      <xdr:colOff>285750</xdr:colOff>
      <xdr:row>451</xdr:row>
      <xdr:rowOff>142875</xdr:rowOff>
    </xdr:to>
    <xdr:pic>
      <xdr:nvPicPr>
        <xdr:cNvPr id="274604" name="Picture 778" descr="remera">
          <a:extLst>
            <a:ext uri="{FF2B5EF4-FFF2-40B4-BE49-F238E27FC236}">
              <a16:creationId xmlns:a16="http://schemas.microsoft.com/office/drawing/2014/main" id="{D0711F10-E0F4-42E2-94AF-DAFB2469B5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82410300"/>
          <a:ext cx="1333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464</xdr:row>
      <xdr:rowOff>0</xdr:rowOff>
    </xdr:from>
    <xdr:to>
      <xdr:col>0</xdr:col>
      <xdr:colOff>285750</xdr:colOff>
      <xdr:row>465</xdr:row>
      <xdr:rowOff>0</xdr:rowOff>
    </xdr:to>
    <xdr:pic>
      <xdr:nvPicPr>
        <xdr:cNvPr id="274605" name="Picture 795" descr="BUZO">
          <a:extLst>
            <a:ext uri="{FF2B5EF4-FFF2-40B4-BE49-F238E27FC236}">
              <a16:creationId xmlns:a16="http://schemas.microsoft.com/office/drawing/2014/main" id="{919C25B2-4A3F-4D83-B17F-3537DFF61D2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 y="86134575"/>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680</xdr:row>
      <xdr:rowOff>28575</xdr:rowOff>
    </xdr:from>
    <xdr:to>
      <xdr:col>1</xdr:col>
      <xdr:colOff>295275</xdr:colOff>
      <xdr:row>680</xdr:row>
      <xdr:rowOff>161925</xdr:rowOff>
    </xdr:to>
    <xdr:pic>
      <xdr:nvPicPr>
        <xdr:cNvPr id="274608" name="Picture 991" descr="100">
          <a:extLst>
            <a:ext uri="{FF2B5EF4-FFF2-40B4-BE49-F238E27FC236}">
              <a16:creationId xmlns:a16="http://schemas.microsoft.com/office/drawing/2014/main" id="{98EC0E31-0DB0-4E85-9616-F03844435E3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123291600"/>
          <a:ext cx="2000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105</xdr:row>
      <xdr:rowOff>19050</xdr:rowOff>
    </xdr:from>
    <xdr:to>
      <xdr:col>0</xdr:col>
      <xdr:colOff>295275</xdr:colOff>
      <xdr:row>105</xdr:row>
      <xdr:rowOff>142875</xdr:rowOff>
    </xdr:to>
    <xdr:pic>
      <xdr:nvPicPr>
        <xdr:cNvPr id="274616" name="Picture 1012" descr="100">
          <a:extLst>
            <a:ext uri="{FF2B5EF4-FFF2-40B4-BE49-F238E27FC236}">
              <a16:creationId xmlns:a16="http://schemas.microsoft.com/office/drawing/2014/main" id="{316D6F31-0731-473B-B30F-5ECF604E0A4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0" y="20316825"/>
          <a:ext cx="2000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678</xdr:row>
      <xdr:rowOff>19050</xdr:rowOff>
    </xdr:from>
    <xdr:to>
      <xdr:col>1</xdr:col>
      <xdr:colOff>180975</xdr:colOff>
      <xdr:row>678</xdr:row>
      <xdr:rowOff>200025</xdr:rowOff>
    </xdr:to>
    <xdr:pic>
      <xdr:nvPicPr>
        <xdr:cNvPr id="274619" name="Picture 826" descr="pesos">
          <a:extLst>
            <a:ext uri="{FF2B5EF4-FFF2-40B4-BE49-F238E27FC236}">
              <a16:creationId xmlns:a16="http://schemas.microsoft.com/office/drawing/2014/main" id="{A0DCA90C-255D-4CAD-B0D7-D2FE35775D7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19100" y="122901075"/>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466</xdr:row>
      <xdr:rowOff>19050</xdr:rowOff>
    </xdr:from>
    <xdr:to>
      <xdr:col>0</xdr:col>
      <xdr:colOff>285750</xdr:colOff>
      <xdr:row>467</xdr:row>
      <xdr:rowOff>19050</xdr:rowOff>
    </xdr:to>
    <xdr:pic>
      <xdr:nvPicPr>
        <xdr:cNvPr id="274620" name="Picture 827" descr="BUZO">
          <a:extLst>
            <a:ext uri="{FF2B5EF4-FFF2-40B4-BE49-F238E27FC236}">
              <a16:creationId xmlns:a16="http://schemas.microsoft.com/office/drawing/2014/main" id="{B6EB355B-B77C-4526-83E2-47B16DECF38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 y="86801325"/>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467</xdr:row>
      <xdr:rowOff>19050</xdr:rowOff>
    </xdr:from>
    <xdr:to>
      <xdr:col>0</xdr:col>
      <xdr:colOff>285750</xdr:colOff>
      <xdr:row>468</xdr:row>
      <xdr:rowOff>0</xdr:rowOff>
    </xdr:to>
    <xdr:pic>
      <xdr:nvPicPr>
        <xdr:cNvPr id="274623" name="Picture 828" descr="BUZO">
          <a:extLst>
            <a:ext uri="{FF2B5EF4-FFF2-40B4-BE49-F238E27FC236}">
              <a16:creationId xmlns:a16="http://schemas.microsoft.com/office/drawing/2014/main" id="{591ECD8A-95AE-4406-BB66-D7430858F76A}"/>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33350" y="86963250"/>
          <a:ext cx="1524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0</xdr:colOff>
      <xdr:row>55</xdr:row>
      <xdr:rowOff>0</xdr:rowOff>
    </xdr:from>
    <xdr:to>
      <xdr:col>4</xdr:col>
      <xdr:colOff>0</xdr:colOff>
      <xdr:row>55</xdr:row>
      <xdr:rowOff>0</xdr:rowOff>
    </xdr:to>
    <xdr:sp macro="" textlink="">
      <xdr:nvSpPr>
        <xdr:cNvPr id="2" name="Text Box 6">
          <a:extLst>
            <a:ext uri="{FF2B5EF4-FFF2-40B4-BE49-F238E27FC236}">
              <a16:creationId xmlns:a16="http://schemas.microsoft.com/office/drawing/2014/main" id="{29FDABAC-772F-4467-AB5C-0546480A5E85}"/>
            </a:ext>
          </a:extLst>
        </xdr:cNvPr>
        <xdr:cNvSpPr txBox="1">
          <a:spLocks noChangeArrowheads="1"/>
        </xdr:cNvSpPr>
      </xdr:nvSpPr>
      <xdr:spPr bwMode="auto">
        <a:xfrm>
          <a:off x="2428875" y="8648700"/>
          <a:ext cx="0" cy="0"/>
        </a:xfrm>
        <a:prstGeom prst="rect">
          <a:avLst/>
        </a:prstGeom>
        <a:solidFill>
          <a:srgbClr val="000000"/>
        </a:solidFill>
        <a:ln w="9525">
          <a:solidFill>
            <a:srgbClr val="000000"/>
          </a:solidFill>
          <a:miter lim="800000"/>
          <a:headEnd/>
          <a:tailEnd/>
        </a:ln>
      </xdr:spPr>
      <xdr:txBody>
        <a:bodyPr vertOverflow="clip" wrap="square" lIns="27432" tIns="18288" rIns="27432" bIns="0" anchor="t" upright="1"/>
        <a:lstStyle/>
        <a:p>
          <a:pPr algn="ctr" rtl="0">
            <a:defRPr sz="1000"/>
          </a:pPr>
          <a:r>
            <a:rPr lang="es-ES" sz="800" b="1" i="0" strike="noStrike">
              <a:solidFill>
                <a:srgbClr val="FFFFFF"/>
              </a:solidFill>
              <a:latin typeface="Verdana"/>
            </a:rPr>
            <a:t>DISCONTINUADO</a:t>
          </a:r>
        </a:p>
        <a:p>
          <a:pPr algn="ctr" rtl="0">
            <a:defRPr sz="1000"/>
          </a:pPr>
          <a:r>
            <a:rPr lang="es-ES" sz="800" b="1" i="0" strike="noStrike">
              <a:solidFill>
                <a:srgbClr val="FFFFFF"/>
              </a:solidFill>
              <a:latin typeface="Verdana"/>
            </a:rPr>
            <a:t>DISCONTINUADO</a:t>
          </a:r>
        </a:p>
      </xdr:txBody>
    </xdr:sp>
    <xdr:clientData/>
  </xdr:twoCellAnchor>
  <xdr:twoCellAnchor editAs="oneCell">
    <xdr:from>
      <xdr:col>0</xdr:col>
      <xdr:colOff>152400</xdr:colOff>
      <xdr:row>452</xdr:row>
      <xdr:rowOff>28575</xdr:rowOff>
    </xdr:from>
    <xdr:to>
      <xdr:col>0</xdr:col>
      <xdr:colOff>285750</xdr:colOff>
      <xdr:row>452</xdr:row>
      <xdr:rowOff>142875</xdr:rowOff>
    </xdr:to>
    <xdr:pic>
      <xdr:nvPicPr>
        <xdr:cNvPr id="274625" name="Picture 777" descr="remera">
          <a:extLst>
            <a:ext uri="{FF2B5EF4-FFF2-40B4-BE49-F238E27FC236}">
              <a16:creationId xmlns:a16="http://schemas.microsoft.com/office/drawing/2014/main" id="{DC57DADB-E4B2-48AB-B18B-031850F801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82562700"/>
          <a:ext cx="1333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466</xdr:row>
      <xdr:rowOff>19050</xdr:rowOff>
    </xdr:from>
    <xdr:to>
      <xdr:col>0</xdr:col>
      <xdr:colOff>285750</xdr:colOff>
      <xdr:row>467</xdr:row>
      <xdr:rowOff>19050</xdr:rowOff>
    </xdr:to>
    <xdr:pic>
      <xdr:nvPicPr>
        <xdr:cNvPr id="274630" name="Picture 827" descr="BUZO">
          <a:extLst>
            <a:ext uri="{FF2B5EF4-FFF2-40B4-BE49-F238E27FC236}">
              <a16:creationId xmlns:a16="http://schemas.microsoft.com/office/drawing/2014/main" id="{8A6C6D46-560E-4BCC-A5C7-485A8929684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 y="86801325"/>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0</xdr:colOff>
      <xdr:row>55</xdr:row>
      <xdr:rowOff>0</xdr:rowOff>
    </xdr:from>
    <xdr:to>
      <xdr:col>4</xdr:col>
      <xdr:colOff>0</xdr:colOff>
      <xdr:row>55</xdr:row>
      <xdr:rowOff>0</xdr:rowOff>
    </xdr:to>
    <xdr:sp macro="" textlink="">
      <xdr:nvSpPr>
        <xdr:cNvPr id="3" name="Text Box 6">
          <a:extLst>
            <a:ext uri="{FF2B5EF4-FFF2-40B4-BE49-F238E27FC236}">
              <a16:creationId xmlns:a16="http://schemas.microsoft.com/office/drawing/2014/main" id="{FD3BE4C5-E8A9-4A11-A5D3-E7634C26396F}"/>
            </a:ext>
          </a:extLst>
        </xdr:cNvPr>
        <xdr:cNvSpPr txBox="1">
          <a:spLocks noChangeArrowheads="1"/>
        </xdr:cNvSpPr>
      </xdr:nvSpPr>
      <xdr:spPr bwMode="auto">
        <a:xfrm>
          <a:off x="2428875" y="8648700"/>
          <a:ext cx="0" cy="0"/>
        </a:xfrm>
        <a:prstGeom prst="rect">
          <a:avLst/>
        </a:prstGeom>
        <a:solidFill>
          <a:srgbClr val="000000"/>
        </a:solidFill>
        <a:ln w="9525">
          <a:solidFill>
            <a:srgbClr val="000000"/>
          </a:solidFill>
          <a:miter lim="800000"/>
          <a:headEnd/>
          <a:tailEnd/>
        </a:ln>
      </xdr:spPr>
      <xdr:txBody>
        <a:bodyPr vertOverflow="clip" wrap="square" lIns="27432" tIns="18288" rIns="27432" bIns="0" anchor="t" upright="1"/>
        <a:lstStyle/>
        <a:p>
          <a:pPr algn="ctr" rtl="0">
            <a:defRPr sz="1000"/>
          </a:pPr>
          <a:r>
            <a:rPr lang="es-ES" sz="800" b="1" i="0" strike="noStrike">
              <a:solidFill>
                <a:srgbClr val="FFFFFF"/>
              </a:solidFill>
              <a:latin typeface="Verdana"/>
            </a:rPr>
            <a:t>DISCONTINUADO</a:t>
          </a:r>
        </a:p>
        <a:p>
          <a:pPr algn="ctr" rtl="0">
            <a:defRPr sz="1000"/>
          </a:pPr>
          <a:r>
            <a:rPr lang="es-ES" sz="800" b="1" i="0" strike="noStrike">
              <a:solidFill>
                <a:srgbClr val="FFFFFF"/>
              </a:solidFill>
              <a:latin typeface="Verdana"/>
            </a:rPr>
            <a:t>DISCONTINUADO</a:t>
          </a:r>
        </a:p>
      </xdr:txBody>
    </xdr:sp>
    <xdr:clientData/>
  </xdr:twoCellAnchor>
  <xdr:twoCellAnchor>
    <xdr:from>
      <xdr:col>4</xdr:col>
      <xdr:colOff>0</xdr:colOff>
      <xdr:row>55</xdr:row>
      <xdr:rowOff>0</xdr:rowOff>
    </xdr:from>
    <xdr:to>
      <xdr:col>4</xdr:col>
      <xdr:colOff>0</xdr:colOff>
      <xdr:row>55</xdr:row>
      <xdr:rowOff>0</xdr:rowOff>
    </xdr:to>
    <xdr:sp macro="" textlink="">
      <xdr:nvSpPr>
        <xdr:cNvPr id="4" name="Text Box 6">
          <a:extLst>
            <a:ext uri="{FF2B5EF4-FFF2-40B4-BE49-F238E27FC236}">
              <a16:creationId xmlns:a16="http://schemas.microsoft.com/office/drawing/2014/main" id="{C02D90C1-0AA6-46CF-8BF7-C06D8838A382}"/>
            </a:ext>
          </a:extLst>
        </xdr:cNvPr>
        <xdr:cNvSpPr txBox="1">
          <a:spLocks noChangeArrowheads="1"/>
        </xdr:cNvSpPr>
      </xdr:nvSpPr>
      <xdr:spPr bwMode="auto">
        <a:xfrm>
          <a:off x="2428875" y="8648700"/>
          <a:ext cx="0" cy="0"/>
        </a:xfrm>
        <a:prstGeom prst="rect">
          <a:avLst/>
        </a:prstGeom>
        <a:solidFill>
          <a:srgbClr val="000000"/>
        </a:solidFill>
        <a:ln w="9525">
          <a:solidFill>
            <a:srgbClr val="000000"/>
          </a:solidFill>
          <a:miter lim="800000"/>
          <a:headEnd/>
          <a:tailEnd/>
        </a:ln>
      </xdr:spPr>
      <xdr:txBody>
        <a:bodyPr vertOverflow="clip" wrap="square" lIns="27432" tIns="18288" rIns="27432" bIns="0" anchor="t" upright="1"/>
        <a:lstStyle/>
        <a:p>
          <a:pPr algn="ctr" rtl="0">
            <a:defRPr sz="1000"/>
          </a:pPr>
          <a:r>
            <a:rPr lang="es-ES" sz="800" b="1" i="0" strike="noStrike">
              <a:solidFill>
                <a:srgbClr val="FFFFFF"/>
              </a:solidFill>
              <a:latin typeface="Verdana"/>
            </a:rPr>
            <a:t>DISCONTINUADO</a:t>
          </a:r>
        </a:p>
        <a:p>
          <a:pPr algn="ctr" rtl="0">
            <a:defRPr sz="1000"/>
          </a:pPr>
          <a:r>
            <a:rPr lang="es-ES" sz="800" b="1" i="0" strike="noStrike">
              <a:solidFill>
                <a:srgbClr val="FFFFFF"/>
              </a:solidFill>
              <a:latin typeface="Verdana"/>
            </a:rPr>
            <a:t>DISCONTINUADO</a:t>
          </a:r>
        </a:p>
      </xdr:txBody>
    </xdr:sp>
    <xdr:clientData/>
  </xdr:twoCellAnchor>
  <xdr:twoCellAnchor editAs="oneCell">
    <xdr:from>
      <xdr:col>0</xdr:col>
      <xdr:colOff>133350</xdr:colOff>
      <xdr:row>466</xdr:row>
      <xdr:rowOff>19050</xdr:rowOff>
    </xdr:from>
    <xdr:to>
      <xdr:col>0</xdr:col>
      <xdr:colOff>285750</xdr:colOff>
      <xdr:row>467</xdr:row>
      <xdr:rowOff>19050</xdr:rowOff>
    </xdr:to>
    <xdr:pic>
      <xdr:nvPicPr>
        <xdr:cNvPr id="274634" name="Picture 827" descr="BUZO">
          <a:extLst>
            <a:ext uri="{FF2B5EF4-FFF2-40B4-BE49-F238E27FC236}">
              <a16:creationId xmlns:a16="http://schemas.microsoft.com/office/drawing/2014/main" id="{C8A4B7D2-8FB8-4E67-94A7-ACF0176F624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 y="86801325"/>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467</xdr:row>
      <xdr:rowOff>19050</xdr:rowOff>
    </xdr:from>
    <xdr:to>
      <xdr:col>0</xdr:col>
      <xdr:colOff>285750</xdr:colOff>
      <xdr:row>468</xdr:row>
      <xdr:rowOff>0</xdr:rowOff>
    </xdr:to>
    <xdr:pic>
      <xdr:nvPicPr>
        <xdr:cNvPr id="274635" name="Picture 828" descr="BUZO">
          <a:extLst>
            <a:ext uri="{FF2B5EF4-FFF2-40B4-BE49-F238E27FC236}">
              <a16:creationId xmlns:a16="http://schemas.microsoft.com/office/drawing/2014/main" id="{9FE5078C-5AC1-445C-8844-3AD847001361}"/>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33350" y="86963250"/>
          <a:ext cx="1524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0</xdr:colOff>
      <xdr:row>55</xdr:row>
      <xdr:rowOff>0</xdr:rowOff>
    </xdr:from>
    <xdr:to>
      <xdr:col>4</xdr:col>
      <xdr:colOff>0</xdr:colOff>
      <xdr:row>55</xdr:row>
      <xdr:rowOff>0</xdr:rowOff>
    </xdr:to>
    <xdr:sp macro="" textlink="">
      <xdr:nvSpPr>
        <xdr:cNvPr id="5" name="Text Box 6">
          <a:extLst>
            <a:ext uri="{FF2B5EF4-FFF2-40B4-BE49-F238E27FC236}">
              <a16:creationId xmlns:a16="http://schemas.microsoft.com/office/drawing/2014/main" id="{DD2B9736-D220-4579-B578-63C0566A33B9}"/>
            </a:ext>
          </a:extLst>
        </xdr:cNvPr>
        <xdr:cNvSpPr txBox="1">
          <a:spLocks noChangeArrowheads="1"/>
        </xdr:cNvSpPr>
      </xdr:nvSpPr>
      <xdr:spPr bwMode="auto">
        <a:xfrm>
          <a:off x="2428875" y="8648700"/>
          <a:ext cx="0" cy="0"/>
        </a:xfrm>
        <a:prstGeom prst="rect">
          <a:avLst/>
        </a:prstGeom>
        <a:solidFill>
          <a:srgbClr val="000000"/>
        </a:solidFill>
        <a:ln w="9525">
          <a:solidFill>
            <a:srgbClr val="000000"/>
          </a:solidFill>
          <a:miter lim="800000"/>
          <a:headEnd/>
          <a:tailEnd/>
        </a:ln>
      </xdr:spPr>
      <xdr:txBody>
        <a:bodyPr vertOverflow="clip" wrap="square" lIns="27432" tIns="18288" rIns="27432" bIns="0" anchor="t" upright="1"/>
        <a:lstStyle/>
        <a:p>
          <a:pPr algn="ctr" rtl="0">
            <a:defRPr sz="1000"/>
          </a:pPr>
          <a:r>
            <a:rPr lang="es-ES" sz="800" b="1" i="0" strike="noStrike">
              <a:solidFill>
                <a:srgbClr val="FFFFFF"/>
              </a:solidFill>
              <a:latin typeface="Verdana"/>
            </a:rPr>
            <a:t>DISCONTINUADO</a:t>
          </a:r>
        </a:p>
        <a:p>
          <a:pPr algn="ctr" rtl="0">
            <a:defRPr sz="1000"/>
          </a:pPr>
          <a:r>
            <a:rPr lang="es-ES" sz="800" b="1" i="0" strike="noStrike">
              <a:solidFill>
                <a:srgbClr val="FFFFFF"/>
              </a:solidFill>
              <a:latin typeface="Verdana"/>
            </a:rPr>
            <a:t>DISCONTINUADO</a:t>
          </a:r>
        </a:p>
      </xdr:txBody>
    </xdr:sp>
    <xdr:clientData/>
  </xdr:twoCellAnchor>
  <xdr:twoCellAnchor>
    <xdr:from>
      <xdr:col>4</xdr:col>
      <xdr:colOff>0</xdr:colOff>
      <xdr:row>55</xdr:row>
      <xdr:rowOff>0</xdr:rowOff>
    </xdr:from>
    <xdr:to>
      <xdr:col>4</xdr:col>
      <xdr:colOff>0</xdr:colOff>
      <xdr:row>55</xdr:row>
      <xdr:rowOff>0</xdr:rowOff>
    </xdr:to>
    <xdr:sp macro="" textlink="">
      <xdr:nvSpPr>
        <xdr:cNvPr id="6" name="Text Box 6">
          <a:extLst>
            <a:ext uri="{FF2B5EF4-FFF2-40B4-BE49-F238E27FC236}">
              <a16:creationId xmlns:a16="http://schemas.microsoft.com/office/drawing/2014/main" id="{BC7AA8ED-57DB-4451-B324-0A5E6C775AF2}"/>
            </a:ext>
          </a:extLst>
        </xdr:cNvPr>
        <xdr:cNvSpPr txBox="1">
          <a:spLocks noChangeArrowheads="1"/>
        </xdr:cNvSpPr>
      </xdr:nvSpPr>
      <xdr:spPr bwMode="auto">
        <a:xfrm>
          <a:off x="2428875" y="8648700"/>
          <a:ext cx="0" cy="0"/>
        </a:xfrm>
        <a:prstGeom prst="rect">
          <a:avLst/>
        </a:prstGeom>
        <a:solidFill>
          <a:srgbClr val="000000"/>
        </a:solidFill>
        <a:ln w="9525">
          <a:solidFill>
            <a:srgbClr val="000000"/>
          </a:solidFill>
          <a:miter lim="800000"/>
          <a:headEnd/>
          <a:tailEnd/>
        </a:ln>
      </xdr:spPr>
      <xdr:txBody>
        <a:bodyPr vertOverflow="clip" wrap="square" lIns="27432" tIns="18288" rIns="27432" bIns="0" anchor="t" upright="1"/>
        <a:lstStyle/>
        <a:p>
          <a:pPr algn="ctr" rtl="0">
            <a:defRPr sz="1000"/>
          </a:pPr>
          <a:r>
            <a:rPr lang="es-ES" sz="800" b="1" i="0" strike="noStrike">
              <a:solidFill>
                <a:srgbClr val="FFFFFF"/>
              </a:solidFill>
              <a:latin typeface="Verdana"/>
            </a:rPr>
            <a:t>DISCONTINUADO</a:t>
          </a:r>
        </a:p>
        <a:p>
          <a:pPr algn="ctr" rtl="0">
            <a:defRPr sz="1000"/>
          </a:pPr>
          <a:r>
            <a:rPr lang="es-ES" sz="800" b="1" i="0" strike="noStrike">
              <a:solidFill>
                <a:srgbClr val="FFFFFF"/>
              </a:solidFill>
              <a:latin typeface="Verdana"/>
            </a:rPr>
            <a:t>DISCONTINUADO</a:t>
          </a:r>
        </a:p>
      </xdr:txBody>
    </xdr:sp>
    <xdr:clientData/>
  </xdr:twoCellAnchor>
  <xdr:twoCellAnchor>
    <xdr:from>
      <xdr:col>4</xdr:col>
      <xdr:colOff>0</xdr:colOff>
      <xdr:row>55</xdr:row>
      <xdr:rowOff>0</xdr:rowOff>
    </xdr:from>
    <xdr:to>
      <xdr:col>4</xdr:col>
      <xdr:colOff>0</xdr:colOff>
      <xdr:row>55</xdr:row>
      <xdr:rowOff>0</xdr:rowOff>
    </xdr:to>
    <xdr:sp macro="" textlink="">
      <xdr:nvSpPr>
        <xdr:cNvPr id="7" name="Text Box 6">
          <a:extLst>
            <a:ext uri="{FF2B5EF4-FFF2-40B4-BE49-F238E27FC236}">
              <a16:creationId xmlns:a16="http://schemas.microsoft.com/office/drawing/2014/main" id="{D0706055-6226-4FD8-B354-EFD44421B761}"/>
            </a:ext>
          </a:extLst>
        </xdr:cNvPr>
        <xdr:cNvSpPr txBox="1">
          <a:spLocks noChangeArrowheads="1"/>
        </xdr:cNvSpPr>
      </xdr:nvSpPr>
      <xdr:spPr bwMode="auto">
        <a:xfrm>
          <a:off x="2428875" y="8648700"/>
          <a:ext cx="0" cy="0"/>
        </a:xfrm>
        <a:prstGeom prst="rect">
          <a:avLst/>
        </a:prstGeom>
        <a:solidFill>
          <a:srgbClr val="000000"/>
        </a:solidFill>
        <a:ln w="9525">
          <a:solidFill>
            <a:srgbClr val="000000"/>
          </a:solidFill>
          <a:miter lim="800000"/>
          <a:headEnd/>
          <a:tailEnd/>
        </a:ln>
      </xdr:spPr>
      <xdr:txBody>
        <a:bodyPr vertOverflow="clip" wrap="square" lIns="27432" tIns="18288" rIns="27432" bIns="0" anchor="t" upright="1"/>
        <a:lstStyle/>
        <a:p>
          <a:pPr algn="ctr" rtl="0">
            <a:defRPr sz="1000"/>
          </a:pPr>
          <a:r>
            <a:rPr lang="es-ES" sz="800" b="1" i="0" strike="noStrike">
              <a:solidFill>
                <a:srgbClr val="FFFFFF"/>
              </a:solidFill>
              <a:latin typeface="Verdana"/>
            </a:rPr>
            <a:t>DISCONTINUADO</a:t>
          </a:r>
        </a:p>
        <a:p>
          <a:pPr algn="ctr" rtl="0">
            <a:defRPr sz="1000"/>
          </a:pPr>
          <a:r>
            <a:rPr lang="es-ES" sz="800" b="1" i="0" strike="noStrike">
              <a:solidFill>
                <a:srgbClr val="FFFFFF"/>
              </a:solidFill>
              <a:latin typeface="Verdana"/>
            </a:rPr>
            <a:t>DISCONTINUADO</a:t>
          </a:r>
        </a:p>
      </xdr:txBody>
    </xdr:sp>
    <xdr:clientData/>
  </xdr:twoCellAnchor>
  <xdr:twoCellAnchor editAs="oneCell">
    <xdr:from>
      <xdr:col>0</xdr:col>
      <xdr:colOff>152400</xdr:colOff>
      <xdr:row>455</xdr:row>
      <xdr:rowOff>19050</xdr:rowOff>
    </xdr:from>
    <xdr:to>
      <xdr:col>0</xdr:col>
      <xdr:colOff>285750</xdr:colOff>
      <xdr:row>455</xdr:row>
      <xdr:rowOff>133350</xdr:rowOff>
    </xdr:to>
    <xdr:pic>
      <xdr:nvPicPr>
        <xdr:cNvPr id="274644" name="Picture 780" descr="remera">
          <a:extLst>
            <a:ext uri="{FF2B5EF4-FFF2-40B4-BE49-F238E27FC236}">
              <a16:creationId xmlns:a16="http://schemas.microsoft.com/office/drawing/2014/main" id="{A65F5A4A-E7D8-4022-B219-94B1C4B8BD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8790800"/>
          <a:ext cx="1333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152400</xdr:colOff>
      <xdr:row>456</xdr:row>
      <xdr:rowOff>19050</xdr:rowOff>
    </xdr:from>
    <xdr:to>
      <xdr:col>0</xdr:col>
      <xdr:colOff>285750</xdr:colOff>
      <xdr:row>456</xdr:row>
      <xdr:rowOff>133350</xdr:rowOff>
    </xdr:to>
    <xdr:pic>
      <xdr:nvPicPr>
        <xdr:cNvPr id="274646" name="Picture 780" descr="remera">
          <a:extLst>
            <a:ext uri="{FF2B5EF4-FFF2-40B4-BE49-F238E27FC236}">
              <a16:creationId xmlns:a16="http://schemas.microsoft.com/office/drawing/2014/main" id="{362DDA20-85DE-4BB9-A58B-0F91B13572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8943200"/>
          <a:ext cx="1333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152400</xdr:colOff>
      <xdr:row>454</xdr:row>
      <xdr:rowOff>28575</xdr:rowOff>
    </xdr:from>
    <xdr:to>
      <xdr:col>0</xdr:col>
      <xdr:colOff>285750</xdr:colOff>
      <xdr:row>454</xdr:row>
      <xdr:rowOff>142875</xdr:rowOff>
    </xdr:to>
    <xdr:pic>
      <xdr:nvPicPr>
        <xdr:cNvPr id="274652" name="Picture 776" descr="remera">
          <a:extLst>
            <a:ext uri="{FF2B5EF4-FFF2-40B4-BE49-F238E27FC236}">
              <a16:creationId xmlns:a16="http://schemas.microsoft.com/office/drawing/2014/main" id="{E78BA3FD-F962-4E37-908B-39BD627380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82867500"/>
          <a:ext cx="1333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685800</xdr:colOff>
      <xdr:row>659</xdr:row>
      <xdr:rowOff>19050</xdr:rowOff>
    </xdr:from>
    <xdr:to>
      <xdr:col>1</xdr:col>
      <xdr:colOff>866775</xdr:colOff>
      <xdr:row>660</xdr:row>
      <xdr:rowOff>47625</xdr:rowOff>
    </xdr:to>
    <xdr:pic>
      <xdr:nvPicPr>
        <xdr:cNvPr id="274653" name="Picture 1165" descr="BUZO">
          <a:extLst>
            <a:ext uri="{FF2B5EF4-FFF2-40B4-BE49-F238E27FC236}">
              <a16:creationId xmlns:a16="http://schemas.microsoft.com/office/drawing/2014/main" id="{7C60CB66-08D0-4691-981B-16D30C6431C9}"/>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115166775"/>
          <a:ext cx="1809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0</xdr:row>
      <xdr:rowOff>28575</xdr:rowOff>
    </xdr:from>
    <xdr:to>
      <xdr:col>24</xdr:col>
      <xdr:colOff>219075</xdr:colOff>
      <xdr:row>1</xdr:row>
      <xdr:rowOff>38100</xdr:rowOff>
    </xdr:to>
    <xdr:pic>
      <xdr:nvPicPr>
        <xdr:cNvPr id="274655" name="329 Imagen" descr="flechita-verde.png">
          <a:extLst>
            <a:ext uri="{FF2B5EF4-FFF2-40B4-BE49-F238E27FC236}">
              <a16:creationId xmlns:a16="http://schemas.microsoft.com/office/drawing/2014/main" id="{2C4A5E53-2999-4917-8D83-0DCED67D132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8086725" y="2857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638175</xdr:colOff>
      <xdr:row>660</xdr:row>
      <xdr:rowOff>95250</xdr:rowOff>
    </xdr:from>
    <xdr:to>
      <xdr:col>1</xdr:col>
      <xdr:colOff>904875</xdr:colOff>
      <xdr:row>661</xdr:row>
      <xdr:rowOff>133350</xdr:rowOff>
    </xdr:to>
    <xdr:pic>
      <xdr:nvPicPr>
        <xdr:cNvPr id="274656" name="Picture 1168" descr="remera">
          <a:extLst>
            <a:ext uri="{FF2B5EF4-FFF2-40B4-BE49-F238E27FC236}">
              <a16:creationId xmlns:a16="http://schemas.microsoft.com/office/drawing/2014/main" id="{115E9A9B-0E8A-40FF-99CE-410489186A1E}"/>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81075" y="97469325"/>
          <a:ext cx="2667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285750</xdr:colOff>
      <xdr:row>660</xdr:row>
      <xdr:rowOff>85725</xdr:rowOff>
    </xdr:from>
    <xdr:to>
      <xdr:col>1</xdr:col>
      <xdr:colOff>590550</xdr:colOff>
      <xdr:row>661</xdr:row>
      <xdr:rowOff>133350</xdr:rowOff>
    </xdr:to>
    <xdr:pic>
      <xdr:nvPicPr>
        <xdr:cNvPr id="274657" name="Picture 1169" descr="BUZO">
          <a:extLst>
            <a:ext uri="{FF2B5EF4-FFF2-40B4-BE49-F238E27FC236}">
              <a16:creationId xmlns:a16="http://schemas.microsoft.com/office/drawing/2014/main" id="{A49FAA71-9124-4BE8-BCE4-B14E8D0211A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28650" y="97459800"/>
          <a:ext cx="3048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37</xdr:col>
      <xdr:colOff>466725</xdr:colOff>
      <xdr:row>119</xdr:row>
      <xdr:rowOff>0</xdr:rowOff>
    </xdr:from>
    <xdr:to>
      <xdr:col>38</xdr:col>
      <xdr:colOff>371475</xdr:colOff>
      <xdr:row>122</xdr:row>
      <xdr:rowOff>0</xdr:rowOff>
    </xdr:to>
    <xdr:sp macro="" textlink="">
      <xdr:nvSpPr>
        <xdr:cNvPr id="274658" name="Text Box 593666">
          <a:extLst>
            <a:ext uri="{FF2B5EF4-FFF2-40B4-BE49-F238E27FC236}">
              <a16:creationId xmlns:a16="http://schemas.microsoft.com/office/drawing/2014/main" id="{8685D1C6-B6BD-41E6-8669-8C09271A56BA}"/>
            </a:ext>
          </a:extLst>
        </xdr:cNvPr>
        <xdr:cNvSpPr txBox="1">
          <a:spLocks noChangeArrowheads="1"/>
        </xdr:cNvSpPr>
      </xdr:nvSpPr>
      <xdr:spPr bwMode="auto">
        <a:xfrm>
          <a:off x="14087475" y="23040975"/>
          <a:ext cx="666750" cy="91440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95250</xdr:colOff>
      <xdr:row>110</xdr:row>
      <xdr:rowOff>28575</xdr:rowOff>
    </xdr:from>
    <xdr:to>
      <xdr:col>0</xdr:col>
      <xdr:colOff>295275</xdr:colOff>
      <xdr:row>110</xdr:row>
      <xdr:rowOff>149086</xdr:rowOff>
    </xdr:to>
    <xdr:pic>
      <xdr:nvPicPr>
        <xdr:cNvPr id="274659" name="304 Imagen" descr="200.jpg">
          <a:extLst>
            <a:ext uri="{FF2B5EF4-FFF2-40B4-BE49-F238E27FC236}">
              <a16:creationId xmlns:a16="http://schemas.microsoft.com/office/drawing/2014/main" id="{6464C38E-BCF6-4AE4-B260-85FEF17CCE4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5250" y="21393150"/>
          <a:ext cx="2000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111</xdr:row>
      <xdr:rowOff>28575</xdr:rowOff>
    </xdr:from>
    <xdr:to>
      <xdr:col>0</xdr:col>
      <xdr:colOff>295275</xdr:colOff>
      <xdr:row>112</xdr:row>
      <xdr:rowOff>0</xdr:rowOff>
    </xdr:to>
    <xdr:pic>
      <xdr:nvPicPr>
        <xdr:cNvPr id="274660" name="305 Imagen" descr="200.jpg">
          <a:extLst>
            <a:ext uri="{FF2B5EF4-FFF2-40B4-BE49-F238E27FC236}">
              <a16:creationId xmlns:a16="http://schemas.microsoft.com/office/drawing/2014/main" id="{B61F24E9-DA96-4CFA-8131-20F89E5B66D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5250" y="21545550"/>
          <a:ext cx="2000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64</xdr:row>
      <xdr:rowOff>19050</xdr:rowOff>
    </xdr:from>
    <xdr:to>
      <xdr:col>0</xdr:col>
      <xdr:colOff>295275</xdr:colOff>
      <xdr:row>64</xdr:row>
      <xdr:rowOff>142875</xdr:rowOff>
    </xdr:to>
    <xdr:pic>
      <xdr:nvPicPr>
        <xdr:cNvPr id="274665" name="Picture 1006" descr="100">
          <a:extLst>
            <a:ext uri="{FF2B5EF4-FFF2-40B4-BE49-F238E27FC236}">
              <a16:creationId xmlns:a16="http://schemas.microsoft.com/office/drawing/2014/main" id="{F3E195D8-D2A6-466B-A1F5-CF5010ECDD2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0" y="13458825"/>
          <a:ext cx="2000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84</xdr:row>
      <xdr:rowOff>28575</xdr:rowOff>
    </xdr:from>
    <xdr:to>
      <xdr:col>1</xdr:col>
      <xdr:colOff>9525</xdr:colOff>
      <xdr:row>84</xdr:row>
      <xdr:rowOff>142875</xdr:rowOff>
    </xdr:to>
    <xdr:pic>
      <xdr:nvPicPr>
        <xdr:cNvPr id="274666" name="205 Imagen" descr="premium.jpg">
          <a:extLst>
            <a:ext uri="{FF2B5EF4-FFF2-40B4-BE49-F238E27FC236}">
              <a16:creationId xmlns:a16="http://schemas.microsoft.com/office/drawing/2014/main" id="{3AC1E528-8588-4F61-ACBF-4D87A038F318}"/>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9525" y="16363950"/>
          <a:ext cx="3429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85</xdr:row>
      <xdr:rowOff>28575</xdr:rowOff>
    </xdr:from>
    <xdr:to>
      <xdr:col>1</xdr:col>
      <xdr:colOff>9525</xdr:colOff>
      <xdr:row>85</xdr:row>
      <xdr:rowOff>142875</xdr:rowOff>
    </xdr:to>
    <xdr:pic>
      <xdr:nvPicPr>
        <xdr:cNvPr id="274667" name="206 Imagen" descr="premium.jpg">
          <a:extLst>
            <a:ext uri="{FF2B5EF4-FFF2-40B4-BE49-F238E27FC236}">
              <a16:creationId xmlns:a16="http://schemas.microsoft.com/office/drawing/2014/main" id="{BAB6762A-76E0-45B9-8504-EA71F4FBF333}"/>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9525" y="16516350"/>
          <a:ext cx="3429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86</xdr:row>
      <xdr:rowOff>28575</xdr:rowOff>
    </xdr:from>
    <xdr:to>
      <xdr:col>1</xdr:col>
      <xdr:colOff>9525</xdr:colOff>
      <xdr:row>86</xdr:row>
      <xdr:rowOff>142875</xdr:rowOff>
    </xdr:to>
    <xdr:pic>
      <xdr:nvPicPr>
        <xdr:cNvPr id="274668" name="207 Imagen" descr="premium.jpg">
          <a:extLst>
            <a:ext uri="{FF2B5EF4-FFF2-40B4-BE49-F238E27FC236}">
              <a16:creationId xmlns:a16="http://schemas.microsoft.com/office/drawing/2014/main" id="{5D572C1B-8C02-4C83-842A-E0B57180CE71}"/>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9525" y="16668750"/>
          <a:ext cx="3429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50</xdr:row>
      <xdr:rowOff>28575</xdr:rowOff>
    </xdr:from>
    <xdr:to>
      <xdr:col>1</xdr:col>
      <xdr:colOff>0</xdr:colOff>
      <xdr:row>50</xdr:row>
      <xdr:rowOff>142875</xdr:rowOff>
    </xdr:to>
    <xdr:pic>
      <xdr:nvPicPr>
        <xdr:cNvPr id="274669" name="209 Imagen" descr="premium.jpg">
          <a:extLst>
            <a:ext uri="{FF2B5EF4-FFF2-40B4-BE49-F238E27FC236}">
              <a16:creationId xmlns:a16="http://schemas.microsoft.com/office/drawing/2014/main" id="{A6D64656-A29C-4460-9206-993A7E1AA215}"/>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9305925"/>
          <a:ext cx="3429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80</xdr:row>
      <xdr:rowOff>28575</xdr:rowOff>
    </xdr:from>
    <xdr:to>
      <xdr:col>1</xdr:col>
      <xdr:colOff>9525</xdr:colOff>
      <xdr:row>80</xdr:row>
      <xdr:rowOff>142875</xdr:rowOff>
    </xdr:to>
    <xdr:pic>
      <xdr:nvPicPr>
        <xdr:cNvPr id="274678" name="201 Imagen" descr="premium.jpg">
          <a:extLst>
            <a:ext uri="{FF2B5EF4-FFF2-40B4-BE49-F238E27FC236}">
              <a16:creationId xmlns:a16="http://schemas.microsoft.com/office/drawing/2014/main" id="{568F369B-E9BF-43CE-828B-09407B8F307A}"/>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9525" y="15754350"/>
          <a:ext cx="3429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81</xdr:row>
      <xdr:rowOff>28575</xdr:rowOff>
    </xdr:from>
    <xdr:to>
      <xdr:col>1</xdr:col>
      <xdr:colOff>9525</xdr:colOff>
      <xdr:row>81</xdr:row>
      <xdr:rowOff>142875</xdr:rowOff>
    </xdr:to>
    <xdr:pic>
      <xdr:nvPicPr>
        <xdr:cNvPr id="274679" name="202 Imagen" descr="premium.jpg">
          <a:extLst>
            <a:ext uri="{FF2B5EF4-FFF2-40B4-BE49-F238E27FC236}">
              <a16:creationId xmlns:a16="http://schemas.microsoft.com/office/drawing/2014/main" id="{2851FA39-9B35-4818-893E-77D2C0A81C74}"/>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9525" y="15906750"/>
          <a:ext cx="3429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685800</xdr:colOff>
      <xdr:row>658</xdr:row>
      <xdr:rowOff>0</xdr:rowOff>
    </xdr:from>
    <xdr:to>
      <xdr:col>1</xdr:col>
      <xdr:colOff>876300</xdr:colOff>
      <xdr:row>659</xdr:row>
      <xdr:rowOff>28576</xdr:rowOff>
    </xdr:to>
    <xdr:pic>
      <xdr:nvPicPr>
        <xdr:cNvPr id="274687" name="Picture 801" descr="remera">
          <a:extLst>
            <a:ext uri="{FF2B5EF4-FFF2-40B4-BE49-F238E27FC236}">
              <a16:creationId xmlns:a16="http://schemas.microsoft.com/office/drawing/2014/main" id="{D65C7FE4-F57E-455D-BFE9-5E797C021D8B}"/>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028700" y="114966750"/>
          <a:ext cx="1905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xdr:colOff>
      <xdr:row>668</xdr:row>
      <xdr:rowOff>76200</xdr:rowOff>
    </xdr:from>
    <xdr:to>
      <xdr:col>8</xdr:col>
      <xdr:colOff>353861</xdr:colOff>
      <xdr:row>674</xdr:row>
      <xdr:rowOff>85725</xdr:rowOff>
    </xdr:to>
    <xdr:pic>
      <xdr:nvPicPr>
        <xdr:cNvPr id="274694" name="Picture 1118" descr="Llaveros_de_Goma_Eva">
          <a:extLst>
            <a:ext uri="{FF2B5EF4-FFF2-40B4-BE49-F238E27FC236}">
              <a16:creationId xmlns:a16="http://schemas.microsoft.com/office/drawing/2014/main" id="{4E32BDB5-59DE-4E7E-A452-B84DAC8B99F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304925" y="120329325"/>
          <a:ext cx="272415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65</xdr:row>
      <xdr:rowOff>28575</xdr:rowOff>
    </xdr:from>
    <xdr:to>
      <xdr:col>0</xdr:col>
      <xdr:colOff>295275</xdr:colOff>
      <xdr:row>66</xdr:row>
      <xdr:rowOff>0</xdr:rowOff>
    </xdr:to>
    <xdr:pic>
      <xdr:nvPicPr>
        <xdr:cNvPr id="274695" name="Picture 1006" descr="100">
          <a:extLst>
            <a:ext uri="{FF2B5EF4-FFF2-40B4-BE49-F238E27FC236}">
              <a16:creationId xmlns:a16="http://schemas.microsoft.com/office/drawing/2014/main" id="{37F5099D-075A-4065-9ACA-CBC1E71558C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0" y="13620750"/>
          <a:ext cx="2000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682</xdr:row>
      <xdr:rowOff>38100</xdr:rowOff>
    </xdr:from>
    <xdr:to>
      <xdr:col>1</xdr:col>
      <xdr:colOff>295275</xdr:colOff>
      <xdr:row>682</xdr:row>
      <xdr:rowOff>161925</xdr:rowOff>
    </xdr:to>
    <xdr:pic>
      <xdr:nvPicPr>
        <xdr:cNvPr id="274698" name="315 Imagen" descr="500.jpg">
          <a:extLst>
            <a:ext uri="{FF2B5EF4-FFF2-40B4-BE49-F238E27FC236}">
              <a16:creationId xmlns:a16="http://schemas.microsoft.com/office/drawing/2014/main" id="{9598342F-399C-4BE9-9BCC-2B0780A20FE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438150" y="123701175"/>
          <a:ext cx="2000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37</xdr:col>
      <xdr:colOff>466725</xdr:colOff>
      <xdr:row>114</xdr:row>
      <xdr:rowOff>0</xdr:rowOff>
    </xdr:from>
    <xdr:to>
      <xdr:col>38</xdr:col>
      <xdr:colOff>371475</xdr:colOff>
      <xdr:row>155</xdr:row>
      <xdr:rowOff>9525</xdr:rowOff>
    </xdr:to>
    <xdr:sp macro="" textlink="">
      <xdr:nvSpPr>
        <xdr:cNvPr id="274703" name="Text Box 593666">
          <a:extLst>
            <a:ext uri="{FF2B5EF4-FFF2-40B4-BE49-F238E27FC236}">
              <a16:creationId xmlns:a16="http://schemas.microsoft.com/office/drawing/2014/main" id="{D882B232-FA37-449D-9245-9821A6CEE213}"/>
            </a:ext>
          </a:extLst>
        </xdr:cNvPr>
        <xdr:cNvSpPr txBox="1">
          <a:spLocks noChangeArrowheads="1"/>
        </xdr:cNvSpPr>
      </xdr:nvSpPr>
      <xdr:spPr bwMode="auto">
        <a:xfrm>
          <a:off x="14087475" y="22126575"/>
          <a:ext cx="666750" cy="1838325"/>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133350</xdr:colOff>
      <xdr:row>467</xdr:row>
      <xdr:rowOff>19050</xdr:rowOff>
    </xdr:from>
    <xdr:to>
      <xdr:col>0</xdr:col>
      <xdr:colOff>285750</xdr:colOff>
      <xdr:row>468</xdr:row>
      <xdr:rowOff>0</xdr:rowOff>
    </xdr:to>
    <xdr:pic>
      <xdr:nvPicPr>
        <xdr:cNvPr id="274706" name="Picture 828" descr="BUZO">
          <a:extLst>
            <a:ext uri="{FF2B5EF4-FFF2-40B4-BE49-F238E27FC236}">
              <a16:creationId xmlns:a16="http://schemas.microsoft.com/office/drawing/2014/main" id="{C88BD37E-01A5-4BDC-8018-80A0399786A8}"/>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33350" y="86963250"/>
          <a:ext cx="1524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49</xdr:row>
      <xdr:rowOff>28575</xdr:rowOff>
    </xdr:from>
    <xdr:to>
      <xdr:col>1</xdr:col>
      <xdr:colOff>0</xdr:colOff>
      <xdr:row>49</xdr:row>
      <xdr:rowOff>142875</xdr:rowOff>
    </xdr:to>
    <xdr:pic>
      <xdr:nvPicPr>
        <xdr:cNvPr id="274707" name="208 Imagen" descr="premium.jpg">
          <a:extLst>
            <a:ext uri="{FF2B5EF4-FFF2-40B4-BE49-F238E27FC236}">
              <a16:creationId xmlns:a16="http://schemas.microsoft.com/office/drawing/2014/main" id="{5E0BADAE-847B-4EDA-903E-592609C71F77}"/>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9153525"/>
          <a:ext cx="3429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681</xdr:row>
      <xdr:rowOff>38100</xdr:rowOff>
    </xdr:from>
    <xdr:to>
      <xdr:col>1</xdr:col>
      <xdr:colOff>295275</xdr:colOff>
      <xdr:row>681</xdr:row>
      <xdr:rowOff>161925</xdr:rowOff>
    </xdr:to>
    <xdr:pic>
      <xdr:nvPicPr>
        <xdr:cNvPr id="274709" name="301 Imagen" descr="200.jpg">
          <a:extLst>
            <a:ext uri="{FF2B5EF4-FFF2-40B4-BE49-F238E27FC236}">
              <a16:creationId xmlns:a16="http://schemas.microsoft.com/office/drawing/2014/main" id="{8DE91D76-0BA3-4273-8C00-8C9D0C97E6CA}"/>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38150" y="123501150"/>
          <a:ext cx="2000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152400</xdr:colOff>
      <xdr:row>453</xdr:row>
      <xdr:rowOff>28575</xdr:rowOff>
    </xdr:from>
    <xdr:to>
      <xdr:col>0</xdr:col>
      <xdr:colOff>285750</xdr:colOff>
      <xdr:row>453</xdr:row>
      <xdr:rowOff>142875</xdr:rowOff>
    </xdr:to>
    <xdr:pic>
      <xdr:nvPicPr>
        <xdr:cNvPr id="274710" name="Picture 776" descr="remera">
          <a:extLst>
            <a:ext uri="{FF2B5EF4-FFF2-40B4-BE49-F238E27FC236}">
              <a16:creationId xmlns:a16="http://schemas.microsoft.com/office/drawing/2014/main" id="{27B5E0F6-4393-418D-BE8A-172D66667A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82715100"/>
          <a:ext cx="1333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82</xdr:row>
      <xdr:rowOff>28575</xdr:rowOff>
    </xdr:from>
    <xdr:to>
      <xdr:col>1</xdr:col>
      <xdr:colOff>9525</xdr:colOff>
      <xdr:row>82</xdr:row>
      <xdr:rowOff>142875</xdr:rowOff>
    </xdr:to>
    <xdr:pic>
      <xdr:nvPicPr>
        <xdr:cNvPr id="274712" name="203 Imagen" descr="premium.jpg">
          <a:extLst>
            <a:ext uri="{FF2B5EF4-FFF2-40B4-BE49-F238E27FC236}">
              <a16:creationId xmlns:a16="http://schemas.microsoft.com/office/drawing/2014/main" id="{F28E0277-A90A-4D98-BBAA-2EAD59AF9C3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9525" y="16059150"/>
          <a:ext cx="3429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83</xdr:row>
      <xdr:rowOff>28575</xdr:rowOff>
    </xdr:from>
    <xdr:to>
      <xdr:col>1</xdr:col>
      <xdr:colOff>9525</xdr:colOff>
      <xdr:row>83</xdr:row>
      <xdr:rowOff>142875</xdr:rowOff>
    </xdr:to>
    <xdr:pic>
      <xdr:nvPicPr>
        <xdr:cNvPr id="274713" name="204 Imagen" descr="premium.jpg">
          <a:extLst>
            <a:ext uri="{FF2B5EF4-FFF2-40B4-BE49-F238E27FC236}">
              <a16:creationId xmlns:a16="http://schemas.microsoft.com/office/drawing/2014/main" id="{A33D7DD3-A65F-4EAA-A9F6-9BFF162DE152}"/>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9525" y="16211550"/>
          <a:ext cx="3429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51</xdr:row>
      <xdr:rowOff>28575</xdr:rowOff>
    </xdr:from>
    <xdr:to>
      <xdr:col>1</xdr:col>
      <xdr:colOff>0</xdr:colOff>
      <xdr:row>51</xdr:row>
      <xdr:rowOff>142875</xdr:rowOff>
    </xdr:to>
    <xdr:pic>
      <xdr:nvPicPr>
        <xdr:cNvPr id="274715" name="210 Imagen" descr="premium.jpg">
          <a:extLst>
            <a:ext uri="{FF2B5EF4-FFF2-40B4-BE49-F238E27FC236}">
              <a16:creationId xmlns:a16="http://schemas.microsoft.com/office/drawing/2014/main" id="{8EDAAC46-24B0-49CA-ADAB-89678F672D39}"/>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9458325"/>
          <a:ext cx="3429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685800</xdr:colOff>
      <xdr:row>657</xdr:row>
      <xdr:rowOff>9525</xdr:rowOff>
    </xdr:from>
    <xdr:to>
      <xdr:col>1</xdr:col>
      <xdr:colOff>876300</xdr:colOff>
      <xdr:row>658</xdr:row>
      <xdr:rowOff>38099</xdr:rowOff>
    </xdr:to>
    <xdr:pic>
      <xdr:nvPicPr>
        <xdr:cNvPr id="274718" name="Picture 801" descr="remera">
          <a:extLst>
            <a:ext uri="{FF2B5EF4-FFF2-40B4-BE49-F238E27FC236}">
              <a16:creationId xmlns:a16="http://schemas.microsoft.com/office/drawing/2014/main" id="{F9E9EEDD-53F2-4432-A693-94EE7C8F3EAF}"/>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028700" y="114757200"/>
          <a:ext cx="1905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463</xdr:row>
      <xdr:rowOff>0</xdr:rowOff>
    </xdr:from>
    <xdr:to>
      <xdr:col>0</xdr:col>
      <xdr:colOff>285750</xdr:colOff>
      <xdr:row>463</xdr:row>
      <xdr:rowOff>149086</xdr:rowOff>
    </xdr:to>
    <xdr:pic>
      <xdr:nvPicPr>
        <xdr:cNvPr id="274719" name="Picture 794" descr="BUZO">
          <a:extLst>
            <a:ext uri="{FF2B5EF4-FFF2-40B4-BE49-F238E27FC236}">
              <a16:creationId xmlns:a16="http://schemas.microsoft.com/office/drawing/2014/main" id="{C6C415C3-FEF3-41B3-9A10-DEAC4DCF940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 y="8597265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604</xdr:row>
      <xdr:rowOff>19050</xdr:rowOff>
    </xdr:from>
    <xdr:to>
      <xdr:col>1</xdr:col>
      <xdr:colOff>0</xdr:colOff>
      <xdr:row>604</xdr:row>
      <xdr:rowOff>133350</xdr:rowOff>
    </xdr:to>
    <xdr:pic>
      <xdr:nvPicPr>
        <xdr:cNvPr id="274723" name="229 Imagen" descr="premium.jpg">
          <a:extLst>
            <a:ext uri="{FF2B5EF4-FFF2-40B4-BE49-F238E27FC236}">
              <a16:creationId xmlns:a16="http://schemas.microsoft.com/office/drawing/2014/main" id="{ACE96F9E-045A-4349-BB44-B3ECCA310A67}"/>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105565575"/>
          <a:ext cx="3429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605</xdr:row>
      <xdr:rowOff>19050</xdr:rowOff>
    </xdr:from>
    <xdr:to>
      <xdr:col>1</xdr:col>
      <xdr:colOff>0</xdr:colOff>
      <xdr:row>605</xdr:row>
      <xdr:rowOff>133350</xdr:rowOff>
    </xdr:to>
    <xdr:pic>
      <xdr:nvPicPr>
        <xdr:cNvPr id="274724" name="229 Imagen" descr="premium.jpg">
          <a:extLst>
            <a:ext uri="{FF2B5EF4-FFF2-40B4-BE49-F238E27FC236}">
              <a16:creationId xmlns:a16="http://schemas.microsoft.com/office/drawing/2014/main" id="{ACCFED9B-9202-4921-8497-CE51BA7E4296}"/>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105727500"/>
          <a:ext cx="3429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606</xdr:row>
      <xdr:rowOff>19050</xdr:rowOff>
    </xdr:from>
    <xdr:to>
      <xdr:col>1</xdr:col>
      <xdr:colOff>0</xdr:colOff>
      <xdr:row>606</xdr:row>
      <xdr:rowOff>133350</xdr:rowOff>
    </xdr:to>
    <xdr:pic>
      <xdr:nvPicPr>
        <xdr:cNvPr id="274725" name="229 Imagen" descr="premium.jpg">
          <a:extLst>
            <a:ext uri="{FF2B5EF4-FFF2-40B4-BE49-F238E27FC236}">
              <a16:creationId xmlns:a16="http://schemas.microsoft.com/office/drawing/2014/main" id="{E27E26A0-C260-433F-8468-6D5B2B9FA118}"/>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105889425"/>
          <a:ext cx="3429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2</xdr:row>
      <xdr:rowOff>28575</xdr:rowOff>
    </xdr:from>
    <xdr:to>
      <xdr:col>3</xdr:col>
      <xdr:colOff>361950</xdr:colOff>
      <xdr:row>4</xdr:row>
      <xdr:rowOff>247650</xdr:rowOff>
    </xdr:to>
    <xdr:pic>
      <xdr:nvPicPr>
        <xdr:cNvPr id="274730" name="Imagen 6">
          <a:hlinkClick xmlns:r="http://schemas.openxmlformats.org/officeDocument/2006/relationships" r:id="rId14"/>
          <a:extLst>
            <a:ext uri="{FF2B5EF4-FFF2-40B4-BE49-F238E27FC236}">
              <a16:creationId xmlns:a16="http://schemas.microsoft.com/office/drawing/2014/main" id="{3F83B4C9-635C-4C44-9CD0-DC15F16D17ED}"/>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52425" y="419100"/>
          <a:ext cx="20478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28575</xdr:colOff>
      <xdr:row>4</xdr:row>
      <xdr:rowOff>57150</xdr:rowOff>
    </xdr:from>
    <xdr:to>
      <xdr:col>29</xdr:col>
      <xdr:colOff>190500</xdr:colOff>
      <xdr:row>6</xdr:row>
      <xdr:rowOff>133350</xdr:rowOff>
    </xdr:to>
    <xdr:pic>
      <xdr:nvPicPr>
        <xdr:cNvPr id="274731" name="228 Imagen" descr="mp_banner-4.png">
          <a:extLst>
            <a:ext uri="{FF2B5EF4-FFF2-40B4-BE49-F238E27FC236}">
              <a16:creationId xmlns:a16="http://schemas.microsoft.com/office/drawing/2014/main" id="{3C84DA17-CC43-48EE-9EE4-737454A21052}"/>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7334250" y="923925"/>
          <a:ext cx="32385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47626</xdr:colOff>
      <xdr:row>696</xdr:row>
      <xdr:rowOff>36168</xdr:rowOff>
    </xdr:from>
    <xdr:to>
      <xdr:col>22</xdr:col>
      <xdr:colOff>273705</xdr:colOff>
      <xdr:row>696</xdr:row>
      <xdr:rowOff>1095376</xdr:rowOff>
    </xdr:to>
    <xdr:pic>
      <xdr:nvPicPr>
        <xdr:cNvPr id="274732" name="229 Imagen" descr="mp_banner-4.png">
          <a:extLst>
            <a:ext uri="{FF2B5EF4-FFF2-40B4-BE49-F238E27FC236}">
              <a16:creationId xmlns:a16="http://schemas.microsoft.com/office/drawing/2014/main" id="{1B0C9D30-8341-4C96-BECD-14784BEADDA2}"/>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90526" y="120365493"/>
          <a:ext cx="6437428" cy="10592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343</xdr:row>
      <xdr:rowOff>28575</xdr:rowOff>
    </xdr:from>
    <xdr:to>
      <xdr:col>1</xdr:col>
      <xdr:colOff>0</xdr:colOff>
      <xdr:row>343</xdr:row>
      <xdr:rowOff>133350</xdr:rowOff>
    </xdr:to>
    <xdr:pic>
      <xdr:nvPicPr>
        <xdr:cNvPr id="274746" name="222 Imagen" descr="oferta icono.png">
          <a:extLst>
            <a:ext uri="{FF2B5EF4-FFF2-40B4-BE49-F238E27FC236}">
              <a16:creationId xmlns:a16="http://schemas.microsoft.com/office/drawing/2014/main" id="{3E96CCA1-0FD5-4D0A-BD9D-85B022678771}"/>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6792277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214</xdr:row>
      <xdr:rowOff>28575</xdr:rowOff>
    </xdr:from>
    <xdr:to>
      <xdr:col>1</xdr:col>
      <xdr:colOff>0</xdr:colOff>
      <xdr:row>214</xdr:row>
      <xdr:rowOff>133350</xdr:rowOff>
    </xdr:to>
    <xdr:pic>
      <xdr:nvPicPr>
        <xdr:cNvPr id="274758" name="235 Imagen" descr="oferta icono.png">
          <a:extLst>
            <a:ext uri="{FF2B5EF4-FFF2-40B4-BE49-F238E27FC236}">
              <a16:creationId xmlns:a16="http://schemas.microsoft.com/office/drawing/2014/main" id="{9E3CA306-CFC8-4AA4-8FCC-5F7C665FB727}"/>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422243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97</xdr:row>
      <xdr:rowOff>28575</xdr:rowOff>
    </xdr:from>
    <xdr:to>
      <xdr:col>1</xdr:col>
      <xdr:colOff>0</xdr:colOff>
      <xdr:row>97</xdr:row>
      <xdr:rowOff>133350</xdr:rowOff>
    </xdr:to>
    <xdr:pic>
      <xdr:nvPicPr>
        <xdr:cNvPr id="274763" name="240 Imagen" descr="oferta icono.png">
          <a:extLst>
            <a:ext uri="{FF2B5EF4-FFF2-40B4-BE49-F238E27FC236}">
              <a16:creationId xmlns:a16="http://schemas.microsoft.com/office/drawing/2014/main" id="{8651C8C1-883D-49E3-AEF7-6E97CDEF18AE}"/>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1804035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423</xdr:row>
      <xdr:rowOff>28575</xdr:rowOff>
    </xdr:from>
    <xdr:to>
      <xdr:col>1</xdr:col>
      <xdr:colOff>0</xdr:colOff>
      <xdr:row>423</xdr:row>
      <xdr:rowOff>133350</xdr:rowOff>
    </xdr:to>
    <xdr:pic>
      <xdr:nvPicPr>
        <xdr:cNvPr id="274764" name="241 Imagen" descr="oferta icono.png">
          <a:extLst>
            <a:ext uri="{FF2B5EF4-FFF2-40B4-BE49-F238E27FC236}">
              <a16:creationId xmlns:a16="http://schemas.microsoft.com/office/drawing/2014/main" id="{0920FD20-6E04-45AE-9228-EC9AF85872C9}"/>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7860030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449</xdr:row>
      <xdr:rowOff>28575</xdr:rowOff>
    </xdr:from>
    <xdr:to>
      <xdr:col>1</xdr:col>
      <xdr:colOff>0</xdr:colOff>
      <xdr:row>449</xdr:row>
      <xdr:rowOff>133350</xdr:rowOff>
    </xdr:to>
    <xdr:pic>
      <xdr:nvPicPr>
        <xdr:cNvPr id="274765" name="242 Imagen" descr="oferta icono.png">
          <a:extLst>
            <a:ext uri="{FF2B5EF4-FFF2-40B4-BE49-F238E27FC236}">
              <a16:creationId xmlns:a16="http://schemas.microsoft.com/office/drawing/2014/main" id="{B37EF289-0EB0-46E9-8712-F617F536AAA8}"/>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8164830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437</xdr:row>
      <xdr:rowOff>19050</xdr:rowOff>
    </xdr:from>
    <xdr:to>
      <xdr:col>24</xdr:col>
      <xdr:colOff>47625</xdr:colOff>
      <xdr:row>437</xdr:row>
      <xdr:rowOff>142875</xdr:rowOff>
    </xdr:to>
    <xdr:pic>
      <xdr:nvPicPr>
        <xdr:cNvPr id="274793" name="286 Imagen" descr="tampo icono.png">
          <a:extLst>
            <a:ext uri="{FF2B5EF4-FFF2-40B4-BE49-F238E27FC236}">
              <a16:creationId xmlns:a16="http://schemas.microsoft.com/office/drawing/2014/main" id="{94D9211F-A8A3-465A-9197-6BC9552E6719}"/>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7334250" y="731234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438</xdr:row>
      <xdr:rowOff>19050</xdr:rowOff>
    </xdr:from>
    <xdr:to>
      <xdr:col>24</xdr:col>
      <xdr:colOff>47625</xdr:colOff>
      <xdr:row>438</xdr:row>
      <xdr:rowOff>142875</xdr:rowOff>
    </xdr:to>
    <xdr:pic>
      <xdr:nvPicPr>
        <xdr:cNvPr id="274794" name="287 Imagen" descr="tampo icono.png">
          <a:extLst>
            <a:ext uri="{FF2B5EF4-FFF2-40B4-BE49-F238E27FC236}">
              <a16:creationId xmlns:a16="http://schemas.microsoft.com/office/drawing/2014/main" id="{CA6F964E-E275-4CA3-9C45-9833E21F1D5A}"/>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7334250" y="735806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422</xdr:row>
      <xdr:rowOff>19050</xdr:rowOff>
    </xdr:from>
    <xdr:to>
      <xdr:col>24</xdr:col>
      <xdr:colOff>47625</xdr:colOff>
      <xdr:row>422</xdr:row>
      <xdr:rowOff>142875</xdr:rowOff>
    </xdr:to>
    <xdr:pic>
      <xdr:nvPicPr>
        <xdr:cNvPr id="274795" name="288 Imagen" descr="seri icono.png">
          <a:extLst>
            <a:ext uri="{FF2B5EF4-FFF2-40B4-BE49-F238E27FC236}">
              <a16:creationId xmlns:a16="http://schemas.microsoft.com/office/drawing/2014/main" id="{03689539-8229-4EDD-82CE-31D962118B9D}"/>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15200" y="708564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419</xdr:row>
      <xdr:rowOff>19050</xdr:rowOff>
    </xdr:from>
    <xdr:to>
      <xdr:col>24</xdr:col>
      <xdr:colOff>47625</xdr:colOff>
      <xdr:row>419</xdr:row>
      <xdr:rowOff>142875</xdr:rowOff>
    </xdr:to>
    <xdr:pic>
      <xdr:nvPicPr>
        <xdr:cNvPr id="274796" name="290 Imagen" descr="seri icono.png">
          <a:extLst>
            <a:ext uri="{FF2B5EF4-FFF2-40B4-BE49-F238E27FC236}">
              <a16:creationId xmlns:a16="http://schemas.microsoft.com/office/drawing/2014/main" id="{3BDCA750-F4C3-4DFF-B062-4107FB5635AC}"/>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62825" y="788955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416</xdr:row>
      <xdr:rowOff>19050</xdr:rowOff>
    </xdr:from>
    <xdr:to>
      <xdr:col>24</xdr:col>
      <xdr:colOff>47625</xdr:colOff>
      <xdr:row>416</xdr:row>
      <xdr:rowOff>142875</xdr:rowOff>
    </xdr:to>
    <xdr:pic>
      <xdr:nvPicPr>
        <xdr:cNvPr id="274797" name="291 Imagen" descr="dome icono.png">
          <a:extLst>
            <a:ext uri="{FF2B5EF4-FFF2-40B4-BE49-F238E27FC236}">
              <a16:creationId xmlns:a16="http://schemas.microsoft.com/office/drawing/2014/main" id="{ABB8E52F-69F5-4349-9895-85ADD7800966}"/>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7362825" y="784383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415</xdr:row>
      <xdr:rowOff>19050</xdr:rowOff>
    </xdr:from>
    <xdr:to>
      <xdr:col>24</xdr:col>
      <xdr:colOff>47625</xdr:colOff>
      <xdr:row>415</xdr:row>
      <xdr:rowOff>142875</xdr:rowOff>
    </xdr:to>
    <xdr:pic>
      <xdr:nvPicPr>
        <xdr:cNvPr id="274799" name="293 Imagen" descr="dome icono.png">
          <a:extLst>
            <a:ext uri="{FF2B5EF4-FFF2-40B4-BE49-F238E27FC236}">
              <a16:creationId xmlns:a16="http://schemas.microsoft.com/office/drawing/2014/main" id="{B1101479-DA06-412D-95BB-FBE43670EC74}"/>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7334250" y="73266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388</xdr:row>
      <xdr:rowOff>19050</xdr:rowOff>
    </xdr:from>
    <xdr:to>
      <xdr:col>24</xdr:col>
      <xdr:colOff>47625</xdr:colOff>
      <xdr:row>388</xdr:row>
      <xdr:rowOff>142875</xdr:rowOff>
    </xdr:to>
    <xdr:pic>
      <xdr:nvPicPr>
        <xdr:cNvPr id="274809" name="303 Imagen" descr="laser icono.png">
          <a:extLst>
            <a:ext uri="{FF2B5EF4-FFF2-40B4-BE49-F238E27FC236}">
              <a16:creationId xmlns:a16="http://schemas.microsoft.com/office/drawing/2014/main" id="{DE98B125-2DDD-4973-B53A-367F9414872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05675" y="675132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392</xdr:row>
      <xdr:rowOff>19050</xdr:rowOff>
    </xdr:from>
    <xdr:to>
      <xdr:col>24</xdr:col>
      <xdr:colOff>47625</xdr:colOff>
      <xdr:row>392</xdr:row>
      <xdr:rowOff>144555</xdr:rowOff>
    </xdr:to>
    <xdr:pic>
      <xdr:nvPicPr>
        <xdr:cNvPr id="274813" name="307 Imagen" descr="laser icono.png">
          <a:extLst>
            <a:ext uri="{FF2B5EF4-FFF2-40B4-BE49-F238E27FC236}">
              <a16:creationId xmlns:a16="http://schemas.microsoft.com/office/drawing/2014/main" id="{B46A3E30-272A-4AF5-A52A-8526A0158758}"/>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477125" y="7173277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439</xdr:row>
      <xdr:rowOff>19050</xdr:rowOff>
    </xdr:from>
    <xdr:to>
      <xdr:col>24</xdr:col>
      <xdr:colOff>47625</xdr:colOff>
      <xdr:row>439</xdr:row>
      <xdr:rowOff>142875</xdr:rowOff>
    </xdr:to>
    <xdr:pic>
      <xdr:nvPicPr>
        <xdr:cNvPr id="274824" name="326 Imagen" descr="dome icono.png">
          <a:extLst>
            <a:ext uri="{FF2B5EF4-FFF2-40B4-BE49-F238E27FC236}">
              <a16:creationId xmlns:a16="http://schemas.microsoft.com/office/drawing/2014/main" id="{7F96D350-78BE-4CDA-A964-05EE5E83C9C5}"/>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7334250" y="737330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441</xdr:row>
      <xdr:rowOff>19050</xdr:rowOff>
    </xdr:from>
    <xdr:to>
      <xdr:col>24</xdr:col>
      <xdr:colOff>47625</xdr:colOff>
      <xdr:row>441</xdr:row>
      <xdr:rowOff>144555</xdr:rowOff>
    </xdr:to>
    <xdr:pic>
      <xdr:nvPicPr>
        <xdr:cNvPr id="274825" name="329 Imagen" descr="dome icono.png">
          <a:extLst>
            <a:ext uri="{FF2B5EF4-FFF2-40B4-BE49-F238E27FC236}">
              <a16:creationId xmlns:a16="http://schemas.microsoft.com/office/drawing/2014/main" id="{42C86699-D147-4984-B480-07726383A7C6}"/>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7334250" y="7403782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442</xdr:row>
      <xdr:rowOff>19050</xdr:rowOff>
    </xdr:from>
    <xdr:to>
      <xdr:col>24</xdr:col>
      <xdr:colOff>47625</xdr:colOff>
      <xdr:row>442</xdr:row>
      <xdr:rowOff>142875</xdr:rowOff>
    </xdr:to>
    <xdr:pic>
      <xdr:nvPicPr>
        <xdr:cNvPr id="274826" name="330 Imagen" descr="dome icono.png">
          <a:extLst>
            <a:ext uri="{FF2B5EF4-FFF2-40B4-BE49-F238E27FC236}">
              <a16:creationId xmlns:a16="http://schemas.microsoft.com/office/drawing/2014/main" id="{2E713EC7-F693-43F5-9758-B23BA771A925}"/>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7334250" y="741902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443</xdr:row>
      <xdr:rowOff>19050</xdr:rowOff>
    </xdr:from>
    <xdr:to>
      <xdr:col>24</xdr:col>
      <xdr:colOff>47625</xdr:colOff>
      <xdr:row>443</xdr:row>
      <xdr:rowOff>142875</xdr:rowOff>
    </xdr:to>
    <xdr:pic>
      <xdr:nvPicPr>
        <xdr:cNvPr id="274827" name="333 Imagen" descr="dome icono.png">
          <a:extLst>
            <a:ext uri="{FF2B5EF4-FFF2-40B4-BE49-F238E27FC236}">
              <a16:creationId xmlns:a16="http://schemas.microsoft.com/office/drawing/2014/main" id="{DB0775BA-5171-452B-960F-9588F8E87636}"/>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7334250" y="743426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444</xdr:row>
      <xdr:rowOff>19050</xdr:rowOff>
    </xdr:from>
    <xdr:to>
      <xdr:col>24</xdr:col>
      <xdr:colOff>47625</xdr:colOff>
      <xdr:row>444</xdr:row>
      <xdr:rowOff>142875</xdr:rowOff>
    </xdr:to>
    <xdr:pic>
      <xdr:nvPicPr>
        <xdr:cNvPr id="274828" name="334 Imagen" descr="dome icono.png">
          <a:extLst>
            <a:ext uri="{FF2B5EF4-FFF2-40B4-BE49-F238E27FC236}">
              <a16:creationId xmlns:a16="http://schemas.microsoft.com/office/drawing/2014/main" id="{A6B2D975-30A6-4129-B2EF-DB74CA63C30C}"/>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7334250" y="744950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440</xdr:row>
      <xdr:rowOff>19050</xdr:rowOff>
    </xdr:from>
    <xdr:to>
      <xdr:col>24</xdr:col>
      <xdr:colOff>47625</xdr:colOff>
      <xdr:row>440</xdr:row>
      <xdr:rowOff>142875</xdr:rowOff>
    </xdr:to>
    <xdr:pic>
      <xdr:nvPicPr>
        <xdr:cNvPr id="274829" name="335 Imagen" descr="dome icono.png">
          <a:extLst>
            <a:ext uri="{FF2B5EF4-FFF2-40B4-BE49-F238E27FC236}">
              <a16:creationId xmlns:a16="http://schemas.microsoft.com/office/drawing/2014/main" id="{4B848387-5EA0-412D-AE40-09B13BE96331}"/>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7334250" y="738854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446</xdr:row>
      <xdr:rowOff>19050</xdr:rowOff>
    </xdr:from>
    <xdr:to>
      <xdr:col>24</xdr:col>
      <xdr:colOff>47625</xdr:colOff>
      <xdr:row>446</xdr:row>
      <xdr:rowOff>142875</xdr:rowOff>
    </xdr:to>
    <xdr:pic>
      <xdr:nvPicPr>
        <xdr:cNvPr id="274831" name="337 Imagen" descr="laser fibra icono.png">
          <a:extLst>
            <a:ext uri="{FF2B5EF4-FFF2-40B4-BE49-F238E27FC236}">
              <a16:creationId xmlns:a16="http://schemas.microsoft.com/office/drawing/2014/main" id="{8504D109-95E7-49E6-9F49-7E0269928A13}"/>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43775" y="726662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372</xdr:row>
      <xdr:rowOff>19050</xdr:rowOff>
    </xdr:from>
    <xdr:to>
      <xdr:col>24</xdr:col>
      <xdr:colOff>47625</xdr:colOff>
      <xdr:row>372</xdr:row>
      <xdr:rowOff>144555</xdr:rowOff>
    </xdr:to>
    <xdr:pic>
      <xdr:nvPicPr>
        <xdr:cNvPr id="274839" name="345 Imagen" descr="tampo icono.png">
          <a:extLst>
            <a:ext uri="{FF2B5EF4-FFF2-40B4-BE49-F238E27FC236}">
              <a16:creationId xmlns:a16="http://schemas.microsoft.com/office/drawing/2014/main" id="{F06AC77D-30BE-42D9-807D-F1102D02AF7E}"/>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7334250" y="7203757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365</xdr:row>
      <xdr:rowOff>19050</xdr:rowOff>
    </xdr:from>
    <xdr:to>
      <xdr:col>24</xdr:col>
      <xdr:colOff>47625</xdr:colOff>
      <xdr:row>365</xdr:row>
      <xdr:rowOff>142875</xdr:rowOff>
    </xdr:to>
    <xdr:pic>
      <xdr:nvPicPr>
        <xdr:cNvPr id="274856" name="363 Imagen" descr="laser icono.png">
          <a:extLst>
            <a:ext uri="{FF2B5EF4-FFF2-40B4-BE49-F238E27FC236}">
              <a16:creationId xmlns:a16="http://schemas.microsoft.com/office/drawing/2014/main" id="{EE666AD8-84E5-4585-A8CF-9DB2085757B5}"/>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34250" y="587216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468</xdr:row>
      <xdr:rowOff>19050</xdr:rowOff>
    </xdr:from>
    <xdr:to>
      <xdr:col>24</xdr:col>
      <xdr:colOff>47625</xdr:colOff>
      <xdr:row>468</xdr:row>
      <xdr:rowOff>142875</xdr:rowOff>
    </xdr:to>
    <xdr:pic>
      <xdr:nvPicPr>
        <xdr:cNvPr id="274880" name="390 Imagen" descr="sublimacion icono.png">
          <a:extLst>
            <a:ext uri="{FF2B5EF4-FFF2-40B4-BE49-F238E27FC236}">
              <a16:creationId xmlns:a16="http://schemas.microsoft.com/office/drawing/2014/main" id="{0007AD53-79CC-4D6B-A02D-466FF367CA28}"/>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53300" y="871632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465</xdr:row>
      <xdr:rowOff>19050</xdr:rowOff>
    </xdr:from>
    <xdr:to>
      <xdr:col>24</xdr:col>
      <xdr:colOff>47625</xdr:colOff>
      <xdr:row>465</xdr:row>
      <xdr:rowOff>142875</xdr:rowOff>
    </xdr:to>
    <xdr:pic>
      <xdr:nvPicPr>
        <xdr:cNvPr id="274889" name="399 Imagen" descr="BORDADO ICONO.png">
          <a:extLst>
            <a:ext uri="{FF2B5EF4-FFF2-40B4-BE49-F238E27FC236}">
              <a16:creationId xmlns:a16="http://schemas.microsoft.com/office/drawing/2014/main" id="{AF5B98F9-F809-40A2-B5D5-9C13D3E37452}"/>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7353300" y="865536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566</xdr:row>
      <xdr:rowOff>19050</xdr:rowOff>
    </xdr:from>
    <xdr:to>
      <xdr:col>24</xdr:col>
      <xdr:colOff>47625</xdr:colOff>
      <xdr:row>566</xdr:row>
      <xdr:rowOff>142875</xdr:rowOff>
    </xdr:to>
    <xdr:pic>
      <xdr:nvPicPr>
        <xdr:cNvPr id="274915" name="427 Imagen" descr="sublimacion icono.png">
          <a:extLst>
            <a:ext uri="{FF2B5EF4-FFF2-40B4-BE49-F238E27FC236}">
              <a16:creationId xmlns:a16="http://schemas.microsoft.com/office/drawing/2014/main" id="{34C797C0-B7B1-49CC-AB46-6EB7EE1345EB}"/>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24725" y="8776335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567</xdr:row>
      <xdr:rowOff>19050</xdr:rowOff>
    </xdr:from>
    <xdr:to>
      <xdr:col>24</xdr:col>
      <xdr:colOff>47625</xdr:colOff>
      <xdr:row>567</xdr:row>
      <xdr:rowOff>142875</xdr:rowOff>
    </xdr:to>
    <xdr:pic>
      <xdr:nvPicPr>
        <xdr:cNvPr id="274916" name="428 Imagen" descr="sublimacion icono.png">
          <a:extLst>
            <a:ext uri="{FF2B5EF4-FFF2-40B4-BE49-F238E27FC236}">
              <a16:creationId xmlns:a16="http://schemas.microsoft.com/office/drawing/2014/main" id="{4C7C92FD-FC97-48E3-992F-25E5F4EBF086}"/>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24725" y="8791575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568</xdr:row>
      <xdr:rowOff>19050</xdr:rowOff>
    </xdr:from>
    <xdr:to>
      <xdr:col>24</xdr:col>
      <xdr:colOff>47625</xdr:colOff>
      <xdr:row>568</xdr:row>
      <xdr:rowOff>142875</xdr:rowOff>
    </xdr:to>
    <xdr:pic>
      <xdr:nvPicPr>
        <xdr:cNvPr id="274917" name="429 Imagen" descr="sublimacion icono.png">
          <a:extLst>
            <a:ext uri="{FF2B5EF4-FFF2-40B4-BE49-F238E27FC236}">
              <a16:creationId xmlns:a16="http://schemas.microsoft.com/office/drawing/2014/main" id="{6CF316BA-1A7F-4150-9180-0700F4598BFE}"/>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24725" y="8806815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575</xdr:row>
      <xdr:rowOff>20292</xdr:rowOff>
    </xdr:from>
    <xdr:to>
      <xdr:col>24</xdr:col>
      <xdr:colOff>47625</xdr:colOff>
      <xdr:row>575</xdr:row>
      <xdr:rowOff>140803</xdr:rowOff>
    </xdr:to>
    <xdr:pic>
      <xdr:nvPicPr>
        <xdr:cNvPr id="274927" name="439 Imagen" descr="sublimacion icono.png">
          <a:extLst>
            <a:ext uri="{FF2B5EF4-FFF2-40B4-BE49-F238E27FC236}">
              <a16:creationId xmlns:a16="http://schemas.microsoft.com/office/drawing/2014/main" id="{0FA9E6BF-97F1-48FB-A837-659B6D7AA13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289938" y="86407901"/>
          <a:ext cx="816665" cy="12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576</xdr:row>
      <xdr:rowOff>20292</xdr:rowOff>
    </xdr:from>
    <xdr:to>
      <xdr:col>24</xdr:col>
      <xdr:colOff>47625</xdr:colOff>
      <xdr:row>576</xdr:row>
      <xdr:rowOff>140803</xdr:rowOff>
    </xdr:to>
    <xdr:pic>
      <xdr:nvPicPr>
        <xdr:cNvPr id="274928" name="440 Imagen" descr="sublimacion icono.png">
          <a:extLst>
            <a:ext uri="{FF2B5EF4-FFF2-40B4-BE49-F238E27FC236}">
              <a16:creationId xmlns:a16="http://schemas.microsoft.com/office/drawing/2014/main" id="{031A1FFB-F9A0-48D0-9943-95C6D526CB87}"/>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289938" y="86556988"/>
          <a:ext cx="816665" cy="12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577</xdr:row>
      <xdr:rowOff>19050</xdr:rowOff>
    </xdr:from>
    <xdr:to>
      <xdr:col>24</xdr:col>
      <xdr:colOff>47625</xdr:colOff>
      <xdr:row>577</xdr:row>
      <xdr:rowOff>142875</xdr:rowOff>
    </xdr:to>
    <xdr:pic>
      <xdr:nvPicPr>
        <xdr:cNvPr id="274929" name="441 Imagen" descr="sublimacion icono.png">
          <a:extLst>
            <a:ext uri="{FF2B5EF4-FFF2-40B4-BE49-F238E27FC236}">
              <a16:creationId xmlns:a16="http://schemas.microsoft.com/office/drawing/2014/main" id="{AF0064DE-F1ED-4C18-8398-CEDC5F056FA8}"/>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6934200" y="9443085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578</xdr:row>
      <xdr:rowOff>19050</xdr:rowOff>
    </xdr:from>
    <xdr:to>
      <xdr:col>24</xdr:col>
      <xdr:colOff>47625</xdr:colOff>
      <xdr:row>578</xdr:row>
      <xdr:rowOff>142875</xdr:rowOff>
    </xdr:to>
    <xdr:pic>
      <xdr:nvPicPr>
        <xdr:cNvPr id="274932" name="444 Imagen" descr="sublimacion icono.png">
          <a:extLst>
            <a:ext uri="{FF2B5EF4-FFF2-40B4-BE49-F238E27FC236}">
              <a16:creationId xmlns:a16="http://schemas.microsoft.com/office/drawing/2014/main" id="{C2183AF0-A4C4-4982-949B-45A498C7223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15200" y="909923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580</xdr:row>
      <xdr:rowOff>19050</xdr:rowOff>
    </xdr:from>
    <xdr:to>
      <xdr:col>24</xdr:col>
      <xdr:colOff>47625</xdr:colOff>
      <xdr:row>580</xdr:row>
      <xdr:rowOff>142875</xdr:rowOff>
    </xdr:to>
    <xdr:pic>
      <xdr:nvPicPr>
        <xdr:cNvPr id="274935" name="448 Imagen" descr="sublimacion icono.png">
          <a:extLst>
            <a:ext uri="{FF2B5EF4-FFF2-40B4-BE49-F238E27FC236}">
              <a16:creationId xmlns:a16="http://schemas.microsoft.com/office/drawing/2014/main" id="{B0E9A3D8-0201-4B4B-9837-1C200CBB2084}"/>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15200" y="912971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579</xdr:row>
      <xdr:rowOff>19050</xdr:rowOff>
    </xdr:from>
    <xdr:to>
      <xdr:col>24</xdr:col>
      <xdr:colOff>47625</xdr:colOff>
      <xdr:row>579</xdr:row>
      <xdr:rowOff>144555</xdr:rowOff>
    </xdr:to>
    <xdr:pic>
      <xdr:nvPicPr>
        <xdr:cNvPr id="274936" name="449 Imagen" descr="sublimacion icono.png">
          <a:extLst>
            <a:ext uri="{FF2B5EF4-FFF2-40B4-BE49-F238E27FC236}">
              <a16:creationId xmlns:a16="http://schemas.microsoft.com/office/drawing/2014/main" id="{A43DEB20-4DB2-4D2B-A5CB-A32375C72658}"/>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15200" y="9114472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581</xdr:row>
      <xdr:rowOff>19050</xdr:rowOff>
    </xdr:from>
    <xdr:to>
      <xdr:col>24</xdr:col>
      <xdr:colOff>47625</xdr:colOff>
      <xdr:row>581</xdr:row>
      <xdr:rowOff>142875</xdr:rowOff>
    </xdr:to>
    <xdr:pic>
      <xdr:nvPicPr>
        <xdr:cNvPr id="274938" name="451 Imagen" descr="sublimacion icono.png">
          <a:extLst>
            <a:ext uri="{FF2B5EF4-FFF2-40B4-BE49-F238E27FC236}">
              <a16:creationId xmlns:a16="http://schemas.microsoft.com/office/drawing/2014/main" id="{0FD393AB-3027-4CC9-ABBC-2F1F56FA6B39}"/>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15200" y="925163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582</xdr:row>
      <xdr:rowOff>19050</xdr:rowOff>
    </xdr:from>
    <xdr:to>
      <xdr:col>24</xdr:col>
      <xdr:colOff>47625</xdr:colOff>
      <xdr:row>582</xdr:row>
      <xdr:rowOff>142875</xdr:rowOff>
    </xdr:to>
    <xdr:pic>
      <xdr:nvPicPr>
        <xdr:cNvPr id="274939" name="452 Imagen" descr="sublimacion icono.png">
          <a:extLst>
            <a:ext uri="{FF2B5EF4-FFF2-40B4-BE49-F238E27FC236}">
              <a16:creationId xmlns:a16="http://schemas.microsoft.com/office/drawing/2014/main" id="{9CAB0423-F160-433E-B611-FBB0BCCF3C2B}"/>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15200" y="926687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583</xdr:row>
      <xdr:rowOff>19050</xdr:rowOff>
    </xdr:from>
    <xdr:to>
      <xdr:col>24</xdr:col>
      <xdr:colOff>47625</xdr:colOff>
      <xdr:row>583</xdr:row>
      <xdr:rowOff>142875</xdr:rowOff>
    </xdr:to>
    <xdr:pic>
      <xdr:nvPicPr>
        <xdr:cNvPr id="274940" name="453 Imagen" descr="sublimacion icono.png">
          <a:extLst>
            <a:ext uri="{FF2B5EF4-FFF2-40B4-BE49-F238E27FC236}">
              <a16:creationId xmlns:a16="http://schemas.microsoft.com/office/drawing/2014/main" id="{36BC524F-6013-42AB-8516-3E71E83AF882}"/>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15200" y="928211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584</xdr:row>
      <xdr:rowOff>19050</xdr:rowOff>
    </xdr:from>
    <xdr:to>
      <xdr:col>24</xdr:col>
      <xdr:colOff>47625</xdr:colOff>
      <xdr:row>584</xdr:row>
      <xdr:rowOff>142875</xdr:rowOff>
    </xdr:to>
    <xdr:pic>
      <xdr:nvPicPr>
        <xdr:cNvPr id="274941" name="454 Imagen" descr="sublimacion icono.png">
          <a:extLst>
            <a:ext uri="{FF2B5EF4-FFF2-40B4-BE49-F238E27FC236}">
              <a16:creationId xmlns:a16="http://schemas.microsoft.com/office/drawing/2014/main" id="{E9CEF868-BB39-495B-9B6E-B2EA142797A5}"/>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15200" y="929735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585</xdr:row>
      <xdr:rowOff>19050</xdr:rowOff>
    </xdr:from>
    <xdr:to>
      <xdr:col>24</xdr:col>
      <xdr:colOff>47625</xdr:colOff>
      <xdr:row>585</xdr:row>
      <xdr:rowOff>142875</xdr:rowOff>
    </xdr:to>
    <xdr:pic>
      <xdr:nvPicPr>
        <xdr:cNvPr id="274942" name="455 Imagen" descr="sublimacion icono.png">
          <a:extLst>
            <a:ext uri="{FF2B5EF4-FFF2-40B4-BE49-F238E27FC236}">
              <a16:creationId xmlns:a16="http://schemas.microsoft.com/office/drawing/2014/main" id="{7CCCF7FD-A007-46C0-8861-61099D50751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15200" y="931259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586</xdr:row>
      <xdr:rowOff>19050</xdr:rowOff>
    </xdr:from>
    <xdr:to>
      <xdr:col>24</xdr:col>
      <xdr:colOff>47625</xdr:colOff>
      <xdr:row>586</xdr:row>
      <xdr:rowOff>142875</xdr:rowOff>
    </xdr:to>
    <xdr:pic>
      <xdr:nvPicPr>
        <xdr:cNvPr id="274943" name="456 Imagen" descr="sublimacion icono.png">
          <a:extLst>
            <a:ext uri="{FF2B5EF4-FFF2-40B4-BE49-F238E27FC236}">
              <a16:creationId xmlns:a16="http://schemas.microsoft.com/office/drawing/2014/main" id="{FEB66BDF-174C-4CC6-A520-DE08E503836A}"/>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15200" y="932783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587</xdr:row>
      <xdr:rowOff>9525</xdr:rowOff>
    </xdr:from>
    <xdr:to>
      <xdr:col>24</xdr:col>
      <xdr:colOff>47625</xdr:colOff>
      <xdr:row>587</xdr:row>
      <xdr:rowOff>133350</xdr:rowOff>
    </xdr:to>
    <xdr:pic>
      <xdr:nvPicPr>
        <xdr:cNvPr id="274944" name="457 Imagen" descr="sublimacion icono.png">
          <a:extLst>
            <a:ext uri="{FF2B5EF4-FFF2-40B4-BE49-F238E27FC236}">
              <a16:creationId xmlns:a16="http://schemas.microsoft.com/office/drawing/2014/main" id="{69C26F01-9454-4933-87E6-FD3C78F9CF13}"/>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15200" y="934212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348</xdr:row>
      <xdr:rowOff>19050</xdr:rowOff>
    </xdr:from>
    <xdr:to>
      <xdr:col>24</xdr:col>
      <xdr:colOff>47625</xdr:colOff>
      <xdr:row>348</xdr:row>
      <xdr:rowOff>142875</xdr:rowOff>
    </xdr:to>
    <xdr:pic>
      <xdr:nvPicPr>
        <xdr:cNvPr id="274996" name="511 Imagen" descr="tampo icono.png">
          <a:extLst>
            <a:ext uri="{FF2B5EF4-FFF2-40B4-BE49-F238E27FC236}">
              <a16:creationId xmlns:a16="http://schemas.microsoft.com/office/drawing/2014/main" id="{DFDCC7AB-0528-49EB-BC3C-36CB632F237B}"/>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7343775" y="59550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347</xdr:row>
      <xdr:rowOff>19050</xdr:rowOff>
    </xdr:from>
    <xdr:to>
      <xdr:col>24</xdr:col>
      <xdr:colOff>47625</xdr:colOff>
      <xdr:row>347</xdr:row>
      <xdr:rowOff>142875</xdr:rowOff>
    </xdr:to>
    <xdr:pic>
      <xdr:nvPicPr>
        <xdr:cNvPr id="274997" name="512 Imagen" descr="tampo icono.png">
          <a:extLst>
            <a:ext uri="{FF2B5EF4-FFF2-40B4-BE49-F238E27FC236}">
              <a16:creationId xmlns:a16="http://schemas.microsoft.com/office/drawing/2014/main" id="{39EBC17B-715A-4F85-AEA2-41BC19170301}"/>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7343775" y="593979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342</xdr:row>
      <xdr:rowOff>19050</xdr:rowOff>
    </xdr:from>
    <xdr:to>
      <xdr:col>24</xdr:col>
      <xdr:colOff>47625</xdr:colOff>
      <xdr:row>342</xdr:row>
      <xdr:rowOff>142875</xdr:rowOff>
    </xdr:to>
    <xdr:pic>
      <xdr:nvPicPr>
        <xdr:cNvPr id="274999" name="514 Imagen" descr="laser icono.png">
          <a:extLst>
            <a:ext uri="{FF2B5EF4-FFF2-40B4-BE49-F238E27FC236}">
              <a16:creationId xmlns:a16="http://schemas.microsoft.com/office/drawing/2014/main" id="{B1F7F5FD-5537-455E-87A8-45DF4FF78F07}"/>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43775" y="6776085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343</xdr:row>
      <xdr:rowOff>19050</xdr:rowOff>
    </xdr:from>
    <xdr:to>
      <xdr:col>24</xdr:col>
      <xdr:colOff>47625</xdr:colOff>
      <xdr:row>343</xdr:row>
      <xdr:rowOff>142875</xdr:rowOff>
    </xdr:to>
    <xdr:pic>
      <xdr:nvPicPr>
        <xdr:cNvPr id="275000" name="515 Imagen" descr="laser icono.png">
          <a:extLst>
            <a:ext uri="{FF2B5EF4-FFF2-40B4-BE49-F238E27FC236}">
              <a16:creationId xmlns:a16="http://schemas.microsoft.com/office/drawing/2014/main" id="{DECC8308-E5F4-4DFF-8F3A-0FE2C648582F}"/>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43775" y="590931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333</xdr:row>
      <xdr:rowOff>19050</xdr:rowOff>
    </xdr:from>
    <xdr:to>
      <xdr:col>24</xdr:col>
      <xdr:colOff>47625</xdr:colOff>
      <xdr:row>333</xdr:row>
      <xdr:rowOff>142875</xdr:rowOff>
    </xdr:to>
    <xdr:pic>
      <xdr:nvPicPr>
        <xdr:cNvPr id="275014" name="529 Imagen" descr="tampo icono.png">
          <a:extLst>
            <a:ext uri="{FF2B5EF4-FFF2-40B4-BE49-F238E27FC236}">
              <a16:creationId xmlns:a16="http://schemas.microsoft.com/office/drawing/2014/main" id="{76894DB9-89C2-4200-9754-9FA158707ACB}"/>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7334250" y="546068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334</xdr:row>
      <xdr:rowOff>19050</xdr:rowOff>
    </xdr:from>
    <xdr:to>
      <xdr:col>24</xdr:col>
      <xdr:colOff>47625</xdr:colOff>
      <xdr:row>334</xdr:row>
      <xdr:rowOff>142875</xdr:rowOff>
    </xdr:to>
    <xdr:pic>
      <xdr:nvPicPr>
        <xdr:cNvPr id="275015" name="530 Imagen" descr="tampo icono.png">
          <a:extLst>
            <a:ext uri="{FF2B5EF4-FFF2-40B4-BE49-F238E27FC236}">
              <a16:creationId xmlns:a16="http://schemas.microsoft.com/office/drawing/2014/main" id="{C8B09AF3-4182-4F96-B418-B2D320278DAA}"/>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7334250" y="547592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332</xdr:row>
      <xdr:rowOff>19050</xdr:rowOff>
    </xdr:from>
    <xdr:to>
      <xdr:col>24</xdr:col>
      <xdr:colOff>47625</xdr:colOff>
      <xdr:row>332</xdr:row>
      <xdr:rowOff>144555</xdr:rowOff>
    </xdr:to>
    <xdr:pic>
      <xdr:nvPicPr>
        <xdr:cNvPr id="275020" name="535 Imagen" descr="tampo icono.png">
          <a:extLst>
            <a:ext uri="{FF2B5EF4-FFF2-40B4-BE49-F238E27FC236}">
              <a16:creationId xmlns:a16="http://schemas.microsoft.com/office/drawing/2014/main" id="{A2289F47-8E28-4354-A2BA-91B5A5FCD22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7334250" y="5445442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323</xdr:row>
      <xdr:rowOff>19050</xdr:rowOff>
    </xdr:from>
    <xdr:to>
      <xdr:col>24</xdr:col>
      <xdr:colOff>47625</xdr:colOff>
      <xdr:row>323</xdr:row>
      <xdr:rowOff>142875</xdr:rowOff>
    </xdr:to>
    <xdr:pic>
      <xdr:nvPicPr>
        <xdr:cNvPr id="275029" name="544 Imagen" descr="tampo icono.png">
          <a:extLst>
            <a:ext uri="{FF2B5EF4-FFF2-40B4-BE49-F238E27FC236}">
              <a16:creationId xmlns:a16="http://schemas.microsoft.com/office/drawing/2014/main" id="{84AE19EC-CDD9-4924-B383-1ACDB11F8D09}"/>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7362825" y="546735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273</xdr:row>
      <xdr:rowOff>19050</xdr:rowOff>
    </xdr:from>
    <xdr:to>
      <xdr:col>24</xdr:col>
      <xdr:colOff>47625</xdr:colOff>
      <xdr:row>273</xdr:row>
      <xdr:rowOff>142875</xdr:rowOff>
    </xdr:to>
    <xdr:pic>
      <xdr:nvPicPr>
        <xdr:cNvPr id="275076" name="603 Imagen" descr="laser icono.png">
          <a:extLst>
            <a:ext uri="{FF2B5EF4-FFF2-40B4-BE49-F238E27FC236}">
              <a16:creationId xmlns:a16="http://schemas.microsoft.com/office/drawing/2014/main" id="{90359F57-78FD-4944-99AD-2D577F530B14}"/>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34200" y="559784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274</xdr:row>
      <xdr:rowOff>19050</xdr:rowOff>
    </xdr:from>
    <xdr:to>
      <xdr:col>24</xdr:col>
      <xdr:colOff>47625</xdr:colOff>
      <xdr:row>274</xdr:row>
      <xdr:rowOff>142875</xdr:rowOff>
    </xdr:to>
    <xdr:pic>
      <xdr:nvPicPr>
        <xdr:cNvPr id="275077" name="604 Imagen" descr="laser icono.png">
          <a:extLst>
            <a:ext uri="{FF2B5EF4-FFF2-40B4-BE49-F238E27FC236}">
              <a16:creationId xmlns:a16="http://schemas.microsoft.com/office/drawing/2014/main" id="{4D2958C7-62FD-4076-A2A7-AD9673FF994A}"/>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34200" y="561308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275</xdr:row>
      <xdr:rowOff>19050</xdr:rowOff>
    </xdr:from>
    <xdr:to>
      <xdr:col>24</xdr:col>
      <xdr:colOff>47625</xdr:colOff>
      <xdr:row>275</xdr:row>
      <xdr:rowOff>142875</xdr:rowOff>
    </xdr:to>
    <xdr:pic>
      <xdr:nvPicPr>
        <xdr:cNvPr id="275078" name="605 Imagen" descr="laser icono.png">
          <a:extLst>
            <a:ext uri="{FF2B5EF4-FFF2-40B4-BE49-F238E27FC236}">
              <a16:creationId xmlns:a16="http://schemas.microsoft.com/office/drawing/2014/main" id="{78254C7B-4885-4B15-966D-DA50586611DD}"/>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34200" y="562832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276</xdr:row>
      <xdr:rowOff>19050</xdr:rowOff>
    </xdr:from>
    <xdr:to>
      <xdr:col>24</xdr:col>
      <xdr:colOff>47625</xdr:colOff>
      <xdr:row>276</xdr:row>
      <xdr:rowOff>142875</xdr:rowOff>
    </xdr:to>
    <xdr:pic>
      <xdr:nvPicPr>
        <xdr:cNvPr id="275079" name="606 Imagen" descr="laser icono.png">
          <a:extLst>
            <a:ext uri="{FF2B5EF4-FFF2-40B4-BE49-F238E27FC236}">
              <a16:creationId xmlns:a16="http://schemas.microsoft.com/office/drawing/2014/main" id="{5C88BFC3-153A-4974-9A89-B463D8D8ECE3}"/>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34200" y="564356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277</xdr:row>
      <xdr:rowOff>19050</xdr:rowOff>
    </xdr:from>
    <xdr:to>
      <xdr:col>24</xdr:col>
      <xdr:colOff>47625</xdr:colOff>
      <xdr:row>277</xdr:row>
      <xdr:rowOff>142875</xdr:rowOff>
    </xdr:to>
    <xdr:pic>
      <xdr:nvPicPr>
        <xdr:cNvPr id="275080" name="607 Imagen" descr="laser icono.png">
          <a:extLst>
            <a:ext uri="{FF2B5EF4-FFF2-40B4-BE49-F238E27FC236}">
              <a16:creationId xmlns:a16="http://schemas.microsoft.com/office/drawing/2014/main" id="{058828AF-BCFF-42D4-9D53-73FBA48BB978}"/>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34200" y="565880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278</xdr:row>
      <xdr:rowOff>19050</xdr:rowOff>
    </xdr:from>
    <xdr:to>
      <xdr:col>24</xdr:col>
      <xdr:colOff>47625</xdr:colOff>
      <xdr:row>278</xdr:row>
      <xdr:rowOff>142875</xdr:rowOff>
    </xdr:to>
    <xdr:pic>
      <xdr:nvPicPr>
        <xdr:cNvPr id="275081" name="608 Imagen" descr="laser icono.png">
          <a:extLst>
            <a:ext uri="{FF2B5EF4-FFF2-40B4-BE49-F238E27FC236}">
              <a16:creationId xmlns:a16="http://schemas.microsoft.com/office/drawing/2014/main" id="{D3F68CA1-17C7-434F-BE29-631E9D88089B}"/>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34200" y="567404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272</xdr:row>
      <xdr:rowOff>19050</xdr:rowOff>
    </xdr:from>
    <xdr:to>
      <xdr:col>24</xdr:col>
      <xdr:colOff>47625</xdr:colOff>
      <xdr:row>272</xdr:row>
      <xdr:rowOff>142875</xdr:rowOff>
    </xdr:to>
    <xdr:pic>
      <xdr:nvPicPr>
        <xdr:cNvPr id="275083" name="610 Imagen" descr="seri icono.png">
          <a:extLst>
            <a:ext uri="{FF2B5EF4-FFF2-40B4-BE49-F238E27FC236}">
              <a16:creationId xmlns:a16="http://schemas.microsoft.com/office/drawing/2014/main" id="{F564A31B-94AF-4178-B861-D8AC89F967E4}"/>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34250" y="438912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268</xdr:row>
      <xdr:rowOff>19050</xdr:rowOff>
    </xdr:from>
    <xdr:to>
      <xdr:col>24</xdr:col>
      <xdr:colOff>47625</xdr:colOff>
      <xdr:row>268</xdr:row>
      <xdr:rowOff>144555</xdr:rowOff>
    </xdr:to>
    <xdr:pic>
      <xdr:nvPicPr>
        <xdr:cNvPr id="275085" name="612 Imagen" descr="laser un lado icono.png">
          <a:extLst>
            <a:ext uri="{FF2B5EF4-FFF2-40B4-BE49-F238E27FC236}">
              <a16:creationId xmlns:a16="http://schemas.microsoft.com/office/drawing/2014/main" id="{A139070A-D4AF-4623-BD37-C29EBB95F8E3}"/>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7334250" y="43281600"/>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269</xdr:row>
      <xdr:rowOff>19050</xdr:rowOff>
    </xdr:from>
    <xdr:to>
      <xdr:col>24</xdr:col>
      <xdr:colOff>47625</xdr:colOff>
      <xdr:row>269</xdr:row>
      <xdr:rowOff>142875</xdr:rowOff>
    </xdr:to>
    <xdr:pic>
      <xdr:nvPicPr>
        <xdr:cNvPr id="275086" name="613 Imagen" descr="laser un lado icono.png">
          <a:extLst>
            <a:ext uri="{FF2B5EF4-FFF2-40B4-BE49-F238E27FC236}">
              <a16:creationId xmlns:a16="http://schemas.microsoft.com/office/drawing/2014/main" id="{359BE694-F425-4F94-8F5F-748040DF7F81}"/>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7334250" y="434340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270</xdr:row>
      <xdr:rowOff>19050</xdr:rowOff>
    </xdr:from>
    <xdr:to>
      <xdr:col>24</xdr:col>
      <xdr:colOff>47625</xdr:colOff>
      <xdr:row>270</xdr:row>
      <xdr:rowOff>142875</xdr:rowOff>
    </xdr:to>
    <xdr:pic>
      <xdr:nvPicPr>
        <xdr:cNvPr id="275087" name="614 Imagen" descr="laser un lado icono.png">
          <a:extLst>
            <a:ext uri="{FF2B5EF4-FFF2-40B4-BE49-F238E27FC236}">
              <a16:creationId xmlns:a16="http://schemas.microsoft.com/office/drawing/2014/main" id="{7739F6A5-E58C-42C2-86E9-9EB75A47F316}"/>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7334250" y="435864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271</xdr:row>
      <xdr:rowOff>19050</xdr:rowOff>
    </xdr:from>
    <xdr:to>
      <xdr:col>24</xdr:col>
      <xdr:colOff>47625</xdr:colOff>
      <xdr:row>271</xdr:row>
      <xdr:rowOff>142875</xdr:rowOff>
    </xdr:to>
    <xdr:pic>
      <xdr:nvPicPr>
        <xdr:cNvPr id="275088" name="615 Imagen" descr="laser un lado icono.png">
          <a:extLst>
            <a:ext uri="{FF2B5EF4-FFF2-40B4-BE49-F238E27FC236}">
              <a16:creationId xmlns:a16="http://schemas.microsoft.com/office/drawing/2014/main" id="{15F705C0-980F-4777-8EF5-3BBCE397DA3F}"/>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7334250" y="437388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266</xdr:row>
      <xdr:rowOff>19050</xdr:rowOff>
    </xdr:from>
    <xdr:to>
      <xdr:col>24</xdr:col>
      <xdr:colOff>47625</xdr:colOff>
      <xdr:row>266</xdr:row>
      <xdr:rowOff>142875</xdr:rowOff>
    </xdr:to>
    <xdr:pic>
      <xdr:nvPicPr>
        <xdr:cNvPr id="275089" name="616 Imagen" descr="seri icono.png">
          <a:extLst>
            <a:ext uri="{FF2B5EF4-FFF2-40B4-BE49-F238E27FC236}">
              <a16:creationId xmlns:a16="http://schemas.microsoft.com/office/drawing/2014/main" id="{D19BFB6E-D82F-49D8-AC74-DC75045714B8}"/>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34250" y="429768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267</xdr:row>
      <xdr:rowOff>19050</xdr:rowOff>
    </xdr:from>
    <xdr:to>
      <xdr:col>24</xdr:col>
      <xdr:colOff>47625</xdr:colOff>
      <xdr:row>267</xdr:row>
      <xdr:rowOff>142875</xdr:rowOff>
    </xdr:to>
    <xdr:pic>
      <xdr:nvPicPr>
        <xdr:cNvPr id="275090" name="617 Imagen" descr="seri icono.png">
          <a:extLst>
            <a:ext uri="{FF2B5EF4-FFF2-40B4-BE49-F238E27FC236}">
              <a16:creationId xmlns:a16="http://schemas.microsoft.com/office/drawing/2014/main" id="{F8C03BE7-D908-4C70-B7C9-EDD61948B56F}"/>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34250" y="431292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264</xdr:row>
      <xdr:rowOff>19050</xdr:rowOff>
    </xdr:from>
    <xdr:to>
      <xdr:col>24</xdr:col>
      <xdr:colOff>47625</xdr:colOff>
      <xdr:row>264</xdr:row>
      <xdr:rowOff>142875</xdr:rowOff>
    </xdr:to>
    <xdr:pic>
      <xdr:nvPicPr>
        <xdr:cNvPr id="275091" name="618 Imagen" descr="laser icono.png">
          <a:extLst>
            <a:ext uri="{FF2B5EF4-FFF2-40B4-BE49-F238E27FC236}">
              <a16:creationId xmlns:a16="http://schemas.microsoft.com/office/drawing/2014/main" id="{6236EB1F-2F3B-4DA3-98BE-B917123D7162}"/>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34250" y="426720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263</xdr:row>
      <xdr:rowOff>19050</xdr:rowOff>
    </xdr:from>
    <xdr:to>
      <xdr:col>24</xdr:col>
      <xdr:colOff>47625</xdr:colOff>
      <xdr:row>263</xdr:row>
      <xdr:rowOff>142875</xdr:rowOff>
    </xdr:to>
    <xdr:pic>
      <xdr:nvPicPr>
        <xdr:cNvPr id="275092" name="619 Imagen" descr="laser icono.png">
          <a:extLst>
            <a:ext uri="{FF2B5EF4-FFF2-40B4-BE49-F238E27FC236}">
              <a16:creationId xmlns:a16="http://schemas.microsoft.com/office/drawing/2014/main" id="{49257B3C-36DC-4F8D-B6A6-CDFC96A73F8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34250" y="425196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261</xdr:row>
      <xdr:rowOff>19050</xdr:rowOff>
    </xdr:from>
    <xdr:to>
      <xdr:col>24</xdr:col>
      <xdr:colOff>47625</xdr:colOff>
      <xdr:row>261</xdr:row>
      <xdr:rowOff>142875</xdr:rowOff>
    </xdr:to>
    <xdr:pic>
      <xdr:nvPicPr>
        <xdr:cNvPr id="275093" name="620 Imagen" descr="laser icono.png">
          <a:extLst>
            <a:ext uri="{FF2B5EF4-FFF2-40B4-BE49-F238E27FC236}">
              <a16:creationId xmlns:a16="http://schemas.microsoft.com/office/drawing/2014/main" id="{45FD4C15-BDDF-4841-9AB5-7CD787B13DC8}"/>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34250" y="422148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260</xdr:row>
      <xdr:rowOff>19050</xdr:rowOff>
    </xdr:from>
    <xdr:to>
      <xdr:col>24</xdr:col>
      <xdr:colOff>47625</xdr:colOff>
      <xdr:row>260</xdr:row>
      <xdr:rowOff>142875</xdr:rowOff>
    </xdr:to>
    <xdr:pic>
      <xdr:nvPicPr>
        <xdr:cNvPr id="275094" name="621 Imagen" descr="laser icono.png">
          <a:extLst>
            <a:ext uri="{FF2B5EF4-FFF2-40B4-BE49-F238E27FC236}">
              <a16:creationId xmlns:a16="http://schemas.microsoft.com/office/drawing/2014/main" id="{2C98F66E-42E5-4C4D-8018-EE026F6EC05D}"/>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34250" y="420624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259</xdr:row>
      <xdr:rowOff>19050</xdr:rowOff>
    </xdr:from>
    <xdr:to>
      <xdr:col>24</xdr:col>
      <xdr:colOff>47625</xdr:colOff>
      <xdr:row>259</xdr:row>
      <xdr:rowOff>142875</xdr:rowOff>
    </xdr:to>
    <xdr:pic>
      <xdr:nvPicPr>
        <xdr:cNvPr id="275095" name="622 Imagen" descr="laser icono.png">
          <a:extLst>
            <a:ext uri="{FF2B5EF4-FFF2-40B4-BE49-F238E27FC236}">
              <a16:creationId xmlns:a16="http://schemas.microsoft.com/office/drawing/2014/main" id="{E9DCD936-D695-4ED6-8F91-2F5E6477B4ED}"/>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34250" y="419100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257</xdr:row>
      <xdr:rowOff>19050</xdr:rowOff>
    </xdr:from>
    <xdr:to>
      <xdr:col>24</xdr:col>
      <xdr:colOff>47625</xdr:colOff>
      <xdr:row>257</xdr:row>
      <xdr:rowOff>142875</xdr:rowOff>
    </xdr:to>
    <xdr:pic>
      <xdr:nvPicPr>
        <xdr:cNvPr id="275101" name="628 Imagen" descr="laser icono.png">
          <a:extLst>
            <a:ext uri="{FF2B5EF4-FFF2-40B4-BE49-F238E27FC236}">
              <a16:creationId xmlns:a16="http://schemas.microsoft.com/office/drawing/2014/main" id="{DAB49FFA-C700-4011-9BE5-F0FCA133F73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477125" y="478631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252</xdr:row>
      <xdr:rowOff>19050</xdr:rowOff>
    </xdr:from>
    <xdr:to>
      <xdr:col>24</xdr:col>
      <xdr:colOff>47625</xdr:colOff>
      <xdr:row>252</xdr:row>
      <xdr:rowOff>144555</xdr:rowOff>
    </xdr:to>
    <xdr:pic>
      <xdr:nvPicPr>
        <xdr:cNvPr id="275110" name="637 Imagen" descr="tampo icono.png">
          <a:extLst>
            <a:ext uri="{FF2B5EF4-FFF2-40B4-BE49-F238E27FC236}">
              <a16:creationId xmlns:a16="http://schemas.microsoft.com/office/drawing/2014/main" id="{FFEAE608-2502-480A-97A7-7D85B68E5301}"/>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7477125" y="4572952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254</xdr:row>
      <xdr:rowOff>19050</xdr:rowOff>
    </xdr:from>
    <xdr:to>
      <xdr:col>24</xdr:col>
      <xdr:colOff>47625</xdr:colOff>
      <xdr:row>254</xdr:row>
      <xdr:rowOff>142875</xdr:rowOff>
    </xdr:to>
    <xdr:pic>
      <xdr:nvPicPr>
        <xdr:cNvPr id="275117" name="644 Imagen" descr="seri icono.png">
          <a:extLst>
            <a:ext uri="{FF2B5EF4-FFF2-40B4-BE49-F238E27FC236}">
              <a16:creationId xmlns:a16="http://schemas.microsoft.com/office/drawing/2014/main" id="{40E98DEB-CF6F-461C-8332-16587C866D04}"/>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477125" y="461867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255</xdr:row>
      <xdr:rowOff>19050</xdr:rowOff>
    </xdr:from>
    <xdr:to>
      <xdr:col>24</xdr:col>
      <xdr:colOff>47625</xdr:colOff>
      <xdr:row>255</xdr:row>
      <xdr:rowOff>142875</xdr:rowOff>
    </xdr:to>
    <xdr:pic>
      <xdr:nvPicPr>
        <xdr:cNvPr id="275118" name="645 Imagen" descr="seri icono.png">
          <a:extLst>
            <a:ext uri="{FF2B5EF4-FFF2-40B4-BE49-F238E27FC236}">
              <a16:creationId xmlns:a16="http://schemas.microsoft.com/office/drawing/2014/main" id="{9567E3E9-D199-4923-9663-2E46D56DD087}"/>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477125" y="463391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66675</xdr:colOff>
      <xdr:row>255</xdr:row>
      <xdr:rowOff>19050</xdr:rowOff>
    </xdr:from>
    <xdr:to>
      <xdr:col>26</xdr:col>
      <xdr:colOff>9524</xdr:colOff>
      <xdr:row>255</xdr:row>
      <xdr:rowOff>142875</xdr:rowOff>
    </xdr:to>
    <xdr:pic>
      <xdr:nvPicPr>
        <xdr:cNvPr id="275119" name="653 Imagen" descr="CON CALENDARIO ICONO.png">
          <a:extLst>
            <a:ext uri="{FF2B5EF4-FFF2-40B4-BE49-F238E27FC236}">
              <a16:creationId xmlns:a16="http://schemas.microsoft.com/office/drawing/2014/main" id="{3451191E-94C4-41B8-95BE-63FB6DCA1F3F}"/>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8315325" y="463391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66675</xdr:colOff>
      <xdr:row>254</xdr:row>
      <xdr:rowOff>19050</xdr:rowOff>
    </xdr:from>
    <xdr:to>
      <xdr:col>26</xdr:col>
      <xdr:colOff>9524</xdr:colOff>
      <xdr:row>254</xdr:row>
      <xdr:rowOff>142875</xdr:rowOff>
    </xdr:to>
    <xdr:pic>
      <xdr:nvPicPr>
        <xdr:cNvPr id="275120" name="654 Imagen" descr="CON CALENDARIO ICONO.png">
          <a:extLst>
            <a:ext uri="{FF2B5EF4-FFF2-40B4-BE49-F238E27FC236}">
              <a16:creationId xmlns:a16="http://schemas.microsoft.com/office/drawing/2014/main" id="{D2F6B91D-C3BE-47B0-BD2F-D7C383BBD594}"/>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8315325" y="461867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222</xdr:row>
      <xdr:rowOff>19050</xdr:rowOff>
    </xdr:from>
    <xdr:to>
      <xdr:col>24</xdr:col>
      <xdr:colOff>47625</xdr:colOff>
      <xdr:row>222</xdr:row>
      <xdr:rowOff>142875</xdr:rowOff>
    </xdr:to>
    <xdr:pic>
      <xdr:nvPicPr>
        <xdr:cNvPr id="275158" name="702 Imagen" descr="laser fibra icono.png">
          <a:extLst>
            <a:ext uri="{FF2B5EF4-FFF2-40B4-BE49-F238E27FC236}">
              <a16:creationId xmlns:a16="http://schemas.microsoft.com/office/drawing/2014/main" id="{A84E498A-D1D2-406F-9CCF-947161A9D7FB}"/>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34250" y="429768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217</xdr:row>
      <xdr:rowOff>19050</xdr:rowOff>
    </xdr:from>
    <xdr:to>
      <xdr:col>24</xdr:col>
      <xdr:colOff>47625</xdr:colOff>
      <xdr:row>217</xdr:row>
      <xdr:rowOff>144555</xdr:rowOff>
    </xdr:to>
    <xdr:pic>
      <xdr:nvPicPr>
        <xdr:cNvPr id="275162" name="706 Imagen" descr="seri icono.png">
          <a:extLst>
            <a:ext uri="{FF2B5EF4-FFF2-40B4-BE49-F238E27FC236}">
              <a16:creationId xmlns:a16="http://schemas.microsoft.com/office/drawing/2014/main" id="{02C04E86-38B2-4D45-9CC7-86DA274F3A42}"/>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34250" y="41757600"/>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216</xdr:row>
      <xdr:rowOff>19050</xdr:rowOff>
    </xdr:from>
    <xdr:to>
      <xdr:col>24</xdr:col>
      <xdr:colOff>47625</xdr:colOff>
      <xdr:row>216</xdr:row>
      <xdr:rowOff>142875</xdr:rowOff>
    </xdr:to>
    <xdr:pic>
      <xdr:nvPicPr>
        <xdr:cNvPr id="275165" name="709 Imagen" descr="tampo icono.png">
          <a:extLst>
            <a:ext uri="{FF2B5EF4-FFF2-40B4-BE49-F238E27FC236}">
              <a16:creationId xmlns:a16="http://schemas.microsoft.com/office/drawing/2014/main" id="{337D71CC-0B92-418D-9CF3-B7ACB14E4ADE}"/>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7334250" y="416052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214</xdr:row>
      <xdr:rowOff>19050</xdr:rowOff>
    </xdr:from>
    <xdr:to>
      <xdr:col>24</xdr:col>
      <xdr:colOff>47625</xdr:colOff>
      <xdr:row>214</xdr:row>
      <xdr:rowOff>142875</xdr:rowOff>
    </xdr:to>
    <xdr:pic>
      <xdr:nvPicPr>
        <xdr:cNvPr id="275181" name="734 Imagen" descr="SERI UN LADO ICONO.png">
          <a:extLst>
            <a:ext uri="{FF2B5EF4-FFF2-40B4-BE49-F238E27FC236}">
              <a16:creationId xmlns:a16="http://schemas.microsoft.com/office/drawing/2014/main" id="{4AA2EF4B-6568-4D4F-8229-43FC94042AED}"/>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7334250" y="411480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205</xdr:row>
      <xdr:rowOff>19050</xdr:rowOff>
    </xdr:from>
    <xdr:to>
      <xdr:col>24</xdr:col>
      <xdr:colOff>47625</xdr:colOff>
      <xdr:row>205</xdr:row>
      <xdr:rowOff>142875</xdr:rowOff>
    </xdr:to>
    <xdr:pic>
      <xdr:nvPicPr>
        <xdr:cNvPr id="275197" name="754 Imagen" descr="seri icono.png">
          <a:extLst>
            <a:ext uri="{FF2B5EF4-FFF2-40B4-BE49-F238E27FC236}">
              <a16:creationId xmlns:a16="http://schemas.microsoft.com/office/drawing/2014/main" id="{E7BD849F-C43A-4214-B60F-94F6C439AF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34250" y="365664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206</xdr:row>
      <xdr:rowOff>19050</xdr:rowOff>
    </xdr:from>
    <xdr:to>
      <xdr:col>24</xdr:col>
      <xdr:colOff>47625</xdr:colOff>
      <xdr:row>206</xdr:row>
      <xdr:rowOff>142875</xdr:rowOff>
    </xdr:to>
    <xdr:pic>
      <xdr:nvPicPr>
        <xdr:cNvPr id="275198" name="755 Imagen" descr="seri icono.png">
          <a:extLst>
            <a:ext uri="{FF2B5EF4-FFF2-40B4-BE49-F238E27FC236}">
              <a16:creationId xmlns:a16="http://schemas.microsoft.com/office/drawing/2014/main" id="{6F01BA60-336D-4566-99D4-4BE1A3E5247D}"/>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34250" y="367188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201</xdr:row>
      <xdr:rowOff>19050</xdr:rowOff>
    </xdr:from>
    <xdr:to>
      <xdr:col>24</xdr:col>
      <xdr:colOff>47625</xdr:colOff>
      <xdr:row>201</xdr:row>
      <xdr:rowOff>142875</xdr:rowOff>
    </xdr:to>
    <xdr:pic>
      <xdr:nvPicPr>
        <xdr:cNvPr id="275207" name="764 Imagen" descr="seri icono.png">
          <a:extLst>
            <a:ext uri="{FF2B5EF4-FFF2-40B4-BE49-F238E27FC236}">
              <a16:creationId xmlns:a16="http://schemas.microsoft.com/office/drawing/2014/main" id="{9F03D5B2-AEA3-42C2-9915-27D07A53F101}"/>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34250" y="316611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200</xdr:row>
      <xdr:rowOff>19050</xdr:rowOff>
    </xdr:from>
    <xdr:to>
      <xdr:col>24</xdr:col>
      <xdr:colOff>47625</xdr:colOff>
      <xdr:row>200</xdr:row>
      <xdr:rowOff>142875</xdr:rowOff>
    </xdr:to>
    <xdr:pic>
      <xdr:nvPicPr>
        <xdr:cNvPr id="275208" name="765 Imagen" descr="seri icono.png">
          <a:extLst>
            <a:ext uri="{FF2B5EF4-FFF2-40B4-BE49-F238E27FC236}">
              <a16:creationId xmlns:a16="http://schemas.microsoft.com/office/drawing/2014/main" id="{8988DF02-C87F-4315-BE6C-E457735D2D37}"/>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34250" y="315087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189</xdr:row>
      <xdr:rowOff>19050</xdr:rowOff>
    </xdr:from>
    <xdr:to>
      <xdr:col>24</xdr:col>
      <xdr:colOff>47625</xdr:colOff>
      <xdr:row>189</xdr:row>
      <xdr:rowOff>142875</xdr:rowOff>
    </xdr:to>
    <xdr:pic>
      <xdr:nvPicPr>
        <xdr:cNvPr id="275216" name="773 Imagen" descr="seri icono.png">
          <a:extLst>
            <a:ext uri="{FF2B5EF4-FFF2-40B4-BE49-F238E27FC236}">
              <a16:creationId xmlns:a16="http://schemas.microsoft.com/office/drawing/2014/main" id="{351C1A97-3ACA-4F51-ADBF-DADEE5B25978}"/>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62825" y="333279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190</xdr:row>
      <xdr:rowOff>19050</xdr:rowOff>
    </xdr:from>
    <xdr:to>
      <xdr:col>24</xdr:col>
      <xdr:colOff>47625</xdr:colOff>
      <xdr:row>190</xdr:row>
      <xdr:rowOff>142875</xdr:rowOff>
    </xdr:to>
    <xdr:pic>
      <xdr:nvPicPr>
        <xdr:cNvPr id="275217" name="774 Imagen" descr="seri icono.png">
          <a:extLst>
            <a:ext uri="{FF2B5EF4-FFF2-40B4-BE49-F238E27FC236}">
              <a16:creationId xmlns:a16="http://schemas.microsoft.com/office/drawing/2014/main" id="{FDD30D56-705F-4DFD-A41F-F6FCCC5BF265}"/>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15200" y="334899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191</xdr:row>
      <xdr:rowOff>19050</xdr:rowOff>
    </xdr:from>
    <xdr:to>
      <xdr:col>24</xdr:col>
      <xdr:colOff>47625</xdr:colOff>
      <xdr:row>191</xdr:row>
      <xdr:rowOff>142875</xdr:rowOff>
    </xdr:to>
    <xdr:pic>
      <xdr:nvPicPr>
        <xdr:cNvPr id="275218" name="775 Imagen" descr="seri icono.png">
          <a:extLst>
            <a:ext uri="{FF2B5EF4-FFF2-40B4-BE49-F238E27FC236}">
              <a16:creationId xmlns:a16="http://schemas.microsoft.com/office/drawing/2014/main" id="{6E2629A9-1BB3-43EB-BF8D-E9E1D9C7191E}"/>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15200" y="33642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192</xdr:row>
      <xdr:rowOff>19050</xdr:rowOff>
    </xdr:from>
    <xdr:to>
      <xdr:col>24</xdr:col>
      <xdr:colOff>47625</xdr:colOff>
      <xdr:row>192</xdr:row>
      <xdr:rowOff>142875</xdr:rowOff>
    </xdr:to>
    <xdr:pic>
      <xdr:nvPicPr>
        <xdr:cNvPr id="275219" name="776 Imagen" descr="seri icono.png">
          <a:extLst>
            <a:ext uri="{FF2B5EF4-FFF2-40B4-BE49-F238E27FC236}">
              <a16:creationId xmlns:a16="http://schemas.microsoft.com/office/drawing/2014/main" id="{3E460A3E-6EEF-4DC9-817C-C8B27DC3EC3B}"/>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15200" y="337947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193</xdr:row>
      <xdr:rowOff>19050</xdr:rowOff>
    </xdr:from>
    <xdr:to>
      <xdr:col>24</xdr:col>
      <xdr:colOff>47625</xdr:colOff>
      <xdr:row>193</xdr:row>
      <xdr:rowOff>142875</xdr:rowOff>
    </xdr:to>
    <xdr:pic>
      <xdr:nvPicPr>
        <xdr:cNvPr id="275220" name="777 Imagen" descr="seri icono.png">
          <a:extLst>
            <a:ext uri="{FF2B5EF4-FFF2-40B4-BE49-F238E27FC236}">
              <a16:creationId xmlns:a16="http://schemas.microsoft.com/office/drawing/2014/main" id="{703A9137-7094-4DD2-81A2-72E8BB08DDFA}"/>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15200" y="339471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194</xdr:row>
      <xdr:rowOff>19050</xdr:rowOff>
    </xdr:from>
    <xdr:to>
      <xdr:col>24</xdr:col>
      <xdr:colOff>47625</xdr:colOff>
      <xdr:row>194</xdr:row>
      <xdr:rowOff>142875</xdr:rowOff>
    </xdr:to>
    <xdr:pic>
      <xdr:nvPicPr>
        <xdr:cNvPr id="275221" name="778 Imagen" descr="seri icono.png">
          <a:extLst>
            <a:ext uri="{FF2B5EF4-FFF2-40B4-BE49-F238E27FC236}">
              <a16:creationId xmlns:a16="http://schemas.microsoft.com/office/drawing/2014/main" id="{3A3D82BB-3E35-4387-9C35-FDE9C572E27B}"/>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15200" y="340995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185</xdr:row>
      <xdr:rowOff>19050</xdr:rowOff>
    </xdr:from>
    <xdr:to>
      <xdr:col>24</xdr:col>
      <xdr:colOff>47625</xdr:colOff>
      <xdr:row>185</xdr:row>
      <xdr:rowOff>142875</xdr:rowOff>
    </xdr:to>
    <xdr:pic>
      <xdr:nvPicPr>
        <xdr:cNvPr id="275225" name="783 Imagen" descr="tampo icono.png">
          <a:extLst>
            <a:ext uri="{FF2B5EF4-FFF2-40B4-BE49-F238E27FC236}">
              <a16:creationId xmlns:a16="http://schemas.microsoft.com/office/drawing/2014/main" id="{388F74A9-B543-475C-B70E-8B712B0582CC}"/>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7315200" y="327279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178</xdr:row>
      <xdr:rowOff>19050</xdr:rowOff>
    </xdr:from>
    <xdr:to>
      <xdr:col>24</xdr:col>
      <xdr:colOff>47625</xdr:colOff>
      <xdr:row>178</xdr:row>
      <xdr:rowOff>142875</xdr:rowOff>
    </xdr:to>
    <xdr:pic>
      <xdr:nvPicPr>
        <xdr:cNvPr id="275227" name="785 Imagen" descr="laser icono.png">
          <a:extLst>
            <a:ext uri="{FF2B5EF4-FFF2-40B4-BE49-F238E27FC236}">
              <a16:creationId xmlns:a16="http://schemas.microsoft.com/office/drawing/2014/main" id="{5A1933A6-AD38-4DDD-AC59-E1FEB0641BDE}"/>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15200" y="32880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66675</xdr:colOff>
      <xdr:row>178</xdr:row>
      <xdr:rowOff>19050</xdr:rowOff>
    </xdr:from>
    <xdr:to>
      <xdr:col>26</xdr:col>
      <xdr:colOff>9524</xdr:colOff>
      <xdr:row>178</xdr:row>
      <xdr:rowOff>142875</xdr:rowOff>
    </xdr:to>
    <xdr:pic>
      <xdr:nvPicPr>
        <xdr:cNvPr id="275228" name="786 Imagen" descr="hasta 16 icono.png">
          <a:extLst>
            <a:ext uri="{FF2B5EF4-FFF2-40B4-BE49-F238E27FC236}">
              <a16:creationId xmlns:a16="http://schemas.microsoft.com/office/drawing/2014/main" id="{C7DA5D71-6A9E-47E3-8039-AB1076C05473}"/>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8181975" y="281559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171</xdr:row>
      <xdr:rowOff>19050</xdr:rowOff>
    </xdr:from>
    <xdr:to>
      <xdr:col>24</xdr:col>
      <xdr:colOff>47625</xdr:colOff>
      <xdr:row>171</xdr:row>
      <xdr:rowOff>142875</xdr:rowOff>
    </xdr:to>
    <xdr:pic>
      <xdr:nvPicPr>
        <xdr:cNvPr id="275237" name="797 Imagen" descr="tampo icono.png">
          <a:extLst>
            <a:ext uri="{FF2B5EF4-FFF2-40B4-BE49-F238E27FC236}">
              <a16:creationId xmlns:a16="http://schemas.microsoft.com/office/drawing/2014/main" id="{29EB3621-30D2-4756-8EDD-C176722614F6}"/>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7315200" y="311943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167</xdr:row>
      <xdr:rowOff>19050</xdr:rowOff>
    </xdr:from>
    <xdr:to>
      <xdr:col>24</xdr:col>
      <xdr:colOff>47625</xdr:colOff>
      <xdr:row>167</xdr:row>
      <xdr:rowOff>142875</xdr:rowOff>
    </xdr:to>
    <xdr:pic>
      <xdr:nvPicPr>
        <xdr:cNvPr id="275239" name="799 Imagen" descr="laser fibra icono.png">
          <a:extLst>
            <a:ext uri="{FF2B5EF4-FFF2-40B4-BE49-F238E27FC236}">
              <a16:creationId xmlns:a16="http://schemas.microsoft.com/office/drawing/2014/main" id="{EDD32002-13BF-4860-8699-927BE304514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15200" y="305847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168</xdr:row>
      <xdr:rowOff>19050</xdr:rowOff>
    </xdr:from>
    <xdr:to>
      <xdr:col>24</xdr:col>
      <xdr:colOff>47625</xdr:colOff>
      <xdr:row>168</xdr:row>
      <xdr:rowOff>142875</xdr:rowOff>
    </xdr:to>
    <xdr:pic>
      <xdr:nvPicPr>
        <xdr:cNvPr id="275240" name="800 Imagen" descr="laser fibra icono.png">
          <a:extLst>
            <a:ext uri="{FF2B5EF4-FFF2-40B4-BE49-F238E27FC236}">
              <a16:creationId xmlns:a16="http://schemas.microsoft.com/office/drawing/2014/main" id="{0C26C14E-6138-4998-9C48-BA277F11FB23}"/>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15200" y="307371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161</xdr:row>
      <xdr:rowOff>19050</xdr:rowOff>
    </xdr:from>
    <xdr:to>
      <xdr:col>24</xdr:col>
      <xdr:colOff>47625</xdr:colOff>
      <xdr:row>161</xdr:row>
      <xdr:rowOff>142875</xdr:rowOff>
    </xdr:to>
    <xdr:pic>
      <xdr:nvPicPr>
        <xdr:cNvPr id="275247" name="807 Imagen" descr="laser fibra icono.png">
          <a:extLst>
            <a:ext uri="{FF2B5EF4-FFF2-40B4-BE49-F238E27FC236}">
              <a16:creationId xmlns:a16="http://schemas.microsoft.com/office/drawing/2014/main" id="{F302071C-F7CB-4969-BF84-3CE568E6647C}"/>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15200" y="298227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148</xdr:row>
      <xdr:rowOff>19050</xdr:rowOff>
    </xdr:from>
    <xdr:to>
      <xdr:col>24</xdr:col>
      <xdr:colOff>47625</xdr:colOff>
      <xdr:row>148</xdr:row>
      <xdr:rowOff>142875</xdr:rowOff>
    </xdr:to>
    <xdr:pic>
      <xdr:nvPicPr>
        <xdr:cNvPr id="275248" name="811 Imagen" descr="laser color icono.png">
          <a:extLst>
            <a:ext uri="{FF2B5EF4-FFF2-40B4-BE49-F238E27FC236}">
              <a16:creationId xmlns:a16="http://schemas.microsoft.com/office/drawing/2014/main" id="{91DF9F17-F6A9-4DA7-B40B-3F128F1A07B7}"/>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7315200" y="287559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57150</xdr:colOff>
      <xdr:row>148</xdr:row>
      <xdr:rowOff>19050</xdr:rowOff>
    </xdr:from>
    <xdr:to>
      <xdr:col>26</xdr:col>
      <xdr:colOff>9524</xdr:colOff>
      <xdr:row>148</xdr:row>
      <xdr:rowOff>142875</xdr:rowOff>
    </xdr:to>
    <xdr:pic>
      <xdr:nvPicPr>
        <xdr:cNvPr id="275249" name="812 Imagen" descr="offset icono.png">
          <a:extLst>
            <a:ext uri="{FF2B5EF4-FFF2-40B4-BE49-F238E27FC236}">
              <a16:creationId xmlns:a16="http://schemas.microsoft.com/office/drawing/2014/main" id="{3950E88B-1F91-4A7D-AE59-F5FB81ED31F4}"/>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8143875" y="28755975"/>
          <a:ext cx="8286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149</xdr:row>
      <xdr:rowOff>19050</xdr:rowOff>
    </xdr:from>
    <xdr:to>
      <xdr:col>24</xdr:col>
      <xdr:colOff>47625</xdr:colOff>
      <xdr:row>149</xdr:row>
      <xdr:rowOff>142875</xdr:rowOff>
    </xdr:to>
    <xdr:pic>
      <xdr:nvPicPr>
        <xdr:cNvPr id="275250" name="813 Imagen" descr="laser color icono.png">
          <a:extLst>
            <a:ext uri="{FF2B5EF4-FFF2-40B4-BE49-F238E27FC236}">
              <a16:creationId xmlns:a16="http://schemas.microsoft.com/office/drawing/2014/main" id="{DD597B2D-222E-4DB3-9D0D-5208109BAD78}"/>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7315200" y="289083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57150</xdr:colOff>
      <xdr:row>149</xdr:row>
      <xdr:rowOff>19050</xdr:rowOff>
    </xdr:from>
    <xdr:to>
      <xdr:col>26</xdr:col>
      <xdr:colOff>9524</xdr:colOff>
      <xdr:row>149</xdr:row>
      <xdr:rowOff>142875</xdr:rowOff>
    </xdr:to>
    <xdr:pic>
      <xdr:nvPicPr>
        <xdr:cNvPr id="275251" name="814 Imagen" descr="offset icono.png">
          <a:extLst>
            <a:ext uri="{FF2B5EF4-FFF2-40B4-BE49-F238E27FC236}">
              <a16:creationId xmlns:a16="http://schemas.microsoft.com/office/drawing/2014/main" id="{B262CDDA-ADBB-446F-A210-F842E748A75A}"/>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8143875" y="28908375"/>
          <a:ext cx="8286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150</xdr:row>
      <xdr:rowOff>19050</xdr:rowOff>
    </xdr:from>
    <xdr:to>
      <xdr:col>24</xdr:col>
      <xdr:colOff>47625</xdr:colOff>
      <xdr:row>150</xdr:row>
      <xdr:rowOff>142875</xdr:rowOff>
    </xdr:to>
    <xdr:pic>
      <xdr:nvPicPr>
        <xdr:cNvPr id="275252" name="815 Imagen" descr="laser color icono.png">
          <a:extLst>
            <a:ext uri="{FF2B5EF4-FFF2-40B4-BE49-F238E27FC236}">
              <a16:creationId xmlns:a16="http://schemas.microsoft.com/office/drawing/2014/main" id="{2070BF63-C3DC-44E6-B4C8-5CEDFD87B07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7315200" y="290607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57150</xdr:colOff>
      <xdr:row>150</xdr:row>
      <xdr:rowOff>19050</xdr:rowOff>
    </xdr:from>
    <xdr:to>
      <xdr:col>26</xdr:col>
      <xdr:colOff>9524</xdr:colOff>
      <xdr:row>150</xdr:row>
      <xdr:rowOff>142875</xdr:rowOff>
    </xdr:to>
    <xdr:pic>
      <xdr:nvPicPr>
        <xdr:cNvPr id="275253" name="816 Imagen" descr="offset icono.png">
          <a:extLst>
            <a:ext uri="{FF2B5EF4-FFF2-40B4-BE49-F238E27FC236}">
              <a16:creationId xmlns:a16="http://schemas.microsoft.com/office/drawing/2014/main" id="{6EA362F0-8D64-435C-86AC-A60D37D114B1}"/>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8143875" y="29060775"/>
          <a:ext cx="8286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151</xdr:row>
      <xdr:rowOff>19050</xdr:rowOff>
    </xdr:from>
    <xdr:to>
      <xdr:col>24</xdr:col>
      <xdr:colOff>47625</xdr:colOff>
      <xdr:row>151</xdr:row>
      <xdr:rowOff>142875</xdr:rowOff>
    </xdr:to>
    <xdr:pic>
      <xdr:nvPicPr>
        <xdr:cNvPr id="275254" name="817 Imagen" descr="laser color icono.png">
          <a:extLst>
            <a:ext uri="{FF2B5EF4-FFF2-40B4-BE49-F238E27FC236}">
              <a16:creationId xmlns:a16="http://schemas.microsoft.com/office/drawing/2014/main" id="{D260EAF6-4625-484A-8F69-662E95355A08}"/>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7315200" y="292131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57150</xdr:colOff>
      <xdr:row>151</xdr:row>
      <xdr:rowOff>19050</xdr:rowOff>
    </xdr:from>
    <xdr:to>
      <xdr:col>26</xdr:col>
      <xdr:colOff>9524</xdr:colOff>
      <xdr:row>151</xdr:row>
      <xdr:rowOff>142875</xdr:rowOff>
    </xdr:to>
    <xdr:pic>
      <xdr:nvPicPr>
        <xdr:cNvPr id="275255" name="818 Imagen" descr="offset icono.png">
          <a:extLst>
            <a:ext uri="{FF2B5EF4-FFF2-40B4-BE49-F238E27FC236}">
              <a16:creationId xmlns:a16="http://schemas.microsoft.com/office/drawing/2014/main" id="{56F2BB5F-B75D-44E7-92A0-1A155E109C2A}"/>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8143875" y="29213175"/>
          <a:ext cx="8286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152</xdr:row>
      <xdr:rowOff>19050</xdr:rowOff>
    </xdr:from>
    <xdr:to>
      <xdr:col>24</xdr:col>
      <xdr:colOff>47625</xdr:colOff>
      <xdr:row>152</xdr:row>
      <xdr:rowOff>142875</xdr:rowOff>
    </xdr:to>
    <xdr:pic>
      <xdr:nvPicPr>
        <xdr:cNvPr id="275256" name="819 Imagen" descr="laser color icono.png">
          <a:extLst>
            <a:ext uri="{FF2B5EF4-FFF2-40B4-BE49-F238E27FC236}">
              <a16:creationId xmlns:a16="http://schemas.microsoft.com/office/drawing/2014/main" id="{2E9A30EA-C9EE-410B-8DA9-5E372F33C62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7315200" y="293655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57150</xdr:colOff>
      <xdr:row>152</xdr:row>
      <xdr:rowOff>19050</xdr:rowOff>
    </xdr:from>
    <xdr:to>
      <xdr:col>26</xdr:col>
      <xdr:colOff>9524</xdr:colOff>
      <xdr:row>152</xdr:row>
      <xdr:rowOff>142875</xdr:rowOff>
    </xdr:to>
    <xdr:pic>
      <xdr:nvPicPr>
        <xdr:cNvPr id="275257" name="820 Imagen" descr="offset icono.png">
          <a:extLst>
            <a:ext uri="{FF2B5EF4-FFF2-40B4-BE49-F238E27FC236}">
              <a16:creationId xmlns:a16="http://schemas.microsoft.com/office/drawing/2014/main" id="{1AEFE974-9524-487F-943D-FFCE66F0800B}"/>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8143875" y="29365575"/>
          <a:ext cx="8286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149</xdr:row>
      <xdr:rowOff>19050</xdr:rowOff>
    </xdr:from>
    <xdr:to>
      <xdr:col>9</xdr:col>
      <xdr:colOff>9526</xdr:colOff>
      <xdr:row>149</xdr:row>
      <xdr:rowOff>142875</xdr:rowOff>
    </xdr:to>
    <xdr:pic>
      <xdr:nvPicPr>
        <xdr:cNvPr id="275262" name="825 Imagen" descr="CONSULTAR ICONO.png">
          <a:extLst>
            <a:ext uri="{FF2B5EF4-FFF2-40B4-BE49-F238E27FC236}">
              <a16:creationId xmlns:a16="http://schemas.microsoft.com/office/drawing/2014/main" id="{5543434B-8549-4E44-8AAB-AB2922A57BC7}"/>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23364825"/>
          <a:ext cx="809626"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150</xdr:row>
      <xdr:rowOff>19050</xdr:rowOff>
    </xdr:from>
    <xdr:to>
      <xdr:col>9</xdr:col>
      <xdr:colOff>9526</xdr:colOff>
      <xdr:row>150</xdr:row>
      <xdr:rowOff>142875</xdr:rowOff>
    </xdr:to>
    <xdr:pic>
      <xdr:nvPicPr>
        <xdr:cNvPr id="275263" name="826 Imagen" descr="CONSULTAR ICONO.png">
          <a:extLst>
            <a:ext uri="{FF2B5EF4-FFF2-40B4-BE49-F238E27FC236}">
              <a16:creationId xmlns:a16="http://schemas.microsoft.com/office/drawing/2014/main" id="{83397A88-4E11-47C6-AFA3-D57797A01968}"/>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23517225"/>
          <a:ext cx="809626"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152</xdr:row>
      <xdr:rowOff>19050</xdr:rowOff>
    </xdr:from>
    <xdr:to>
      <xdr:col>9</xdr:col>
      <xdr:colOff>9526</xdr:colOff>
      <xdr:row>152</xdr:row>
      <xdr:rowOff>142875</xdr:rowOff>
    </xdr:to>
    <xdr:pic>
      <xdr:nvPicPr>
        <xdr:cNvPr id="275265" name="828 Imagen" descr="CONSULTAR ICONO.png">
          <a:extLst>
            <a:ext uri="{FF2B5EF4-FFF2-40B4-BE49-F238E27FC236}">
              <a16:creationId xmlns:a16="http://schemas.microsoft.com/office/drawing/2014/main" id="{7B8ECFAF-C2C7-436B-9BCE-51E420A1AD5B}"/>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23822025"/>
          <a:ext cx="809626"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145</xdr:row>
      <xdr:rowOff>19050</xdr:rowOff>
    </xdr:from>
    <xdr:to>
      <xdr:col>24</xdr:col>
      <xdr:colOff>47625</xdr:colOff>
      <xdr:row>145</xdr:row>
      <xdr:rowOff>142875</xdr:rowOff>
    </xdr:to>
    <xdr:pic>
      <xdr:nvPicPr>
        <xdr:cNvPr id="275268" name="835 Imagen" descr="laser fibra icono.png">
          <a:extLst>
            <a:ext uri="{FF2B5EF4-FFF2-40B4-BE49-F238E27FC236}">
              <a16:creationId xmlns:a16="http://schemas.microsoft.com/office/drawing/2014/main" id="{D2AD4819-374C-4587-8991-34EFDF126D89}"/>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15200" y="276891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131</xdr:row>
      <xdr:rowOff>19050</xdr:rowOff>
    </xdr:from>
    <xdr:to>
      <xdr:col>24</xdr:col>
      <xdr:colOff>47625</xdr:colOff>
      <xdr:row>131</xdr:row>
      <xdr:rowOff>142875</xdr:rowOff>
    </xdr:to>
    <xdr:pic>
      <xdr:nvPicPr>
        <xdr:cNvPr id="275270" name="837 Imagen" descr="laser icono.png">
          <a:extLst>
            <a:ext uri="{FF2B5EF4-FFF2-40B4-BE49-F238E27FC236}">
              <a16:creationId xmlns:a16="http://schemas.microsoft.com/office/drawing/2014/main" id="{43C5F0CA-8A65-4418-BFC5-4107FA5EC322}"/>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15200" y="257079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132</xdr:row>
      <xdr:rowOff>19050</xdr:rowOff>
    </xdr:from>
    <xdr:to>
      <xdr:col>24</xdr:col>
      <xdr:colOff>47625</xdr:colOff>
      <xdr:row>132</xdr:row>
      <xdr:rowOff>142875</xdr:rowOff>
    </xdr:to>
    <xdr:pic>
      <xdr:nvPicPr>
        <xdr:cNvPr id="275271" name="838 Imagen" descr="laser icono.png">
          <a:extLst>
            <a:ext uri="{FF2B5EF4-FFF2-40B4-BE49-F238E27FC236}">
              <a16:creationId xmlns:a16="http://schemas.microsoft.com/office/drawing/2014/main" id="{BF381C3A-6AE4-441C-A5F7-F958C60A5326}"/>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15200" y="258603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133</xdr:row>
      <xdr:rowOff>19050</xdr:rowOff>
    </xdr:from>
    <xdr:to>
      <xdr:col>24</xdr:col>
      <xdr:colOff>47625</xdr:colOff>
      <xdr:row>133</xdr:row>
      <xdr:rowOff>142875</xdr:rowOff>
    </xdr:to>
    <xdr:pic>
      <xdr:nvPicPr>
        <xdr:cNvPr id="275272" name="839 Imagen" descr="laser icono.png">
          <a:extLst>
            <a:ext uri="{FF2B5EF4-FFF2-40B4-BE49-F238E27FC236}">
              <a16:creationId xmlns:a16="http://schemas.microsoft.com/office/drawing/2014/main" id="{7244F48E-CCF5-45A7-8874-FEDE5C008AFD}"/>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15200" y="260127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135</xdr:row>
      <xdr:rowOff>19050</xdr:rowOff>
    </xdr:from>
    <xdr:to>
      <xdr:col>24</xdr:col>
      <xdr:colOff>47625</xdr:colOff>
      <xdr:row>135</xdr:row>
      <xdr:rowOff>142875</xdr:rowOff>
    </xdr:to>
    <xdr:pic>
      <xdr:nvPicPr>
        <xdr:cNvPr id="275274" name="841 Imagen" descr="dome icono.png">
          <a:extLst>
            <a:ext uri="{FF2B5EF4-FFF2-40B4-BE49-F238E27FC236}">
              <a16:creationId xmlns:a16="http://schemas.microsoft.com/office/drawing/2014/main" id="{8B4A8EF8-E404-4AD5-8580-12C8E12F4F57}"/>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7315200" y="263175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136</xdr:row>
      <xdr:rowOff>19050</xdr:rowOff>
    </xdr:from>
    <xdr:to>
      <xdr:col>24</xdr:col>
      <xdr:colOff>47625</xdr:colOff>
      <xdr:row>136</xdr:row>
      <xdr:rowOff>142875</xdr:rowOff>
    </xdr:to>
    <xdr:pic>
      <xdr:nvPicPr>
        <xdr:cNvPr id="275275" name="842 Imagen" descr="dome icono.png">
          <a:extLst>
            <a:ext uri="{FF2B5EF4-FFF2-40B4-BE49-F238E27FC236}">
              <a16:creationId xmlns:a16="http://schemas.microsoft.com/office/drawing/2014/main" id="{8E5DE0E7-FAC3-428E-A7AB-26AC353ED353}"/>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7315200" y="264699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137</xdr:row>
      <xdr:rowOff>19050</xdr:rowOff>
    </xdr:from>
    <xdr:to>
      <xdr:col>24</xdr:col>
      <xdr:colOff>47625</xdr:colOff>
      <xdr:row>137</xdr:row>
      <xdr:rowOff>142875</xdr:rowOff>
    </xdr:to>
    <xdr:pic>
      <xdr:nvPicPr>
        <xdr:cNvPr id="275276" name="844 Imagen" descr="SIN DOBLAR ICONO.png">
          <a:extLst>
            <a:ext uri="{FF2B5EF4-FFF2-40B4-BE49-F238E27FC236}">
              <a16:creationId xmlns:a16="http://schemas.microsoft.com/office/drawing/2014/main" id="{1FCA35C1-8F6B-4F0F-B530-C54D952386C3}"/>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7315200" y="266223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57150</xdr:colOff>
      <xdr:row>137</xdr:row>
      <xdr:rowOff>19050</xdr:rowOff>
    </xdr:from>
    <xdr:to>
      <xdr:col>26</xdr:col>
      <xdr:colOff>9524</xdr:colOff>
      <xdr:row>137</xdr:row>
      <xdr:rowOff>142875</xdr:rowOff>
    </xdr:to>
    <xdr:pic>
      <xdr:nvPicPr>
        <xdr:cNvPr id="275277" name="845 Imagen" descr="SIN CALENDARIO ICONO.png">
          <a:extLst>
            <a:ext uri="{FF2B5EF4-FFF2-40B4-BE49-F238E27FC236}">
              <a16:creationId xmlns:a16="http://schemas.microsoft.com/office/drawing/2014/main" id="{29144789-A92E-464E-963D-1C73AE05156A}"/>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8143875" y="26622375"/>
          <a:ext cx="8286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9525</xdr:colOff>
      <xdr:row>137</xdr:row>
      <xdr:rowOff>19050</xdr:rowOff>
    </xdr:from>
    <xdr:to>
      <xdr:col>26</xdr:col>
      <xdr:colOff>447675</xdr:colOff>
      <xdr:row>137</xdr:row>
      <xdr:rowOff>142875</xdr:rowOff>
    </xdr:to>
    <xdr:pic>
      <xdr:nvPicPr>
        <xdr:cNvPr id="275278" name="846 Imagen" descr="sin logo icono.png">
          <a:extLst>
            <a:ext uri="{FF2B5EF4-FFF2-40B4-BE49-F238E27FC236}">
              <a16:creationId xmlns:a16="http://schemas.microsoft.com/office/drawing/2014/main" id="{DB82FAD3-16B9-483A-A54A-62F9447B2AC3}"/>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8972550" y="26622375"/>
          <a:ext cx="438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138</xdr:row>
      <xdr:rowOff>19050</xdr:rowOff>
    </xdr:from>
    <xdr:to>
      <xdr:col>24</xdr:col>
      <xdr:colOff>47625</xdr:colOff>
      <xdr:row>138</xdr:row>
      <xdr:rowOff>142875</xdr:rowOff>
    </xdr:to>
    <xdr:pic>
      <xdr:nvPicPr>
        <xdr:cNvPr id="275279" name="847 Imagen" descr="SIN DOBLAR ICONO.png">
          <a:extLst>
            <a:ext uri="{FF2B5EF4-FFF2-40B4-BE49-F238E27FC236}">
              <a16:creationId xmlns:a16="http://schemas.microsoft.com/office/drawing/2014/main" id="{9D944AEC-677A-44BF-B312-4512BA838FB1}"/>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7315200" y="267747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9525</xdr:colOff>
      <xdr:row>138</xdr:row>
      <xdr:rowOff>19050</xdr:rowOff>
    </xdr:from>
    <xdr:to>
      <xdr:col>26</xdr:col>
      <xdr:colOff>447675</xdr:colOff>
      <xdr:row>138</xdr:row>
      <xdr:rowOff>142875</xdr:rowOff>
    </xdr:to>
    <xdr:pic>
      <xdr:nvPicPr>
        <xdr:cNvPr id="275280" name="848 Imagen" descr="sin logo icono.png">
          <a:extLst>
            <a:ext uri="{FF2B5EF4-FFF2-40B4-BE49-F238E27FC236}">
              <a16:creationId xmlns:a16="http://schemas.microsoft.com/office/drawing/2014/main" id="{E14DA748-939A-49E5-B86D-BCD10CDD212B}"/>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8972550" y="26774775"/>
          <a:ext cx="438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57150</xdr:colOff>
      <xdr:row>138</xdr:row>
      <xdr:rowOff>19050</xdr:rowOff>
    </xdr:from>
    <xdr:to>
      <xdr:col>26</xdr:col>
      <xdr:colOff>9524</xdr:colOff>
      <xdr:row>138</xdr:row>
      <xdr:rowOff>142875</xdr:rowOff>
    </xdr:to>
    <xdr:pic>
      <xdr:nvPicPr>
        <xdr:cNvPr id="275281" name="849 Imagen" descr="CON CALENDARIO ICONO.png">
          <a:extLst>
            <a:ext uri="{FF2B5EF4-FFF2-40B4-BE49-F238E27FC236}">
              <a16:creationId xmlns:a16="http://schemas.microsoft.com/office/drawing/2014/main" id="{EBE06ED2-05DD-44AC-A6E7-15E13352FA94}"/>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8143875" y="26774775"/>
          <a:ext cx="8286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139</xdr:row>
      <xdr:rowOff>19050</xdr:rowOff>
    </xdr:from>
    <xdr:to>
      <xdr:col>24</xdr:col>
      <xdr:colOff>47625</xdr:colOff>
      <xdr:row>139</xdr:row>
      <xdr:rowOff>142875</xdr:rowOff>
    </xdr:to>
    <xdr:pic>
      <xdr:nvPicPr>
        <xdr:cNvPr id="275282" name="850 Imagen" descr="DOBLADA ICONO.png">
          <a:extLst>
            <a:ext uri="{FF2B5EF4-FFF2-40B4-BE49-F238E27FC236}">
              <a16:creationId xmlns:a16="http://schemas.microsoft.com/office/drawing/2014/main" id="{34571477-C502-4C78-9347-432F3991B62A}"/>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7315200" y="269271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57150</xdr:colOff>
      <xdr:row>139</xdr:row>
      <xdr:rowOff>19050</xdr:rowOff>
    </xdr:from>
    <xdr:to>
      <xdr:col>26</xdr:col>
      <xdr:colOff>9524</xdr:colOff>
      <xdr:row>139</xdr:row>
      <xdr:rowOff>142875</xdr:rowOff>
    </xdr:to>
    <xdr:pic>
      <xdr:nvPicPr>
        <xdr:cNvPr id="275283" name="851 Imagen" descr="CON CALENDARIO ICONO.png">
          <a:extLst>
            <a:ext uri="{FF2B5EF4-FFF2-40B4-BE49-F238E27FC236}">
              <a16:creationId xmlns:a16="http://schemas.microsoft.com/office/drawing/2014/main" id="{1BF018DF-71FA-4B29-B068-AB51F56F0BD2}"/>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8143875" y="26927175"/>
          <a:ext cx="8286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9525</xdr:colOff>
      <xdr:row>139</xdr:row>
      <xdr:rowOff>19050</xdr:rowOff>
    </xdr:from>
    <xdr:to>
      <xdr:col>26</xdr:col>
      <xdr:colOff>447675</xdr:colOff>
      <xdr:row>139</xdr:row>
      <xdr:rowOff>142875</xdr:rowOff>
    </xdr:to>
    <xdr:pic>
      <xdr:nvPicPr>
        <xdr:cNvPr id="275284" name="852 Imagen" descr="CON LOGO ICONO.png">
          <a:extLst>
            <a:ext uri="{FF2B5EF4-FFF2-40B4-BE49-F238E27FC236}">
              <a16:creationId xmlns:a16="http://schemas.microsoft.com/office/drawing/2014/main" id="{98F0AFA9-2A39-401E-B7AE-D8D2E2A57041}"/>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8972550" y="26927175"/>
          <a:ext cx="438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142</xdr:row>
      <xdr:rowOff>19050</xdr:rowOff>
    </xdr:from>
    <xdr:to>
      <xdr:col>24</xdr:col>
      <xdr:colOff>47625</xdr:colOff>
      <xdr:row>142</xdr:row>
      <xdr:rowOff>142875</xdr:rowOff>
    </xdr:to>
    <xdr:pic>
      <xdr:nvPicPr>
        <xdr:cNvPr id="275285" name="853 Imagen" descr="SIN DOBLAR ICONO.png">
          <a:extLst>
            <a:ext uri="{FF2B5EF4-FFF2-40B4-BE49-F238E27FC236}">
              <a16:creationId xmlns:a16="http://schemas.microsoft.com/office/drawing/2014/main" id="{DA90AB68-45D6-470D-8354-B415E2E57FE8}"/>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7315200" y="272319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9525</xdr:colOff>
      <xdr:row>142</xdr:row>
      <xdr:rowOff>19050</xdr:rowOff>
    </xdr:from>
    <xdr:to>
      <xdr:col>26</xdr:col>
      <xdr:colOff>447675</xdr:colOff>
      <xdr:row>142</xdr:row>
      <xdr:rowOff>142875</xdr:rowOff>
    </xdr:to>
    <xdr:pic>
      <xdr:nvPicPr>
        <xdr:cNvPr id="275286" name="855 Imagen" descr="sin logo icono.png">
          <a:extLst>
            <a:ext uri="{FF2B5EF4-FFF2-40B4-BE49-F238E27FC236}">
              <a16:creationId xmlns:a16="http://schemas.microsoft.com/office/drawing/2014/main" id="{D4B0C480-D36F-44F1-A9B2-092835BDE8F3}"/>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8972550" y="27231975"/>
          <a:ext cx="438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141</xdr:row>
      <xdr:rowOff>19050</xdr:rowOff>
    </xdr:from>
    <xdr:to>
      <xdr:col>24</xdr:col>
      <xdr:colOff>47625</xdr:colOff>
      <xdr:row>141</xdr:row>
      <xdr:rowOff>142875</xdr:rowOff>
    </xdr:to>
    <xdr:pic>
      <xdr:nvPicPr>
        <xdr:cNvPr id="275287" name="856 Imagen" descr="SIN DOBLAR ICONO.png">
          <a:extLst>
            <a:ext uri="{FF2B5EF4-FFF2-40B4-BE49-F238E27FC236}">
              <a16:creationId xmlns:a16="http://schemas.microsoft.com/office/drawing/2014/main" id="{A65DC5C5-C75C-4EE3-9146-9D7388D4274D}"/>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7315200" y="270795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57150</xdr:colOff>
      <xdr:row>141</xdr:row>
      <xdr:rowOff>19050</xdr:rowOff>
    </xdr:from>
    <xdr:to>
      <xdr:col>26</xdr:col>
      <xdr:colOff>9524</xdr:colOff>
      <xdr:row>141</xdr:row>
      <xdr:rowOff>142875</xdr:rowOff>
    </xdr:to>
    <xdr:pic>
      <xdr:nvPicPr>
        <xdr:cNvPr id="275288" name="857 Imagen" descr="SIN CALENDARIO ICONO.png">
          <a:extLst>
            <a:ext uri="{FF2B5EF4-FFF2-40B4-BE49-F238E27FC236}">
              <a16:creationId xmlns:a16="http://schemas.microsoft.com/office/drawing/2014/main" id="{8637FDB9-4B16-49B6-B490-3A46AFB21F89}"/>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8143875" y="27079575"/>
          <a:ext cx="8286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9525</xdr:colOff>
      <xdr:row>141</xdr:row>
      <xdr:rowOff>19050</xdr:rowOff>
    </xdr:from>
    <xdr:to>
      <xdr:col>26</xdr:col>
      <xdr:colOff>447675</xdr:colOff>
      <xdr:row>141</xdr:row>
      <xdr:rowOff>142875</xdr:rowOff>
    </xdr:to>
    <xdr:pic>
      <xdr:nvPicPr>
        <xdr:cNvPr id="275289" name="858 Imagen" descr="sin logo icono.png">
          <a:extLst>
            <a:ext uri="{FF2B5EF4-FFF2-40B4-BE49-F238E27FC236}">
              <a16:creationId xmlns:a16="http://schemas.microsoft.com/office/drawing/2014/main" id="{E7176C45-EE5A-43C1-8680-CDB78CAE26A8}"/>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8972550" y="27079575"/>
          <a:ext cx="438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57150</xdr:colOff>
      <xdr:row>142</xdr:row>
      <xdr:rowOff>19050</xdr:rowOff>
    </xdr:from>
    <xdr:to>
      <xdr:col>26</xdr:col>
      <xdr:colOff>9524</xdr:colOff>
      <xdr:row>142</xdr:row>
      <xdr:rowOff>142875</xdr:rowOff>
    </xdr:to>
    <xdr:pic>
      <xdr:nvPicPr>
        <xdr:cNvPr id="275290" name="860 Imagen" descr="CON CALENDARIO ICONO.png">
          <a:extLst>
            <a:ext uri="{FF2B5EF4-FFF2-40B4-BE49-F238E27FC236}">
              <a16:creationId xmlns:a16="http://schemas.microsoft.com/office/drawing/2014/main" id="{F25B512E-B419-48F9-8CA1-2B1B824D0C47}"/>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8143875" y="27231975"/>
          <a:ext cx="8286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143</xdr:row>
      <xdr:rowOff>19050</xdr:rowOff>
    </xdr:from>
    <xdr:to>
      <xdr:col>24</xdr:col>
      <xdr:colOff>47625</xdr:colOff>
      <xdr:row>143</xdr:row>
      <xdr:rowOff>142875</xdr:rowOff>
    </xdr:to>
    <xdr:pic>
      <xdr:nvPicPr>
        <xdr:cNvPr id="275291" name="861 Imagen" descr="DOBLADA ICONO.png">
          <a:extLst>
            <a:ext uri="{FF2B5EF4-FFF2-40B4-BE49-F238E27FC236}">
              <a16:creationId xmlns:a16="http://schemas.microsoft.com/office/drawing/2014/main" id="{EC9004EB-5C04-4529-AD71-83142F78F389}"/>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7315200" y="273843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57150</xdr:colOff>
      <xdr:row>143</xdr:row>
      <xdr:rowOff>19050</xdr:rowOff>
    </xdr:from>
    <xdr:to>
      <xdr:col>26</xdr:col>
      <xdr:colOff>9524</xdr:colOff>
      <xdr:row>143</xdr:row>
      <xdr:rowOff>142875</xdr:rowOff>
    </xdr:to>
    <xdr:pic>
      <xdr:nvPicPr>
        <xdr:cNvPr id="275292" name="862 Imagen" descr="CON CALENDARIO ICONO.png">
          <a:extLst>
            <a:ext uri="{FF2B5EF4-FFF2-40B4-BE49-F238E27FC236}">
              <a16:creationId xmlns:a16="http://schemas.microsoft.com/office/drawing/2014/main" id="{971C153B-422B-453D-A1B1-D449386C58EF}"/>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8143875" y="27384375"/>
          <a:ext cx="8286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9525</xdr:colOff>
      <xdr:row>143</xdr:row>
      <xdr:rowOff>19050</xdr:rowOff>
    </xdr:from>
    <xdr:to>
      <xdr:col>26</xdr:col>
      <xdr:colOff>447675</xdr:colOff>
      <xdr:row>143</xdr:row>
      <xdr:rowOff>142875</xdr:rowOff>
    </xdr:to>
    <xdr:pic>
      <xdr:nvPicPr>
        <xdr:cNvPr id="275293" name="863 Imagen" descr="CON LOGO ICONO.png">
          <a:extLst>
            <a:ext uri="{FF2B5EF4-FFF2-40B4-BE49-F238E27FC236}">
              <a16:creationId xmlns:a16="http://schemas.microsoft.com/office/drawing/2014/main" id="{08C26FE2-DEDF-40BE-8371-62A3BF959F48}"/>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8972550" y="27384375"/>
          <a:ext cx="438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128</xdr:row>
      <xdr:rowOff>19050</xdr:rowOff>
    </xdr:from>
    <xdr:to>
      <xdr:col>24</xdr:col>
      <xdr:colOff>47625</xdr:colOff>
      <xdr:row>128</xdr:row>
      <xdr:rowOff>142875</xdr:rowOff>
    </xdr:to>
    <xdr:pic>
      <xdr:nvPicPr>
        <xdr:cNvPr id="275296" name="867 Imagen" descr="laser fibra icono.png">
          <a:extLst>
            <a:ext uri="{FF2B5EF4-FFF2-40B4-BE49-F238E27FC236}">
              <a16:creationId xmlns:a16="http://schemas.microsoft.com/office/drawing/2014/main" id="{80DC8A16-3910-4D8D-BEF2-8DFB2210FC1A}"/>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15200" y="252507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130</xdr:row>
      <xdr:rowOff>19050</xdr:rowOff>
    </xdr:from>
    <xdr:to>
      <xdr:col>24</xdr:col>
      <xdr:colOff>47625</xdr:colOff>
      <xdr:row>130</xdr:row>
      <xdr:rowOff>142875</xdr:rowOff>
    </xdr:to>
    <xdr:pic>
      <xdr:nvPicPr>
        <xdr:cNvPr id="275297" name="868 Imagen" descr="laser icono.png">
          <a:extLst>
            <a:ext uri="{FF2B5EF4-FFF2-40B4-BE49-F238E27FC236}">
              <a16:creationId xmlns:a16="http://schemas.microsoft.com/office/drawing/2014/main" id="{759FA6C0-BDF3-466E-9797-169BC3F5A529}"/>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15200" y="254031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119</xdr:row>
      <xdr:rowOff>19050</xdr:rowOff>
    </xdr:from>
    <xdr:to>
      <xdr:col>24</xdr:col>
      <xdr:colOff>47625</xdr:colOff>
      <xdr:row>119</xdr:row>
      <xdr:rowOff>142875</xdr:rowOff>
    </xdr:to>
    <xdr:pic>
      <xdr:nvPicPr>
        <xdr:cNvPr id="275299" name="870 Imagen" descr="sublimacion icono.png">
          <a:extLst>
            <a:ext uri="{FF2B5EF4-FFF2-40B4-BE49-F238E27FC236}">
              <a16:creationId xmlns:a16="http://schemas.microsoft.com/office/drawing/2014/main" id="{183A7BD5-5CF2-4B38-A387-78A16A726CC5}"/>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15200" y="230600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120</xdr:row>
      <xdr:rowOff>19050</xdr:rowOff>
    </xdr:from>
    <xdr:to>
      <xdr:col>24</xdr:col>
      <xdr:colOff>47625</xdr:colOff>
      <xdr:row>120</xdr:row>
      <xdr:rowOff>142875</xdr:rowOff>
    </xdr:to>
    <xdr:pic>
      <xdr:nvPicPr>
        <xdr:cNvPr id="275300" name="871 Imagen" descr="sublimacion icono.png">
          <a:extLst>
            <a:ext uri="{FF2B5EF4-FFF2-40B4-BE49-F238E27FC236}">
              <a16:creationId xmlns:a16="http://schemas.microsoft.com/office/drawing/2014/main" id="{E1CDFEDE-B413-4350-8ADB-8032CBDE15EF}"/>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15200" y="232124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121</xdr:row>
      <xdr:rowOff>19050</xdr:rowOff>
    </xdr:from>
    <xdr:to>
      <xdr:col>24</xdr:col>
      <xdr:colOff>47625</xdr:colOff>
      <xdr:row>121</xdr:row>
      <xdr:rowOff>142875</xdr:rowOff>
    </xdr:to>
    <xdr:pic>
      <xdr:nvPicPr>
        <xdr:cNvPr id="275301" name="872 Imagen" descr="sublimacion icono.png">
          <a:extLst>
            <a:ext uri="{FF2B5EF4-FFF2-40B4-BE49-F238E27FC236}">
              <a16:creationId xmlns:a16="http://schemas.microsoft.com/office/drawing/2014/main" id="{1700A12B-4AB9-4FBB-B4E2-9EB014A27A38}"/>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15200" y="233648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110</xdr:row>
      <xdr:rowOff>19050</xdr:rowOff>
    </xdr:from>
    <xdr:to>
      <xdr:col>24</xdr:col>
      <xdr:colOff>47625</xdr:colOff>
      <xdr:row>110</xdr:row>
      <xdr:rowOff>142875</xdr:rowOff>
    </xdr:to>
    <xdr:pic>
      <xdr:nvPicPr>
        <xdr:cNvPr id="275306" name="891 Imagen" descr="INK ICONO.png">
          <a:extLst>
            <a:ext uri="{FF2B5EF4-FFF2-40B4-BE49-F238E27FC236}">
              <a16:creationId xmlns:a16="http://schemas.microsoft.com/office/drawing/2014/main" id="{D3D4DEB9-CD1B-40D1-8E59-543F9D1E06CE}"/>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7496175" y="204692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111</xdr:row>
      <xdr:rowOff>19050</xdr:rowOff>
    </xdr:from>
    <xdr:to>
      <xdr:col>24</xdr:col>
      <xdr:colOff>47625</xdr:colOff>
      <xdr:row>111</xdr:row>
      <xdr:rowOff>142875</xdr:rowOff>
    </xdr:to>
    <xdr:pic>
      <xdr:nvPicPr>
        <xdr:cNvPr id="275309" name="896 Imagen" descr="INK ICONO.png">
          <a:extLst>
            <a:ext uri="{FF2B5EF4-FFF2-40B4-BE49-F238E27FC236}">
              <a16:creationId xmlns:a16="http://schemas.microsoft.com/office/drawing/2014/main" id="{C1C46ED4-67A1-41BA-8442-C1A2BB02BA01}"/>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7315200" y="215360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106</xdr:row>
      <xdr:rowOff>19050</xdr:rowOff>
    </xdr:from>
    <xdr:to>
      <xdr:col>24</xdr:col>
      <xdr:colOff>47625</xdr:colOff>
      <xdr:row>106</xdr:row>
      <xdr:rowOff>142875</xdr:rowOff>
    </xdr:to>
    <xdr:pic>
      <xdr:nvPicPr>
        <xdr:cNvPr id="275310" name="897 Imagen" descr="sublimacion icono.png">
          <a:extLst>
            <a:ext uri="{FF2B5EF4-FFF2-40B4-BE49-F238E27FC236}">
              <a16:creationId xmlns:a16="http://schemas.microsoft.com/office/drawing/2014/main" id="{F2BDBCC1-1A6F-4B67-BC2D-C1E9B623570B}"/>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15200" y="204692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107</xdr:row>
      <xdr:rowOff>19050</xdr:rowOff>
    </xdr:from>
    <xdr:to>
      <xdr:col>24</xdr:col>
      <xdr:colOff>47625</xdr:colOff>
      <xdr:row>107</xdr:row>
      <xdr:rowOff>142875</xdr:rowOff>
    </xdr:to>
    <xdr:pic>
      <xdr:nvPicPr>
        <xdr:cNvPr id="275311" name="898 Imagen" descr="sublimacion icono.png">
          <a:extLst>
            <a:ext uri="{FF2B5EF4-FFF2-40B4-BE49-F238E27FC236}">
              <a16:creationId xmlns:a16="http://schemas.microsoft.com/office/drawing/2014/main" id="{C9EC3C44-9217-4BF4-897E-BC5E638D77A2}"/>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15200" y="206216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108</xdr:row>
      <xdr:rowOff>19050</xdr:rowOff>
    </xdr:from>
    <xdr:to>
      <xdr:col>24</xdr:col>
      <xdr:colOff>47625</xdr:colOff>
      <xdr:row>108</xdr:row>
      <xdr:rowOff>142875</xdr:rowOff>
    </xdr:to>
    <xdr:pic>
      <xdr:nvPicPr>
        <xdr:cNvPr id="275312" name="899 Imagen" descr="sublimacion icono.png">
          <a:extLst>
            <a:ext uri="{FF2B5EF4-FFF2-40B4-BE49-F238E27FC236}">
              <a16:creationId xmlns:a16="http://schemas.microsoft.com/office/drawing/2014/main" id="{DF329583-7022-43C4-83E8-BEA0FE104B0C}"/>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15200" y="207740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57150</xdr:colOff>
      <xdr:row>106</xdr:row>
      <xdr:rowOff>19050</xdr:rowOff>
    </xdr:from>
    <xdr:to>
      <xdr:col>25</xdr:col>
      <xdr:colOff>380999</xdr:colOff>
      <xdr:row>106</xdr:row>
      <xdr:rowOff>142875</xdr:rowOff>
    </xdr:to>
    <xdr:pic>
      <xdr:nvPicPr>
        <xdr:cNvPr id="275313" name="901 Imagen" descr="FULL PRINT ICONO.png">
          <a:extLst>
            <a:ext uri="{FF2B5EF4-FFF2-40B4-BE49-F238E27FC236}">
              <a16:creationId xmlns:a16="http://schemas.microsoft.com/office/drawing/2014/main" id="{5DA43212-97CB-4A8A-B0CC-EC710367B8A4}"/>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8162925" y="181832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109</xdr:row>
      <xdr:rowOff>19050</xdr:rowOff>
    </xdr:from>
    <xdr:to>
      <xdr:col>24</xdr:col>
      <xdr:colOff>47625</xdr:colOff>
      <xdr:row>109</xdr:row>
      <xdr:rowOff>142875</xdr:rowOff>
    </xdr:to>
    <xdr:pic>
      <xdr:nvPicPr>
        <xdr:cNvPr id="275314" name="902 Imagen" descr="sublimacion icono.png">
          <a:extLst>
            <a:ext uri="{FF2B5EF4-FFF2-40B4-BE49-F238E27FC236}">
              <a16:creationId xmlns:a16="http://schemas.microsoft.com/office/drawing/2014/main" id="{1D758E69-862A-4825-A3FB-6BB15F972964}"/>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34250" y="186404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57150</xdr:colOff>
      <xdr:row>108</xdr:row>
      <xdr:rowOff>19050</xdr:rowOff>
    </xdr:from>
    <xdr:to>
      <xdr:col>25</xdr:col>
      <xdr:colOff>380999</xdr:colOff>
      <xdr:row>108</xdr:row>
      <xdr:rowOff>142875</xdr:rowOff>
    </xdr:to>
    <xdr:pic>
      <xdr:nvPicPr>
        <xdr:cNvPr id="275315" name="903 Imagen" descr="FULL PRINT ICONO.png">
          <a:extLst>
            <a:ext uri="{FF2B5EF4-FFF2-40B4-BE49-F238E27FC236}">
              <a16:creationId xmlns:a16="http://schemas.microsoft.com/office/drawing/2014/main" id="{98E801DF-0E4E-44F0-8E33-01E1ACC69357}"/>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8162925" y="184880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114</xdr:row>
      <xdr:rowOff>19050</xdr:rowOff>
    </xdr:from>
    <xdr:to>
      <xdr:col>24</xdr:col>
      <xdr:colOff>47625</xdr:colOff>
      <xdr:row>114</xdr:row>
      <xdr:rowOff>142875</xdr:rowOff>
    </xdr:to>
    <xdr:pic>
      <xdr:nvPicPr>
        <xdr:cNvPr id="275316" name="904 Imagen" descr="sublimacion icono.png">
          <a:extLst>
            <a:ext uri="{FF2B5EF4-FFF2-40B4-BE49-F238E27FC236}">
              <a16:creationId xmlns:a16="http://schemas.microsoft.com/office/drawing/2014/main" id="{8ABBBC65-9BDC-479F-9D6A-9AE342C98C7F}"/>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15200" y="221456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66675</xdr:colOff>
      <xdr:row>119</xdr:row>
      <xdr:rowOff>19050</xdr:rowOff>
    </xdr:from>
    <xdr:to>
      <xdr:col>26</xdr:col>
      <xdr:colOff>9524</xdr:colOff>
      <xdr:row>119</xdr:row>
      <xdr:rowOff>142875</xdr:rowOff>
    </xdr:to>
    <xdr:pic>
      <xdr:nvPicPr>
        <xdr:cNvPr id="275317" name="905 Imagen" descr="FULL PRINT ICONO.png">
          <a:extLst>
            <a:ext uri="{FF2B5EF4-FFF2-40B4-BE49-F238E27FC236}">
              <a16:creationId xmlns:a16="http://schemas.microsoft.com/office/drawing/2014/main" id="{DAF65142-F4C5-4C1D-9503-B37BC7F8DF02}"/>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8153400" y="216884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115</xdr:row>
      <xdr:rowOff>19050</xdr:rowOff>
    </xdr:from>
    <xdr:to>
      <xdr:col>24</xdr:col>
      <xdr:colOff>47625</xdr:colOff>
      <xdr:row>115</xdr:row>
      <xdr:rowOff>142875</xdr:rowOff>
    </xdr:to>
    <xdr:pic>
      <xdr:nvPicPr>
        <xdr:cNvPr id="275318" name="906 Imagen" descr="sublimacion icono.png">
          <a:extLst>
            <a:ext uri="{FF2B5EF4-FFF2-40B4-BE49-F238E27FC236}">
              <a16:creationId xmlns:a16="http://schemas.microsoft.com/office/drawing/2014/main" id="{C07C4828-91EA-468D-A735-1DCBD37F611B}"/>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15200" y="222980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66675</xdr:colOff>
      <xdr:row>120</xdr:row>
      <xdr:rowOff>19050</xdr:rowOff>
    </xdr:from>
    <xdr:to>
      <xdr:col>26</xdr:col>
      <xdr:colOff>9524</xdr:colOff>
      <xdr:row>120</xdr:row>
      <xdr:rowOff>142875</xdr:rowOff>
    </xdr:to>
    <xdr:pic>
      <xdr:nvPicPr>
        <xdr:cNvPr id="275319" name="907 Imagen" descr="FULL PRINT ICONO.png">
          <a:extLst>
            <a:ext uri="{FF2B5EF4-FFF2-40B4-BE49-F238E27FC236}">
              <a16:creationId xmlns:a16="http://schemas.microsoft.com/office/drawing/2014/main" id="{29F14C08-E688-4CBF-84B2-6DEED2D7AB47}"/>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8153400" y="218408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116</xdr:row>
      <xdr:rowOff>19050</xdr:rowOff>
    </xdr:from>
    <xdr:to>
      <xdr:col>24</xdr:col>
      <xdr:colOff>47625</xdr:colOff>
      <xdr:row>116</xdr:row>
      <xdr:rowOff>142875</xdr:rowOff>
    </xdr:to>
    <xdr:pic>
      <xdr:nvPicPr>
        <xdr:cNvPr id="275320" name="908 Imagen" descr="sublimacion icono.png">
          <a:extLst>
            <a:ext uri="{FF2B5EF4-FFF2-40B4-BE49-F238E27FC236}">
              <a16:creationId xmlns:a16="http://schemas.microsoft.com/office/drawing/2014/main" id="{581B4560-5234-4583-9549-4B5B1FCDC92F}"/>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15200" y="224504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66675</xdr:colOff>
      <xdr:row>121</xdr:row>
      <xdr:rowOff>19050</xdr:rowOff>
    </xdr:from>
    <xdr:to>
      <xdr:col>26</xdr:col>
      <xdr:colOff>9524</xdr:colOff>
      <xdr:row>121</xdr:row>
      <xdr:rowOff>142875</xdr:rowOff>
    </xdr:to>
    <xdr:pic>
      <xdr:nvPicPr>
        <xdr:cNvPr id="275321" name="909 Imagen" descr="FULL PRINT ICONO.png">
          <a:extLst>
            <a:ext uri="{FF2B5EF4-FFF2-40B4-BE49-F238E27FC236}">
              <a16:creationId xmlns:a16="http://schemas.microsoft.com/office/drawing/2014/main" id="{4FAFE7D2-32CF-451E-95AF-33288D67F693}"/>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8153400" y="219932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65</xdr:row>
      <xdr:rowOff>19050</xdr:rowOff>
    </xdr:from>
    <xdr:to>
      <xdr:col>24</xdr:col>
      <xdr:colOff>47625</xdr:colOff>
      <xdr:row>65</xdr:row>
      <xdr:rowOff>142875</xdr:rowOff>
    </xdr:to>
    <xdr:pic>
      <xdr:nvPicPr>
        <xdr:cNvPr id="275332" name="920 Imagen" descr="seri icono.png">
          <a:extLst>
            <a:ext uri="{FF2B5EF4-FFF2-40B4-BE49-F238E27FC236}">
              <a16:creationId xmlns:a16="http://schemas.microsoft.com/office/drawing/2014/main" id="{FD0A2DBE-8D36-4866-A973-A1D769357D6B}"/>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15200" y="136112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64</xdr:row>
      <xdr:rowOff>19050</xdr:rowOff>
    </xdr:from>
    <xdr:to>
      <xdr:col>24</xdr:col>
      <xdr:colOff>47625</xdr:colOff>
      <xdr:row>64</xdr:row>
      <xdr:rowOff>142875</xdr:rowOff>
    </xdr:to>
    <xdr:pic>
      <xdr:nvPicPr>
        <xdr:cNvPr id="275333" name="921 Imagen" descr="seri icono.png">
          <a:extLst>
            <a:ext uri="{FF2B5EF4-FFF2-40B4-BE49-F238E27FC236}">
              <a16:creationId xmlns:a16="http://schemas.microsoft.com/office/drawing/2014/main" id="{0904175C-5173-425F-8C3A-41799355AFD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15200" y="134588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59</xdr:row>
      <xdr:rowOff>19050</xdr:rowOff>
    </xdr:from>
    <xdr:to>
      <xdr:col>24</xdr:col>
      <xdr:colOff>47625</xdr:colOff>
      <xdr:row>59</xdr:row>
      <xdr:rowOff>142875</xdr:rowOff>
    </xdr:to>
    <xdr:pic>
      <xdr:nvPicPr>
        <xdr:cNvPr id="275335" name="923 Imagen" descr="seri icono.png">
          <a:extLst>
            <a:ext uri="{FF2B5EF4-FFF2-40B4-BE49-F238E27FC236}">
              <a16:creationId xmlns:a16="http://schemas.microsoft.com/office/drawing/2014/main" id="{C3A9516D-C078-4003-B87E-2EAA6E62EB8D}"/>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15200" y="131540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59</xdr:row>
      <xdr:rowOff>19050</xdr:rowOff>
    </xdr:from>
    <xdr:to>
      <xdr:col>24</xdr:col>
      <xdr:colOff>47625</xdr:colOff>
      <xdr:row>59</xdr:row>
      <xdr:rowOff>142875</xdr:rowOff>
    </xdr:to>
    <xdr:pic>
      <xdr:nvPicPr>
        <xdr:cNvPr id="275336" name="924 Imagen" descr="seri icono.png">
          <a:extLst>
            <a:ext uri="{FF2B5EF4-FFF2-40B4-BE49-F238E27FC236}">
              <a16:creationId xmlns:a16="http://schemas.microsoft.com/office/drawing/2014/main" id="{D9C0E8C5-2563-4D54-94CE-0BAFABFDD8C3}"/>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15200" y="131540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104</xdr:row>
      <xdr:rowOff>19050</xdr:rowOff>
    </xdr:from>
    <xdr:to>
      <xdr:col>24</xdr:col>
      <xdr:colOff>47625</xdr:colOff>
      <xdr:row>104</xdr:row>
      <xdr:rowOff>142875</xdr:rowOff>
    </xdr:to>
    <xdr:pic>
      <xdr:nvPicPr>
        <xdr:cNvPr id="275339" name="927 Imagen" descr="tampo icono.png">
          <a:extLst>
            <a:ext uri="{FF2B5EF4-FFF2-40B4-BE49-F238E27FC236}">
              <a16:creationId xmlns:a16="http://schemas.microsoft.com/office/drawing/2014/main" id="{AE26C6DF-A13B-485F-A560-F88F82C64703}"/>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7315200" y="201644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103</xdr:row>
      <xdr:rowOff>19050</xdr:rowOff>
    </xdr:from>
    <xdr:to>
      <xdr:col>24</xdr:col>
      <xdr:colOff>47625</xdr:colOff>
      <xdr:row>103</xdr:row>
      <xdr:rowOff>142875</xdr:rowOff>
    </xdr:to>
    <xdr:pic>
      <xdr:nvPicPr>
        <xdr:cNvPr id="275346" name="935 Imagen" descr="tampo icono.png">
          <a:extLst>
            <a:ext uri="{FF2B5EF4-FFF2-40B4-BE49-F238E27FC236}">
              <a16:creationId xmlns:a16="http://schemas.microsoft.com/office/drawing/2014/main" id="{181954A4-0545-4633-8E1E-88423C604811}"/>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7315200" y="192500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57150</xdr:colOff>
      <xdr:row>103</xdr:row>
      <xdr:rowOff>19050</xdr:rowOff>
    </xdr:from>
    <xdr:to>
      <xdr:col>26</xdr:col>
      <xdr:colOff>9524</xdr:colOff>
      <xdr:row>103</xdr:row>
      <xdr:rowOff>142875</xdr:rowOff>
    </xdr:to>
    <xdr:pic>
      <xdr:nvPicPr>
        <xdr:cNvPr id="275348" name="937 Imagen" descr="SIN PILAS ICONO.png">
          <a:extLst>
            <a:ext uri="{FF2B5EF4-FFF2-40B4-BE49-F238E27FC236}">
              <a16:creationId xmlns:a16="http://schemas.microsoft.com/office/drawing/2014/main" id="{79F36769-107B-45C8-9FC3-89BA095DE9D9}"/>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8143875" y="19250025"/>
          <a:ext cx="8286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98</xdr:row>
      <xdr:rowOff>19050</xdr:rowOff>
    </xdr:from>
    <xdr:to>
      <xdr:col>24</xdr:col>
      <xdr:colOff>47625</xdr:colOff>
      <xdr:row>98</xdr:row>
      <xdr:rowOff>142875</xdr:rowOff>
    </xdr:to>
    <xdr:pic>
      <xdr:nvPicPr>
        <xdr:cNvPr id="275355" name="944 Imagen" descr="tampo icono.png">
          <a:extLst>
            <a:ext uri="{FF2B5EF4-FFF2-40B4-BE49-F238E27FC236}">
              <a16:creationId xmlns:a16="http://schemas.microsoft.com/office/drawing/2014/main" id="{567425C7-F779-4534-B6D2-04994C24950D}"/>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7315200" y="181832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90</xdr:row>
      <xdr:rowOff>19050</xdr:rowOff>
    </xdr:from>
    <xdr:to>
      <xdr:col>24</xdr:col>
      <xdr:colOff>47625</xdr:colOff>
      <xdr:row>90</xdr:row>
      <xdr:rowOff>142875</xdr:rowOff>
    </xdr:to>
    <xdr:pic>
      <xdr:nvPicPr>
        <xdr:cNvPr id="275358" name="947 Imagen" descr="HOT STAMPING ICONO.png">
          <a:extLst>
            <a:ext uri="{FF2B5EF4-FFF2-40B4-BE49-F238E27FC236}">
              <a16:creationId xmlns:a16="http://schemas.microsoft.com/office/drawing/2014/main" id="{004D813F-8651-4CB0-84B7-1393E7663CDE}"/>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7315200" y="172688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89</xdr:row>
      <xdr:rowOff>19050</xdr:rowOff>
    </xdr:from>
    <xdr:to>
      <xdr:col>24</xdr:col>
      <xdr:colOff>47625</xdr:colOff>
      <xdr:row>89</xdr:row>
      <xdr:rowOff>142875</xdr:rowOff>
    </xdr:to>
    <xdr:pic>
      <xdr:nvPicPr>
        <xdr:cNvPr id="275359" name="948 Imagen" descr="HOT STAMPING ICONO.png">
          <a:extLst>
            <a:ext uri="{FF2B5EF4-FFF2-40B4-BE49-F238E27FC236}">
              <a16:creationId xmlns:a16="http://schemas.microsoft.com/office/drawing/2014/main" id="{5E2E46DF-C64E-4ABF-A4FA-321D6FAE49A6}"/>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7315200" y="171164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84</xdr:row>
      <xdr:rowOff>19050</xdr:rowOff>
    </xdr:from>
    <xdr:to>
      <xdr:col>24</xdr:col>
      <xdr:colOff>47625</xdr:colOff>
      <xdr:row>84</xdr:row>
      <xdr:rowOff>142875</xdr:rowOff>
    </xdr:to>
    <xdr:pic>
      <xdr:nvPicPr>
        <xdr:cNvPr id="275361" name="950 Imagen" descr="HOT STAMPING ICONO.png">
          <a:extLst>
            <a:ext uri="{FF2B5EF4-FFF2-40B4-BE49-F238E27FC236}">
              <a16:creationId xmlns:a16="http://schemas.microsoft.com/office/drawing/2014/main" id="{0D79BB4D-55EA-44B3-9B27-F026996B198E}"/>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7315200" y="163544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85</xdr:row>
      <xdr:rowOff>19050</xdr:rowOff>
    </xdr:from>
    <xdr:to>
      <xdr:col>24</xdr:col>
      <xdr:colOff>47625</xdr:colOff>
      <xdr:row>85</xdr:row>
      <xdr:rowOff>142875</xdr:rowOff>
    </xdr:to>
    <xdr:pic>
      <xdr:nvPicPr>
        <xdr:cNvPr id="275362" name="951 Imagen" descr="HOT STAMPING ICONO.png">
          <a:extLst>
            <a:ext uri="{FF2B5EF4-FFF2-40B4-BE49-F238E27FC236}">
              <a16:creationId xmlns:a16="http://schemas.microsoft.com/office/drawing/2014/main" id="{8C5D2F31-2715-4331-B4AD-B9D9A9CB25DE}"/>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7315200" y="165068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80</xdr:row>
      <xdr:rowOff>19050</xdr:rowOff>
    </xdr:from>
    <xdr:to>
      <xdr:col>24</xdr:col>
      <xdr:colOff>47625</xdr:colOff>
      <xdr:row>80</xdr:row>
      <xdr:rowOff>142875</xdr:rowOff>
    </xdr:to>
    <xdr:pic>
      <xdr:nvPicPr>
        <xdr:cNvPr id="275363" name="952 Imagen" descr="HOT STAMPING ICONO.png">
          <a:extLst>
            <a:ext uri="{FF2B5EF4-FFF2-40B4-BE49-F238E27FC236}">
              <a16:creationId xmlns:a16="http://schemas.microsoft.com/office/drawing/2014/main" id="{237F76AF-55D6-4024-97D1-C5380511A357}"/>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7315200" y="157448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81</xdr:row>
      <xdr:rowOff>19050</xdr:rowOff>
    </xdr:from>
    <xdr:to>
      <xdr:col>24</xdr:col>
      <xdr:colOff>47625</xdr:colOff>
      <xdr:row>81</xdr:row>
      <xdr:rowOff>142875</xdr:rowOff>
    </xdr:to>
    <xdr:pic>
      <xdr:nvPicPr>
        <xdr:cNvPr id="275364" name="953 Imagen" descr="HOT STAMPING ICONO.png">
          <a:extLst>
            <a:ext uri="{FF2B5EF4-FFF2-40B4-BE49-F238E27FC236}">
              <a16:creationId xmlns:a16="http://schemas.microsoft.com/office/drawing/2014/main" id="{24D7FB96-6F5B-40C0-8FCF-648055022E50}"/>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7315200" y="158972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19050</xdr:colOff>
      <xdr:row>86</xdr:row>
      <xdr:rowOff>19050</xdr:rowOff>
    </xdr:from>
    <xdr:to>
      <xdr:col>25</xdr:col>
      <xdr:colOff>314324</xdr:colOff>
      <xdr:row>86</xdr:row>
      <xdr:rowOff>142875</xdr:rowOff>
    </xdr:to>
    <xdr:pic>
      <xdr:nvPicPr>
        <xdr:cNvPr id="275365" name="954 Imagen" descr="costura icono.png">
          <a:extLst>
            <a:ext uri="{FF2B5EF4-FFF2-40B4-BE49-F238E27FC236}">
              <a16:creationId xmlns:a16="http://schemas.microsoft.com/office/drawing/2014/main" id="{F5AB6C2E-F7D2-4E66-B61E-F2377BC24063}"/>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7324725" y="16659225"/>
          <a:ext cx="15716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19050</xdr:colOff>
      <xdr:row>82</xdr:row>
      <xdr:rowOff>19050</xdr:rowOff>
    </xdr:from>
    <xdr:to>
      <xdr:col>25</xdr:col>
      <xdr:colOff>314324</xdr:colOff>
      <xdr:row>82</xdr:row>
      <xdr:rowOff>142875</xdr:rowOff>
    </xdr:to>
    <xdr:pic>
      <xdr:nvPicPr>
        <xdr:cNvPr id="275366" name="955 Imagen" descr="costura icono.png">
          <a:extLst>
            <a:ext uri="{FF2B5EF4-FFF2-40B4-BE49-F238E27FC236}">
              <a16:creationId xmlns:a16="http://schemas.microsoft.com/office/drawing/2014/main" id="{E378437A-ADE1-4067-A5FC-43CBEC913EDB}"/>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7324725" y="16049625"/>
          <a:ext cx="15716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19050</xdr:colOff>
      <xdr:row>83</xdr:row>
      <xdr:rowOff>19050</xdr:rowOff>
    </xdr:from>
    <xdr:to>
      <xdr:col>25</xdr:col>
      <xdr:colOff>314324</xdr:colOff>
      <xdr:row>83</xdr:row>
      <xdr:rowOff>142875</xdr:rowOff>
    </xdr:to>
    <xdr:pic>
      <xdr:nvPicPr>
        <xdr:cNvPr id="275367" name="956 Imagen" descr="costura icono.png">
          <a:extLst>
            <a:ext uri="{FF2B5EF4-FFF2-40B4-BE49-F238E27FC236}">
              <a16:creationId xmlns:a16="http://schemas.microsoft.com/office/drawing/2014/main" id="{F67E16FB-02D5-40E3-A57B-E83604C097CC}"/>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7324725" y="16202025"/>
          <a:ext cx="15716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19050</xdr:colOff>
      <xdr:row>87</xdr:row>
      <xdr:rowOff>19050</xdr:rowOff>
    </xdr:from>
    <xdr:to>
      <xdr:col>25</xdr:col>
      <xdr:colOff>314324</xdr:colOff>
      <xdr:row>87</xdr:row>
      <xdr:rowOff>142875</xdr:rowOff>
    </xdr:to>
    <xdr:pic>
      <xdr:nvPicPr>
        <xdr:cNvPr id="275368" name="957 Imagen" descr="MATRIZ ICONO.png">
          <a:extLst>
            <a:ext uri="{FF2B5EF4-FFF2-40B4-BE49-F238E27FC236}">
              <a16:creationId xmlns:a16="http://schemas.microsoft.com/office/drawing/2014/main" id="{0D1B5E88-9EC5-4776-9B38-1C5EA66CD9CE}"/>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7324725" y="16811625"/>
          <a:ext cx="15716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485775</xdr:colOff>
      <xdr:row>69</xdr:row>
      <xdr:rowOff>19050</xdr:rowOff>
    </xdr:from>
    <xdr:to>
      <xdr:col>25</xdr:col>
      <xdr:colOff>323849</xdr:colOff>
      <xdr:row>69</xdr:row>
      <xdr:rowOff>142875</xdr:rowOff>
    </xdr:to>
    <xdr:pic>
      <xdr:nvPicPr>
        <xdr:cNvPr id="275375" name="970 Imagen" descr="25x10 icono.png">
          <a:extLst>
            <a:ext uri="{FF2B5EF4-FFF2-40B4-BE49-F238E27FC236}">
              <a16:creationId xmlns:a16="http://schemas.microsoft.com/office/drawing/2014/main" id="{A10F28EB-5922-43E7-81B7-B75EC3680600}"/>
            </a:ext>
          </a:extLst>
        </xdr:cNvPr>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8582025" y="12849225"/>
          <a:ext cx="3333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485775</xdr:colOff>
      <xdr:row>70</xdr:row>
      <xdr:rowOff>19050</xdr:rowOff>
    </xdr:from>
    <xdr:to>
      <xdr:col>25</xdr:col>
      <xdr:colOff>323849</xdr:colOff>
      <xdr:row>70</xdr:row>
      <xdr:rowOff>142875</xdr:rowOff>
    </xdr:to>
    <xdr:pic>
      <xdr:nvPicPr>
        <xdr:cNvPr id="275376" name="973 Imagen" descr="20x15 icono.png">
          <a:extLst>
            <a:ext uri="{FF2B5EF4-FFF2-40B4-BE49-F238E27FC236}">
              <a16:creationId xmlns:a16="http://schemas.microsoft.com/office/drawing/2014/main" id="{C8126CB2-95FF-4EB0-9BF2-CAB2317CCF42}"/>
            </a:ext>
          </a:extLst>
        </xdr:cNvPr>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8582025" y="13001625"/>
          <a:ext cx="3333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609600</xdr:colOff>
      <xdr:row>70</xdr:row>
      <xdr:rowOff>19050</xdr:rowOff>
    </xdr:from>
    <xdr:to>
      <xdr:col>24</xdr:col>
      <xdr:colOff>114300</xdr:colOff>
      <xdr:row>70</xdr:row>
      <xdr:rowOff>142875</xdr:rowOff>
    </xdr:to>
    <xdr:pic>
      <xdr:nvPicPr>
        <xdr:cNvPr id="275378" name="976 Imagen" descr="25 diam icono.png">
          <a:extLst>
            <a:ext uri="{FF2B5EF4-FFF2-40B4-BE49-F238E27FC236}">
              <a16:creationId xmlns:a16="http://schemas.microsoft.com/office/drawing/2014/main" id="{9E131C1A-0EF3-4B29-BC05-EDCA2E39CC56}"/>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bwMode="auto">
        <a:xfrm>
          <a:off x="7924800" y="13001625"/>
          <a:ext cx="2857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209550</xdr:colOff>
      <xdr:row>72</xdr:row>
      <xdr:rowOff>19050</xdr:rowOff>
    </xdr:from>
    <xdr:to>
      <xdr:col>5</xdr:col>
      <xdr:colOff>194</xdr:colOff>
      <xdr:row>72</xdr:row>
      <xdr:rowOff>142875</xdr:rowOff>
    </xdr:to>
    <xdr:pic>
      <xdr:nvPicPr>
        <xdr:cNvPr id="275379" name="978 Imagen" descr="DORADO ICONO.png">
          <a:extLst>
            <a:ext uri="{FF2B5EF4-FFF2-40B4-BE49-F238E27FC236}">
              <a16:creationId xmlns:a16="http://schemas.microsoft.com/office/drawing/2014/main" id="{3DE8A297-5A50-441E-80BA-1BEDF112849E}"/>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bwMode="auto">
        <a:xfrm>
          <a:off x="2628900" y="14982825"/>
          <a:ext cx="6191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209550</xdr:colOff>
      <xdr:row>70</xdr:row>
      <xdr:rowOff>19050</xdr:rowOff>
    </xdr:from>
    <xdr:to>
      <xdr:col>5</xdr:col>
      <xdr:colOff>194</xdr:colOff>
      <xdr:row>70</xdr:row>
      <xdr:rowOff>142875</xdr:rowOff>
    </xdr:to>
    <xdr:pic>
      <xdr:nvPicPr>
        <xdr:cNvPr id="275380" name="979 Imagen" descr="niquelado icono.png">
          <a:extLst>
            <a:ext uri="{FF2B5EF4-FFF2-40B4-BE49-F238E27FC236}">
              <a16:creationId xmlns:a16="http://schemas.microsoft.com/office/drawing/2014/main" id="{6D0E65DD-D581-46C5-8303-8C6D7CFA4F65}"/>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2628900" y="14678025"/>
          <a:ext cx="6191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53</xdr:row>
      <xdr:rowOff>19050</xdr:rowOff>
    </xdr:from>
    <xdr:to>
      <xdr:col>24</xdr:col>
      <xdr:colOff>47625</xdr:colOff>
      <xdr:row>53</xdr:row>
      <xdr:rowOff>142875</xdr:rowOff>
    </xdr:to>
    <xdr:pic>
      <xdr:nvPicPr>
        <xdr:cNvPr id="275381" name="990 Imagen" descr="seri icono.png">
          <a:extLst>
            <a:ext uri="{FF2B5EF4-FFF2-40B4-BE49-F238E27FC236}">
              <a16:creationId xmlns:a16="http://schemas.microsoft.com/office/drawing/2014/main" id="{BF84F0CC-252D-4FC6-AD82-A22B5BB250E4}"/>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15200" y="102108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54</xdr:row>
      <xdr:rowOff>19050</xdr:rowOff>
    </xdr:from>
    <xdr:to>
      <xdr:col>24</xdr:col>
      <xdr:colOff>47625</xdr:colOff>
      <xdr:row>54</xdr:row>
      <xdr:rowOff>142875</xdr:rowOff>
    </xdr:to>
    <xdr:pic>
      <xdr:nvPicPr>
        <xdr:cNvPr id="275382" name="991 Imagen" descr="seri icono.png">
          <a:extLst>
            <a:ext uri="{FF2B5EF4-FFF2-40B4-BE49-F238E27FC236}">
              <a16:creationId xmlns:a16="http://schemas.microsoft.com/office/drawing/2014/main" id="{BB169766-10C7-424B-B0F0-6B6F47BB75D3}"/>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15200" y="103632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55</xdr:row>
      <xdr:rowOff>19050</xdr:rowOff>
    </xdr:from>
    <xdr:to>
      <xdr:col>24</xdr:col>
      <xdr:colOff>47625</xdr:colOff>
      <xdr:row>55</xdr:row>
      <xdr:rowOff>142875</xdr:rowOff>
    </xdr:to>
    <xdr:pic>
      <xdr:nvPicPr>
        <xdr:cNvPr id="275383" name="992 Imagen" descr="seri icono.png">
          <a:extLst>
            <a:ext uri="{FF2B5EF4-FFF2-40B4-BE49-F238E27FC236}">
              <a16:creationId xmlns:a16="http://schemas.microsoft.com/office/drawing/2014/main" id="{BEFADC53-0DD7-4A47-8877-F0AAF8672A32}"/>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15200" y="105156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56</xdr:row>
      <xdr:rowOff>19050</xdr:rowOff>
    </xdr:from>
    <xdr:to>
      <xdr:col>24</xdr:col>
      <xdr:colOff>47625</xdr:colOff>
      <xdr:row>56</xdr:row>
      <xdr:rowOff>142875</xdr:rowOff>
    </xdr:to>
    <xdr:pic>
      <xdr:nvPicPr>
        <xdr:cNvPr id="275384" name="993 Imagen" descr="seri icono.png">
          <a:extLst>
            <a:ext uri="{FF2B5EF4-FFF2-40B4-BE49-F238E27FC236}">
              <a16:creationId xmlns:a16="http://schemas.microsoft.com/office/drawing/2014/main" id="{54E78404-9ABA-4C2A-9C02-8286D22189B5}"/>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15200" y="106680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52</xdr:row>
      <xdr:rowOff>19050</xdr:rowOff>
    </xdr:from>
    <xdr:to>
      <xdr:col>24</xdr:col>
      <xdr:colOff>47625</xdr:colOff>
      <xdr:row>52</xdr:row>
      <xdr:rowOff>142875</xdr:rowOff>
    </xdr:to>
    <xdr:pic>
      <xdr:nvPicPr>
        <xdr:cNvPr id="275399" name="1013 Imagen" descr="dome icono.png">
          <a:extLst>
            <a:ext uri="{FF2B5EF4-FFF2-40B4-BE49-F238E27FC236}">
              <a16:creationId xmlns:a16="http://schemas.microsoft.com/office/drawing/2014/main" id="{4B8DCCEF-7CD9-4FB3-A9EA-B1BCD35D7596}"/>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7315200" y="97536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51</xdr:row>
      <xdr:rowOff>19050</xdr:rowOff>
    </xdr:from>
    <xdr:to>
      <xdr:col>24</xdr:col>
      <xdr:colOff>47625</xdr:colOff>
      <xdr:row>51</xdr:row>
      <xdr:rowOff>142875</xdr:rowOff>
    </xdr:to>
    <xdr:pic>
      <xdr:nvPicPr>
        <xdr:cNvPr id="275401" name="1015 Imagen" descr="laser color icono.png">
          <a:extLst>
            <a:ext uri="{FF2B5EF4-FFF2-40B4-BE49-F238E27FC236}">
              <a16:creationId xmlns:a16="http://schemas.microsoft.com/office/drawing/2014/main" id="{7A986B69-6A6B-40E3-8FD6-FB324CF4DF0F}"/>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7315200" y="94488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49</xdr:row>
      <xdr:rowOff>19050</xdr:rowOff>
    </xdr:from>
    <xdr:to>
      <xdr:col>24</xdr:col>
      <xdr:colOff>47625</xdr:colOff>
      <xdr:row>49</xdr:row>
      <xdr:rowOff>142875</xdr:rowOff>
    </xdr:to>
    <xdr:pic>
      <xdr:nvPicPr>
        <xdr:cNvPr id="275402" name="1016 Imagen" descr="HOT STAMPING ICONO.png">
          <a:extLst>
            <a:ext uri="{FF2B5EF4-FFF2-40B4-BE49-F238E27FC236}">
              <a16:creationId xmlns:a16="http://schemas.microsoft.com/office/drawing/2014/main" id="{66DD25AB-B790-498F-B6EB-327EF009D417}"/>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7315200" y="91440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50</xdr:row>
      <xdr:rowOff>19050</xdr:rowOff>
    </xdr:from>
    <xdr:to>
      <xdr:col>24</xdr:col>
      <xdr:colOff>47625</xdr:colOff>
      <xdr:row>50</xdr:row>
      <xdr:rowOff>142875</xdr:rowOff>
    </xdr:to>
    <xdr:pic>
      <xdr:nvPicPr>
        <xdr:cNvPr id="275403" name="1017 Imagen" descr="HOT STAMPING ICONO.png">
          <a:extLst>
            <a:ext uri="{FF2B5EF4-FFF2-40B4-BE49-F238E27FC236}">
              <a16:creationId xmlns:a16="http://schemas.microsoft.com/office/drawing/2014/main" id="{02E63E9B-7E0E-4A4F-8F7F-BC15ADEFABFA}"/>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7315200" y="92964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34</xdr:row>
      <xdr:rowOff>19050</xdr:rowOff>
    </xdr:from>
    <xdr:to>
      <xdr:col>24</xdr:col>
      <xdr:colOff>419100</xdr:colOff>
      <xdr:row>34</xdr:row>
      <xdr:rowOff>142875</xdr:rowOff>
    </xdr:to>
    <xdr:pic>
      <xdr:nvPicPr>
        <xdr:cNvPr id="275404" name="1018 Imagen" descr="DOME UN LADO.png">
          <a:extLst>
            <a:ext uri="{FF2B5EF4-FFF2-40B4-BE49-F238E27FC236}">
              <a16:creationId xmlns:a16="http://schemas.microsoft.com/office/drawing/2014/main" id="{C9D6A842-718A-4FDB-94E6-62E8D94F0D8A}"/>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7315200" y="7620000"/>
          <a:ext cx="11906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35</xdr:row>
      <xdr:rowOff>19050</xdr:rowOff>
    </xdr:from>
    <xdr:to>
      <xdr:col>24</xdr:col>
      <xdr:colOff>419100</xdr:colOff>
      <xdr:row>35</xdr:row>
      <xdr:rowOff>142875</xdr:rowOff>
    </xdr:to>
    <xdr:pic>
      <xdr:nvPicPr>
        <xdr:cNvPr id="275405" name="1019 Imagen" descr="DOME UN LADO.png">
          <a:extLst>
            <a:ext uri="{FF2B5EF4-FFF2-40B4-BE49-F238E27FC236}">
              <a16:creationId xmlns:a16="http://schemas.microsoft.com/office/drawing/2014/main" id="{2B2A6C7D-CDFE-46D9-BC93-61EB76E6C0A8}"/>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7315200" y="7772400"/>
          <a:ext cx="11906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36</xdr:row>
      <xdr:rowOff>19050</xdr:rowOff>
    </xdr:from>
    <xdr:to>
      <xdr:col>24</xdr:col>
      <xdr:colOff>419100</xdr:colOff>
      <xdr:row>36</xdr:row>
      <xdr:rowOff>142875</xdr:rowOff>
    </xdr:to>
    <xdr:pic>
      <xdr:nvPicPr>
        <xdr:cNvPr id="275406" name="1020 Imagen" descr="DOME UN LADO.png">
          <a:extLst>
            <a:ext uri="{FF2B5EF4-FFF2-40B4-BE49-F238E27FC236}">
              <a16:creationId xmlns:a16="http://schemas.microsoft.com/office/drawing/2014/main" id="{20AFEC37-D3E9-4B30-9DD6-D555795C2F82}"/>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7315200" y="7924800"/>
          <a:ext cx="11906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37</xdr:row>
      <xdr:rowOff>19050</xdr:rowOff>
    </xdr:from>
    <xdr:to>
      <xdr:col>24</xdr:col>
      <xdr:colOff>419100</xdr:colOff>
      <xdr:row>37</xdr:row>
      <xdr:rowOff>142875</xdr:rowOff>
    </xdr:to>
    <xdr:pic>
      <xdr:nvPicPr>
        <xdr:cNvPr id="275407" name="1021 Imagen" descr="DOME UN LADO.png">
          <a:extLst>
            <a:ext uri="{FF2B5EF4-FFF2-40B4-BE49-F238E27FC236}">
              <a16:creationId xmlns:a16="http://schemas.microsoft.com/office/drawing/2014/main" id="{27DD1985-1645-4E31-9636-F3314CDD3BAC}"/>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7315200" y="8077200"/>
          <a:ext cx="11906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40</xdr:row>
      <xdr:rowOff>19050</xdr:rowOff>
    </xdr:from>
    <xdr:to>
      <xdr:col>24</xdr:col>
      <xdr:colOff>419100</xdr:colOff>
      <xdr:row>40</xdr:row>
      <xdr:rowOff>142875</xdr:rowOff>
    </xdr:to>
    <xdr:pic>
      <xdr:nvPicPr>
        <xdr:cNvPr id="275408" name="1022 Imagen" descr="DOME UN LADO.png">
          <a:extLst>
            <a:ext uri="{FF2B5EF4-FFF2-40B4-BE49-F238E27FC236}">
              <a16:creationId xmlns:a16="http://schemas.microsoft.com/office/drawing/2014/main" id="{A58C9EC6-AE43-4980-A967-EC149773E309}"/>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7315200" y="8229600"/>
          <a:ext cx="11906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41</xdr:row>
      <xdr:rowOff>19050</xdr:rowOff>
    </xdr:from>
    <xdr:to>
      <xdr:col>24</xdr:col>
      <xdr:colOff>419100</xdr:colOff>
      <xdr:row>41</xdr:row>
      <xdr:rowOff>142875</xdr:rowOff>
    </xdr:to>
    <xdr:pic>
      <xdr:nvPicPr>
        <xdr:cNvPr id="275409" name="1023 Imagen" descr="DOME UN LADO.png">
          <a:extLst>
            <a:ext uri="{FF2B5EF4-FFF2-40B4-BE49-F238E27FC236}">
              <a16:creationId xmlns:a16="http://schemas.microsoft.com/office/drawing/2014/main" id="{58B92AC3-D4D3-4675-A1A1-F9F11F9E79CA}"/>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7315200" y="8382000"/>
          <a:ext cx="11906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42</xdr:row>
      <xdr:rowOff>19050</xdr:rowOff>
    </xdr:from>
    <xdr:to>
      <xdr:col>24</xdr:col>
      <xdr:colOff>419100</xdr:colOff>
      <xdr:row>42</xdr:row>
      <xdr:rowOff>142875</xdr:rowOff>
    </xdr:to>
    <xdr:pic>
      <xdr:nvPicPr>
        <xdr:cNvPr id="275410" name="1024 Imagen" descr="DOME UN LADO.png">
          <a:extLst>
            <a:ext uri="{FF2B5EF4-FFF2-40B4-BE49-F238E27FC236}">
              <a16:creationId xmlns:a16="http://schemas.microsoft.com/office/drawing/2014/main" id="{591EBB52-BFCD-4E58-8967-95D4AD947FAF}"/>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7315200" y="8534400"/>
          <a:ext cx="11906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46</xdr:row>
      <xdr:rowOff>19050</xdr:rowOff>
    </xdr:from>
    <xdr:to>
      <xdr:col>24</xdr:col>
      <xdr:colOff>419100</xdr:colOff>
      <xdr:row>46</xdr:row>
      <xdr:rowOff>142875</xdr:rowOff>
    </xdr:to>
    <xdr:pic>
      <xdr:nvPicPr>
        <xdr:cNvPr id="275411" name="1025 Imagen" descr="DOME UN LADO.png">
          <a:extLst>
            <a:ext uri="{FF2B5EF4-FFF2-40B4-BE49-F238E27FC236}">
              <a16:creationId xmlns:a16="http://schemas.microsoft.com/office/drawing/2014/main" id="{2876C892-47DD-4308-973E-917C31A2AE76}"/>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7315200" y="8686800"/>
          <a:ext cx="11906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47</xdr:row>
      <xdr:rowOff>19050</xdr:rowOff>
    </xdr:from>
    <xdr:to>
      <xdr:col>24</xdr:col>
      <xdr:colOff>419100</xdr:colOff>
      <xdr:row>47</xdr:row>
      <xdr:rowOff>142875</xdr:rowOff>
    </xdr:to>
    <xdr:pic>
      <xdr:nvPicPr>
        <xdr:cNvPr id="275412" name="1026 Imagen" descr="DOME UN LADO.png">
          <a:extLst>
            <a:ext uri="{FF2B5EF4-FFF2-40B4-BE49-F238E27FC236}">
              <a16:creationId xmlns:a16="http://schemas.microsoft.com/office/drawing/2014/main" id="{60AC6610-1DF7-42C3-963C-EF8AEF2473E7}"/>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7315200" y="8839200"/>
          <a:ext cx="11906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48</xdr:row>
      <xdr:rowOff>19050</xdr:rowOff>
    </xdr:from>
    <xdr:to>
      <xdr:col>24</xdr:col>
      <xdr:colOff>419100</xdr:colOff>
      <xdr:row>48</xdr:row>
      <xdr:rowOff>142875</xdr:rowOff>
    </xdr:to>
    <xdr:pic>
      <xdr:nvPicPr>
        <xdr:cNvPr id="275413" name="1027 Imagen" descr="DOME UN LADO.png">
          <a:extLst>
            <a:ext uri="{FF2B5EF4-FFF2-40B4-BE49-F238E27FC236}">
              <a16:creationId xmlns:a16="http://schemas.microsoft.com/office/drawing/2014/main" id="{368C3A36-0B7D-4B72-89D0-EA4D9811D046}"/>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7315200" y="8991600"/>
          <a:ext cx="11906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29</xdr:row>
      <xdr:rowOff>19050</xdr:rowOff>
    </xdr:from>
    <xdr:to>
      <xdr:col>24</xdr:col>
      <xdr:colOff>409575</xdr:colOff>
      <xdr:row>29</xdr:row>
      <xdr:rowOff>142875</xdr:rowOff>
    </xdr:to>
    <xdr:pic>
      <xdr:nvPicPr>
        <xdr:cNvPr id="275414" name="1031 Imagen" descr="dome 2 lados.png">
          <a:extLst>
            <a:ext uri="{FF2B5EF4-FFF2-40B4-BE49-F238E27FC236}">
              <a16:creationId xmlns:a16="http://schemas.microsoft.com/office/drawing/2014/main" id="{795310C8-A955-4092-A3B1-A73EE960AE05}"/>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7315200" y="6858000"/>
          <a:ext cx="11811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30</xdr:row>
      <xdr:rowOff>19050</xdr:rowOff>
    </xdr:from>
    <xdr:to>
      <xdr:col>24</xdr:col>
      <xdr:colOff>409575</xdr:colOff>
      <xdr:row>30</xdr:row>
      <xdr:rowOff>142875</xdr:rowOff>
    </xdr:to>
    <xdr:pic>
      <xdr:nvPicPr>
        <xdr:cNvPr id="275415" name="1032 Imagen" descr="dome 2 lados.png">
          <a:extLst>
            <a:ext uri="{FF2B5EF4-FFF2-40B4-BE49-F238E27FC236}">
              <a16:creationId xmlns:a16="http://schemas.microsoft.com/office/drawing/2014/main" id="{4505FEDB-9BAF-4F5A-8693-B444D4C0C6B4}"/>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7315200" y="7010400"/>
          <a:ext cx="11811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31</xdr:row>
      <xdr:rowOff>19050</xdr:rowOff>
    </xdr:from>
    <xdr:to>
      <xdr:col>24</xdr:col>
      <xdr:colOff>409575</xdr:colOff>
      <xdr:row>31</xdr:row>
      <xdr:rowOff>142875</xdr:rowOff>
    </xdr:to>
    <xdr:pic>
      <xdr:nvPicPr>
        <xdr:cNvPr id="275416" name="1033 Imagen" descr="dome 2 lados.png">
          <a:extLst>
            <a:ext uri="{FF2B5EF4-FFF2-40B4-BE49-F238E27FC236}">
              <a16:creationId xmlns:a16="http://schemas.microsoft.com/office/drawing/2014/main" id="{76549EA8-46A9-48A8-9EA7-F4277EA27D49}"/>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7315200" y="7162800"/>
          <a:ext cx="11811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32</xdr:row>
      <xdr:rowOff>19050</xdr:rowOff>
    </xdr:from>
    <xdr:to>
      <xdr:col>24</xdr:col>
      <xdr:colOff>409575</xdr:colOff>
      <xdr:row>32</xdr:row>
      <xdr:rowOff>142875</xdr:rowOff>
    </xdr:to>
    <xdr:pic>
      <xdr:nvPicPr>
        <xdr:cNvPr id="275417" name="1034 Imagen" descr="dome 2 lados.png">
          <a:extLst>
            <a:ext uri="{FF2B5EF4-FFF2-40B4-BE49-F238E27FC236}">
              <a16:creationId xmlns:a16="http://schemas.microsoft.com/office/drawing/2014/main" id="{969D3D47-7024-42C2-AA99-9EC7F3A11552}"/>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7315200" y="7315200"/>
          <a:ext cx="11811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33</xdr:row>
      <xdr:rowOff>19050</xdr:rowOff>
    </xdr:from>
    <xdr:to>
      <xdr:col>24</xdr:col>
      <xdr:colOff>409575</xdr:colOff>
      <xdr:row>33</xdr:row>
      <xdr:rowOff>142875</xdr:rowOff>
    </xdr:to>
    <xdr:pic>
      <xdr:nvPicPr>
        <xdr:cNvPr id="275418" name="1035 Imagen" descr="dome 2 lados.png">
          <a:extLst>
            <a:ext uri="{FF2B5EF4-FFF2-40B4-BE49-F238E27FC236}">
              <a16:creationId xmlns:a16="http://schemas.microsoft.com/office/drawing/2014/main" id="{48183232-F0B1-449C-A798-8CE96FDA5B96}"/>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7315200" y="7467600"/>
          <a:ext cx="11811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26</xdr:row>
      <xdr:rowOff>19050</xdr:rowOff>
    </xdr:from>
    <xdr:to>
      <xdr:col>24</xdr:col>
      <xdr:colOff>47625</xdr:colOff>
      <xdr:row>26</xdr:row>
      <xdr:rowOff>142875</xdr:rowOff>
    </xdr:to>
    <xdr:pic>
      <xdr:nvPicPr>
        <xdr:cNvPr id="275419" name="1036 Imagen" descr="SERI ROT ICONO.png">
          <a:extLst>
            <a:ext uri="{FF2B5EF4-FFF2-40B4-BE49-F238E27FC236}">
              <a16:creationId xmlns:a16="http://schemas.microsoft.com/office/drawing/2014/main" id="{A977B7DE-D587-42AF-87F6-0EFF27E81DA5}"/>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rcRect/>
        <a:stretch>
          <a:fillRect/>
        </a:stretch>
      </xdr:blipFill>
      <xdr:spPr bwMode="auto">
        <a:xfrm>
          <a:off x="7315200" y="60960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24</xdr:row>
      <xdr:rowOff>19050</xdr:rowOff>
    </xdr:from>
    <xdr:to>
      <xdr:col>24</xdr:col>
      <xdr:colOff>47625</xdr:colOff>
      <xdr:row>24</xdr:row>
      <xdr:rowOff>142875</xdr:rowOff>
    </xdr:to>
    <xdr:pic>
      <xdr:nvPicPr>
        <xdr:cNvPr id="275421" name="1039 Imagen" descr="laser un lado icono.png">
          <a:extLst>
            <a:ext uri="{FF2B5EF4-FFF2-40B4-BE49-F238E27FC236}">
              <a16:creationId xmlns:a16="http://schemas.microsoft.com/office/drawing/2014/main" id="{AA650483-6F63-4344-AAE8-0255EA0C2161}"/>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7315200" y="57912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18</xdr:row>
      <xdr:rowOff>19050</xdr:rowOff>
    </xdr:from>
    <xdr:to>
      <xdr:col>24</xdr:col>
      <xdr:colOff>47625</xdr:colOff>
      <xdr:row>18</xdr:row>
      <xdr:rowOff>142875</xdr:rowOff>
    </xdr:to>
    <xdr:pic>
      <xdr:nvPicPr>
        <xdr:cNvPr id="275423" name="1043 Imagen" descr="laser un lado icono.png">
          <a:extLst>
            <a:ext uri="{FF2B5EF4-FFF2-40B4-BE49-F238E27FC236}">
              <a16:creationId xmlns:a16="http://schemas.microsoft.com/office/drawing/2014/main" id="{0508D9DB-36AF-46F0-BBE6-08EBC09F4D6E}"/>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7315200" y="47244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19</xdr:row>
      <xdr:rowOff>19050</xdr:rowOff>
    </xdr:from>
    <xdr:to>
      <xdr:col>24</xdr:col>
      <xdr:colOff>47625</xdr:colOff>
      <xdr:row>19</xdr:row>
      <xdr:rowOff>142875</xdr:rowOff>
    </xdr:to>
    <xdr:pic>
      <xdr:nvPicPr>
        <xdr:cNvPr id="275424" name="1044 Imagen" descr="laser un lado icono.png">
          <a:extLst>
            <a:ext uri="{FF2B5EF4-FFF2-40B4-BE49-F238E27FC236}">
              <a16:creationId xmlns:a16="http://schemas.microsoft.com/office/drawing/2014/main" id="{79A209BC-65C3-4E28-AF1A-289092CEB93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7315200" y="48768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17</xdr:row>
      <xdr:rowOff>19050</xdr:rowOff>
    </xdr:from>
    <xdr:to>
      <xdr:col>24</xdr:col>
      <xdr:colOff>47625</xdr:colOff>
      <xdr:row>17</xdr:row>
      <xdr:rowOff>142875</xdr:rowOff>
    </xdr:to>
    <xdr:pic>
      <xdr:nvPicPr>
        <xdr:cNvPr id="275426" name="1047 Imagen" descr="laser un lado icono.png">
          <a:extLst>
            <a:ext uri="{FF2B5EF4-FFF2-40B4-BE49-F238E27FC236}">
              <a16:creationId xmlns:a16="http://schemas.microsoft.com/office/drawing/2014/main" id="{63EEF21A-DA68-49C6-9F59-6CE9A040A8DA}"/>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7315200" y="42672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465</xdr:row>
      <xdr:rowOff>19050</xdr:rowOff>
    </xdr:from>
    <xdr:to>
      <xdr:col>0</xdr:col>
      <xdr:colOff>161925</xdr:colOff>
      <xdr:row>466</xdr:row>
      <xdr:rowOff>0</xdr:rowOff>
    </xdr:to>
    <xdr:pic>
      <xdr:nvPicPr>
        <xdr:cNvPr id="275455" name="Picture 837" descr="matriz1">
          <a:extLst>
            <a:ext uri="{FF2B5EF4-FFF2-40B4-BE49-F238E27FC236}">
              <a16:creationId xmlns:a16="http://schemas.microsoft.com/office/drawing/2014/main" id="{17F7BF5E-3EFD-4F39-9E8C-080F6396BF1B}"/>
            </a:ext>
          </a:extLst>
        </xdr:cNvPr>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28575" y="86639400"/>
          <a:ext cx="13335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133350</xdr:colOff>
      <xdr:row>69</xdr:row>
      <xdr:rowOff>19049</xdr:rowOff>
    </xdr:from>
    <xdr:to>
      <xdr:col>24</xdr:col>
      <xdr:colOff>466725</xdr:colOff>
      <xdr:row>69</xdr:row>
      <xdr:rowOff>142874</xdr:rowOff>
    </xdr:to>
    <xdr:pic>
      <xdr:nvPicPr>
        <xdr:cNvPr id="275460" name="963 Imagen" descr="22x12 icono.png">
          <a:extLst>
            <a:ext uri="{FF2B5EF4-FFF2-40B4-BE49-F238E27FC236}">
              <a16:creationId xmlns:a16="http://schemas.microsoft.com/office/drawing/2014/main" id="{5F8471ED-4951-4B16-8DE4-4D3A7B9F63E0}"/>
            </a:ext>
          </a:extLst>
        </xdr:cNvPr>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8229600" y="12849224"/>
          <a:ext cx="3333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209550</xdr:colOff>
      <xdr:row>73</xdr:row>
      <xdr:rowOff>19050</xdr:rowOff>
    </xdr:from>
    <xdr:to>
      <xdr:col>5</xdr:col>
      <xdr:colOff>194</xdr:colOff>
      <xdr:row>73</xdr:row>
      <xdr:rowOff>142875</xdr:rowOff>
    </xdr:to>
    <xdr:pic>
      <xdr:nvPicPr>
        <xdr:cNvPr id="275463" name="979 Imagen" descr="niquelado icono.png">
          <a:extLst>
            <a:ext uri="{FF2B5EF4-FFF2-40B4-BE49-F238E27FC236}">
              <a16:creationId xmlns:a16="http://schemas.microsoft.com/office/drawing/2014/main" id="{BD6439C3-F0D3-4E4B-9AF1-23169DEE6DCE}"/>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2628900" y="15135225"/>
          <a:ext cx="6191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209550</xdr:colOff>
      <xdr:row>74</xdr:row>
      <xdr:rowOff>19050</xdr:rowOff>
    </xdr:from>
    <xdr:to>
      <xdr:col>5</xdr:col>
      <xdr:colOff>194</xdr:colOff>
      <xdr:row>74</xdr:row>
      <xdr:rowOff>142875</xdr:rowOff>
    </xdr:to>
    <xdr:pic>
      <xdr:nvPicPr>
        <xdr:cNvPr id="275466" name="979 Imagen" descr="niquelado icono.png">
          <a:extLst>
            <a:ext uri="{FF2B5EF4-FFF2-40B4-BE49-F238E27FC236}">
              <a16:creationId xmlns:a16="http://schemas.microsoft.com/office/drawing/2014/main" id="{EA6E2E83-9FBE-423C-AF55-F9422AE0D554}"/>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2628900" y="15287625"/>
          <a:ext cx="6191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571500</xdr:colOff>
      <xdr:row>73</xdr:row>
      <xdr:rowOff>95250</xdr:rowOff>
    </xdr:from>
    <xdr:to>
      <xdr:col>24</xdr:col>
      <xdr:colOff>123825</xdr:colOff>
      <xdr:row>74</xdr:row>
      <xdr:rowOff>66675</xdr:rowOff>
    </xdr:to>
    <xdr:pic>
      <xdr:nvPicPr>
        <xdr:cNvPr id="275469" name="973 Imagen" descr="20x50.png">
          <a:extLst>
            <a:ext uri="{FF2B5EF4-FFF2-40B4-BE49-F238E27FC236}">
              <a16:creationId xmlns:a16="http://schemas.microsoft.com/office/drawing/2014/main" id="{32BE61D8-5A03-475A-9043-1E2E4DFAF6AF}"/>
            </a:ext>
          </a:extLst>
        </xdr:cNvPr>
        <xdr:cNvPicPr>
          <a:picLocks noChangeAspect="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7877175" y="15211425"/>
          <a:ext cx="3333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142875</xdr:colOff>
      <xdr:row>73</xdr:row>
      <xdr:rowOff>95250</xdr:rowOff>
    </xdr:from>
    <xdr:to>
      <xdr:col>24</xdr:col>
      <xdr:colOff>466725</xdr:colOff>
      <xdr:row>74</xdr:row>
      <xdr:rowOff>66675</xdr:rowOff>
    </xdr:to>
    <xdr:pic>
      <xdr:nvPicPr>
        <xdr:cNvPr id="275470" name="974 Imagen" descr="20x55.png">
          <a:extLst>
            <a:ext uri="{FF2B5EF4-FFF2-40B4-BE49-F238E27FC236}">
              <a16:creationId xmlns:a16="http://schemas.microsoft.com/office/drawing/2014/main" id="{A45A455E-FEC7-4098-9A59-E5C463807298}"/>
            </a:ext>
          </a:extLst>
        </xdr:cNvPr>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bwMode="auto">
        <a:xfrm>
          <a:off x="8229600" y="15211425"/>
          <a:ext cx="3238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485775</xdr:colOff>
      <xdr:row>73</xdr:row>
      <xdr:rowOff>95250</xdr:rowOff>
    </xdr:from>
    <xdr:to>
      <xdr:col>25</xdr:col>
      <xdr:colOff>333374</xdr:colOff>
      <xdr:row>74</xdr:row>
      <xdr:rowOff>66675</xdr:rowOff>
    </xdr:to>
    <xdr:pic>
      <xdr:nvPicPr>
        <xdr:cNvPr id="275471" name="975 Imagen" descr="20x60.png">
          <a:extLst>
            <a:ext uri="{FF2B5EF4-FFF2-40B4-BE49-F238E27FC236}">
              <a16:creationId xmlns:a16="http://schemas.microsoft.com/office/drawing/2014/main" id="{9E2E7157-458D-4662-8D6A-C25B45737679}"/>
            </a:ext>
          </a:extLst>
        </xdr:cNvPr>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8572500" y="15211425"/>
          <a:ext cx="3429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73</xdr:row>
      <xdr:rowOff>95250</xdr:rowOff>
    </xdr:from>
    <xdr:to>
      <xdr:col>23</xdr:col>
      <xdr:colOff>542925</xdr:colOff>
      <xdr:row>74</xdr:row>
      <xdr:rowOff>66675</xdr:rowOff>
    </xdr:to>
    <xdr:pic>
      <xdr:nvPicPr>
        <xdr:cNvPr id="275472" name="978 Imagen" descr="MEDIDAS ICONO.png">
          <a:extLst>
            <a:ext uri="{FF2B5EF4-FFF2-40B4-BE49-F238E27FC236}">
              <a16:creationId xmlns:a16="http://schemas.microsoft.com/office/drawing/2014/main" id="{5BB8511E-29B6-4844-B19D-5509624385D4}"/>
            </a:ext>
          </a:extLst>
        </xdr:cNvPr>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7315200" y="15211425"/>
          <a:ext cx="533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19050</xdr:colOff>
      <xdr:row>70</xdr:row>
      <xdr:rowOff>19050</xdr:rowOff>
    </xdr:from>
    <xdr:to>
      <xdr:col>23</xdr:col>
      <xdr:colOff>552450</xdr:colOff>
      <xdr:row>70</xdr:row>
      <xdr:rowOff>142875</xdr:rowOff>
    </xdr:to>
    <xdr:pic>
      <xdr:nvPicPr>
        <xdr:cNvPr id="275473" name="979 Imagen" descr="MEDIDAS ICONO.png">
          <a:extLst>
            <a:ext uri="{FF2B5EF4-FFF2-40B4-BE49-F238E27FC236}">
              <a16:creationId xmlns:a16="http://schemas.microsoft.com/office/drawing/2014/main" id="{5D4DDED2-345A-4B37-A289-018DAA9ED7DD}"/>
            </a:ext>
          </a:extLst>
        </xdr:cNvPr>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7334250" y="13001625"/>
          <a:ext cx="533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72</xdr:row>
      <xdr:rowOff>19050</xdr:rowOff>
    </xdr:from>
    <xdr:to>
      <xdr:col>10</xdr:col>
      <xdr:colOff>930</xdr:colOff>
      <xdr:row>72</xdr:row>
      <xdr:rowOff>142875</xdr:rowOff>
    </xdr:to>
    <xdr:pic>
      <xdr:nvPicPr>
        <xdr:cNvPr id="275475" name="958 Imagen" descr="CONSULTAR ICONO.png">
          <a:extLst>
            <a:ext uri="{FF2B5EF4-FFF2-40B4-BE49-F238E27FC236}">
              <a16:creationId xmlns:a16="http://schemas.microsoft.com/office/drawing/2014/main" id="{29D468AD-F7E7-44B9-9EF6-C3162FD505CC}"/>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11430000"/>
          <a:ext cx="82007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209550</xdr:colOff>
      <xdr:row>71</xdr:row>
      <xdr:rowOff>19050</xdr:rowOff>
    </xdr:from>
    <xdr:to>
      <xdr:col>5</xdr:col>
      <xdr:colOff>194</xdr:colOff>
      <xdr:row>71</xdr:row>
      <xdr:rowOff>142875</xdr:rowOff>
    </xdr:to>
    <xdr:pic>
      <xdr:nvPicPr>
        <xdr:cNvPr id="275476" name="979 Imagen" descr="niquelado icono.png">
          <a:extLst>
            <a:ext uri="{FF2B5EF4-FFF2-40B4-BE49-F238E27FC236}">
              <a16:creationId xmlns:a16="http://schemas.microsoft.com/office/drawing/2014/main" id="{3CF58078-02E7-40CA-BDC8-94CFA00EFB8A}"/>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2628900" y="14830425"/>
          <a:ext cx="6191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435</xdr:row>
      <xdr:rowOff>19050</xdr:rowOff>
    </xdr:from>
    <xdr:to>
      <xdr:col>24</xdr:col>
      <xdr:colOff>47625</xdr:colOff>
      <xdr:row>435</xdr:row>
      <xdr:rowOff>142875</xdr:rowOff>
    </xdr:to>
    <xdr:pic>
      <xdr:nvPicPr>
        <xdr:cNvPr id="275481" name="323 Imagen" descr="dome icono.png">
          <a:extLst>
            <a:ext uri="{FF2B5EF4-FFF2-40B4-BE49-F238E27FC236}">
              <a16:creationId xmlns:a16="http://schemas.microsoft.com/office/drawing/2014/main" id="{6BB64E0C-8321-4C31-B3CE-3FE83C37EBC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7315200" y="788955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436</xdr:row>
      <xdr:rowOff>19050</xdr:rowOff>
    </xdr:from>
    <xdr:to>
      <xdr:col>24</xdr:col>
      <xdr:colOff>47625</xdr:colOff>
      <xdr:row>436</xdr:row>
      <xdr:rowOff>142875</xdr:rowOff>
    </xdr:to>
    <xdr:pic>
      <xdr:nvPicPr>
        <xdr:cNvPr id="275482" name="323 Imagen" descr="dome icono.png">
          <a:extLst>
            <a:ext uri="{FF2B5EF4-FFF2-40B4-BE49-F238E27FC236}">
              <a16:creationId xmlns:a16="http://schemas.microsoft.com/office/drawing/2014/main" id="{3FDEF6A8-69D9-4F09-9E05-96E5E471616E}"/>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7315200" y="790479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66</xdr:row>
      <xdr:rowOff>19050</xdr:rowOff>
    </xdr:from>
    <xdr:to>
      <xdr:col>24</xdr:col>
      <xdr:colOff>47625</xdr:colOff>
      <xdr:row>66</xdr:row>
      <xdr:rowOff>142875</xdr:rowOff>
    </xdr:to>
    <xdr:pic>
      <xdr:nvPicPr>
        <xdr:cNvPr id="275484" name="919 Imagen" descr="seri icono.png">
          <a:extLst>
            <a:ext uri="{FF2B5EF4-FFF2-40B4-BE49-F238E27FC236}">
              <a16:creationId xmlns:a16="http://schemas.microsoft.com/office/drawing/2014/main" id="{92E36A5E-683C-4133-B6A1-C673B49D6338}"/>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15200" y="139160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67</xdr:row>
      <xdr:rowOff>19050</xdr:rowOff>
    </xdr:from>
    <xdr:to>
      <xdr:col>24</xdr:col>
      <xdr:colOff>47625</xdr:colOff>
      <xdr:row>67</xdr:row>
      <xdr:rowOff>142875</xdr:rowOff>
    </xdr:to>
    <xdr:pic>
      <xdr:nvPicPr>
        <xdr:cNvPr id="275486" name="919 Imagen" descr="seri icono.png">
          <a:extLst>
            <a:ext uri="{FF2B5EF4-FFF2-40B4-BE49-F238E27FC236}">
              <a16:creationId xmlns:a16="http://schemas.microsoft.com/office/drawing/2014/main" id="{CC3DD387-7689-4E66-AAA5-A460197B0B6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15200" y="140684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126</xdr:row>
      <xdr:rowOff>19050</xdr:rowOff>
    </xdr:from>
    <xdr:to>
      <xdr:col>24</xdr:col>
      <xdr:colOff>47625</xdr:colOff>
      <xdr:row>126</xdr:row>
      <xdr:rowOff>142875</xdr:rowOff>
    </xdr:to>
    <xdr:pic>
      <xdr:nvPicPr>
        <xdr:cNvPr id="275488" name="840 Imagen" descr="dome icono.png">
          <a:extLst>
            <a:ext uri="{FF2B5EF4-FFF2-40B4-BE49-F238E27FC236}">
              <a16:creationId xmlns:a16="http://schemas.microsoft.com/office/drawing/2014/main" id="{CBEFA250-9D4D-4CD2-9950-7DEE73C05631}"/>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7315200" y="249459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52</xdr:row>
      <xdr:rowOff>28575</xdr:rowOff>
    </xdr:from>
    <xdr:to>
      <xdr:col>1</xdr:col>
      <xdr:colOff>0</xdr:colOff>
      <xdr:row>52</xdr:row>
      <xdr:rowOff>142875</xdr:rowOff>
    </xdr:to>
    <xdr:pic>
      <xdr:nvPicPr>
        <xdr:cNvPr id="275511" name="211 Imagen" descr="premium.jpg">
          <a:extLst>
            <a:ext uri="{FF2B5EF4-FFF2-40B4-BE49-F238E27FC236}">
              <a16:creationId xmlns:a16="http://schemas.microsoft.com/office/drawing/2014/main" id="{3D5DD0AF-8A8C-4E6E-9432-DECA97FF9ACE}"/>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9763125"/>
          <a:ext cx="3429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124</xdr:row>
      <xdr:rowOff>19050</xdr:rowOff>
    </xdr:from>
    <xdr:to>
      <xdr:col>24</xdr:col>
      <xdr:colOff>47625</xdr:colOff>
      <xdr:row>124</xdr:row>
      <xdr:rowOff>142875</xdr:rowOff>
    </xdr:to>
    <xdr:pic>
      <xdr:nvPicPr>
        <xdr:cNvPr id="275515" name="871 Imagen" descr="sublimacion icono.png">
          <a:extLst>
            <a:ext uri="{FF2B5EF4-FFF2-40B4-BE49-F238E27FC236}">
              <a16:creationId xmlns:a16="http://schemas.microsoft.com/office/drawing/2014/main" id="{423B55F7-FD28-42E5-A579-6F781CD8E80C}"/>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15200" y="247935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434</xdr:row>
      <xdr:rowOff>19050</xdr:rowOff>
    </xdr:from>
    <xdr:to>
      <xdr:col>24</xdr:col>
      <xdr:colOff>47625</xdr:colOff>
      <xdr:row>434</xdr:row>
      <xdr:rowOff>142875</xdr:rowOff>
    </xdr:to>
    <xdr:pic>
      <xdr:nvPicPr>
        <xdr:cNvPr id="275522" name="323 Imagen" descr="dome icono.png">
          <a:extLst>
            <a:ext uri="{FF2B5EF4-FFF2-40B4-BE49-F238E27FC236}">
              <a16:creationId xmlns:a16="http://schemas.microsoft.com/office/drawing/2014/main" id="{C8CE6A87-3930-44D3-A12F-DAA64911CB3F}"/>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7315200" y="787431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570</xdr:row>
      <xdr:rowOff>19050</xdr:rowOff>
    </xdr:from>
    <xdr:to>
      <xdr:col>24</xdr:col>
      <xdr:colOff>47625</xdr:colOff>
      <xdr:row>570</xdr:row>
      <xdr:rowOff>142875</xdr:rowOff>
    </xdr:to>
    <xdr:pic>
      <xdr:nvPicPr>
        <xdr:cNvPr id="957" name="429 Imagen" descr="sublimacion icono.png">
          <a:extLst>
            <a:ext uri="{FF2B5EF4-FFF2-40B4-BE49-F238E27FC236}">
              <a16:creationId xmlns:a16="http://schemas.microsoft.com/office/drawing/2014/main" id="{6CF316BA-1A7F-4150-9180-0700F4598BFE}"/>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24725" y="8822055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571</xdr:row>
      <xdr:rowOff>19050</xdr:rowOff>
    </xdr:from>
    <xdr:to>
      <xdr:col>24</xdr:col>
      <xdr:colOff>47625</xdr:colOff>
      <xdr:row>571</xdr:row>
      <xdr:rowOff>142875</xdr:rowOff>
    </xdr:to>
    <xdr:pic>
      <xdr:nvPicPr>
        <xdr:cNvPr id="960" name="429 Imagen" descr="sublimacion icono.png">
          <a:extLst>
            <a:ext uri="{FF2B5EF4-FFF2-40B4-BE49-F238E27FC236}">
              <a16:creationId xmlns:a16="http://schemas.microsoft.com/office/drawing/2014/main" id="{6CF316BA-1A7F-4150-9180-0700F4598BFE}"/>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43775" y="892778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24</xdr:col>
      <xdr:colOff>57150</xdr:colOff>
      <xdr:row>308</xdr:row>
      <xdr:rowOff>19050</xdr:rowOff>
    </xdr:from>
    <xdr:ext cx="438150" cy="123825"/>
    <xdr:pic>
      <xdr:nvPicPr>
        <xdr:cNvPr id="989" name="571 Imagen" descr="UN LADO ICONO.png">
          <a:extLst>
            <a:ext uri="{FF2B5EF4-FFF2-40B4-BE49-F238E27FC236}">
              <a16:creationId xmlns:a16="http://schemas.microsoft.com/office/drawing/2014/main" id="{822A2817-1BEA-4713-B476-6570D88127C0}"/>
            </a:ext>
          </a:extLst>
        </xdr:cNvPr>
        <xdr:cNvPicPr>
          <a:picLocks noChangeAspect="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8162925" y="53711475"/>
          <a:ext cx="438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27</xdr:row>
      <xdr:rowOff>19050</xdr:rowOff>
    </xdr:from>
    <xdr:to>
      <xdr:col>24</xdr:col>
      <xdr:colOff>47625</xdr:colOff>
      <xdr:row>27</xdr:row>
      <xdr:rowOff>142875</xdr:rowOff>
    </xdr:to>
    <xdr:pic>
      <xdr:nvPicPr>
        <xdr:cNvPr id="987" name="1039 Imagen" descr="laser un lado icono.png">
          <a:extLst>
            <a:ext uri="{FF2B5EF4-FFF2-40B4-BE49-F238E27FC236}">
              <a16:creationId xmlns:a16="http://schemas.microsoft.com/office/drawing/2014/main" id="{D81B8030-98D5-4225-8049-FE4534948711}"/>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7381875" y="65532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134</xdr:row>
      <xdr:rowOff>19050</xdr:rowOff>
    </xdr:from>
    <xdr:to>
      <xdr:col>24</xdr:col>
      <xdr:colOff>47625</xdr:colOff>
      <xdr:row>134</xdr:row>
      <xdr:rowOff>142875</xdr:rowOff>
    </xdr:to>
    <xdr:pic>
      <xdr:nvPicPr>
        <xdr:cNvPr id="972" name="841 Imagen" descr="dome icono.png">
          <a:extLst>
            <a:ext uri="{FF2B5EF4-FFF2-40B4-BE49-F238E27FC236}">
              <a16:creationId xmlns:a16="http://schemas.microsoft.com/office/drawing/2014/main" id="{8B4A8EF8-E404-4AD5-8580-12C8E12F4F57}"/>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7381875" y="260127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208</xdr:row>
      <xdr:rowOff>19050</xdr:rowOff>
    </xdr:from>
    <xdr:to>
      <xdr:col>24</xdr:col>
      <xdr:colOff>47625</xdr:colOff>
      <xdr:row>208</xdr:row>
      <xdr:rowOff>142875</xdr:rowOff>
    </xdr:to>
    <xdr:pic>
      <xdr:nvPicPr>
        <xdr:cNvPr id="1014" name="755 Imagen" descr="seri icono.png">
          <a:extLst>
            <a:ext uri="{FF2B5EF4-FFF2-40B4-BE49-F238E27FC236}">
              <a16:creationId xmlns:a16="http://schemas.microsoft.com/office/drawing/2014/main" id="{6F01BA60-336D-4566-99D4-4BE1A3E5247D}"/>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15200" y="385572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92</xdr:row>
      <xdr:rowOff>19050</xdr:rowOff>
    </xdr:from>
    <xdr:to>
      <xdr:col>24</xdr:col>
      <xdr:colOff>47625</xdr:colOff>
      <xdr:row>92</xdr:row>
      <xdr:rowOff>142875</xdr:rowOff>
    </xdr:to>
    <xdr:pic>
      <xdr:nvPicPr>
        <xdr:cNvPr id="1006" name="1048 Imagen" descr="laser un lado icono.png">
          <a:extLst>
            <a:ext uri="{FF2B5EF4-FFF2-40B4-BE49-F238E27FC236}">
              <a16:creationId xmlns:a16="http://schemas.microsoft.com/office/drawing/2014/main" id="{F7A43007-A731-4DCE-BE0A-3E6ADD4A328A}"/>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7315200" y="174212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94</xdr:row>
      <xdr:rowOff>19050</xdr:rowOff>
    </xdr:from>
    <xdr:to>
      <xdr:col>24</xdr:col>
      <xdr:colOff>47625</xdr:colOff>
      <xdr:row>94</xdr:row>
      <xdr:rowOff>142875</xdr:rowOff>
    </xdr:to>
    <xdr:pic>
      <xdr:nvPicPr>
        <xdr:cNvPr id="1018" name="1048 Imagen" descr="laser un lado icono.png">
          <a:extLst>
            <a:ext uri="{FF2B5EF4-FFF2-40B4-BE49-F238E27FC236}">
              <a16:creationId xmlns:a16="http://schemas.microsoft.com/office/drawing/2014/main" id="{F7A43007-A731-4DCE-BE0A-3E6ADD4A328A}"/>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7315200" y="175736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95</xdr:row>
      <xdr:rowOff>19050</xdr:rowOff>
    </xdr:from>
    <xdr:to>
      <xdr:col>24</xdr:col>
      <xdr:colOff>47625</xdr:colOff>
      <xdr:row>95</xdr:row>
      <xdr:rowOff>142875</xdr:rowOff>
    </xdr:to>
    <xdr:pic>
      <xdr:nvPicPr>
        <xdr:cNvPr id="1019" name="945 Imagen" descr="seri icono.png">
          <a:extLst>
            <a:ext uri="{FF2B5EF4-FFF2-40B4-BE49-F238E27FC236}">
              <a16:creationId xmlns:a16="http://schemas.microsoft.com/office/drawing/2014/main" id="{9DAB2EBE-6C25-45A4-BBE1-B318A43F85E2}"/>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15200" y="178784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58</xdr:row>
      <xdr:rowOff>19050</xdr:rowOff>
    </xdr:from>
    <xdr:ext cx="819150" cy="123825"/>
    <xdr:pic>
      <xdr:nvPicPr>
        <xdr:cNvPr id="1023" name="923 Imagen" descr="seri icono.png">
          <a:extLst>
            <a:ext uri="{FF2B5EF4-FFF2-40B4-BE49-F238E27FC236}">
              <a16:creationId xmlns:a16="http://schemas.microsoft.com/office/drawing/2014/main" id="{C3A9516D-C078-4003-B87E-2EAA6E62EB8D}"/>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15200" y="133064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58</xdr:row>
      <xdr:rowOff>19050</xdr:rowOff>
    </xdr:from>
    <xdr:ext cx="819150" cy="123825"/>
    <xdr:pic>
      <xdr:nvPicPr>
        <xdr:cNvPr id="1024" name="924 Imagen" descr="seri icono.png">
          <a:extLst>
            <a:ext uri="{FF2B5EF4-FFF2-40B4-BE49-F238E27FC236}">
              <a16:creationId xmlns:a16="http://schemas.microsoft.com/office/drawing/2014/main" id="{D9C0E8C5-2563-4D54-94CE-0BAFABFDD8C3}"/>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15200" y="133064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265</xdr:row>
      <xdr:rowOff>19050</xdr:rowOff>
    </xdr:from>
    <xdr:ext cx="819150" cy="123825"/>
    <xdr:pic>
      <xdr:nvPicPr>
        <xdr:cNvPr id="1049" name="622 Imagen" descr="laser icono.png">
          <a:extLst>
            <a:ext uri="{FF2B5EF4-FFF2-40B4-BE49-F238E27FC236}">
              <a16:creationId xmlns:a16="http://schemas.microsoft.com/office/drawing/2014/main" id="{E9DCD936-D695-4ED6-8F91-2F5E6477B4ED}"/>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34250" y="428244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413</xdr:row>
      <xdr:rowOff>19050</xdr:rowOff>
    </xdr:from>
    <xdr:to>
      <xdr:col>24</xdr:col>
      <xdr:colOff>47625</xdr:colOff>
      <xdr:row>413</xdr:row>
      <xdr:rowOff>142875</xdr:rowOff>
    </xdr:to>
    <xdr:pic>
      <xdr:nvPicPr>
        <xdr:cNvPr id="1063" name="293 Imagen" descr="dome icono.png">
          <a:extLst>
            <a:ext uri="{FF2B5EF4-FFF2-40B4-BE49-F238E27FC236}">
              <a16:creationId xmlns:a16="http://schemas.microsoft.com/office/drawing/2014/main" id="{B1101479-DA06-412D-95BB-FBE43670EC74}"/>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7324725" y="788955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572</xdr:row>
      <xdr:rowOff>20292</xdr:rowOff>
    </xdr:from>
    <xdr:ext cx="819150" cy="123825"/>
    <xdr:pic>
      <xdr:nvPicPr>
        <xdr:cNvPr id="984" name="439 Imagen" descr="sublimacion icono.png">
          <a:extLst>
            <a:ext uri="{FF2B5EF4-FFF2-40B4-BE49-F238E27FC236}">
              <a16:creationId xmlns:a16="http://schemas.microsoft.com/office/drawing/2014/main" id="{0FA9E6BF-97F1-48FB-A837-659B6D7AA13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289938" y="8596064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573</xdr:row>
      <xdr:rowOff>20292</xdr:rowOff>
    </xdr:from>
    <xdr:ext cx="819150" cy="123825"/>
    <xdr:pic>
      <xdr:nvPicPr>
        <xdr:cNvPr id="1032" name="439 Imagen" descr="sublimacion icono.png">
          <a:extLst>
            <a:ext uri="{FF2B5EF4-FFF2-40B4-BE49-F238E27FC236}">
              <a16:creationId xmlns:a16="http://schemas.microsoft.com/office/drawing/2014/main" id="{0FA9E6BF-97F1-48FB-A837-659B6D7AA13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289938" y="86109727"/>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197</xdr:row>
      <xdr:rowOff>19050</xdr:rowOff>
    </xdr:from>
    <xdr:to>
      <xdr:col>24</xdr:col>
      <xdr:colOff>47625</xdr:colOff>
      <xdr:row>197</xdr:row>
      <xdr:rowOff>142875</xdr:rowOff>
    </xdr:to>
    <xdr:pic>
      <xdr:nvPicPr>
        <xdr:cNvPr id="1081" name="771 Imagen" descr="seri icono.png">
          <a:extLst>
            <a:ext uri="{FF2B5EF4-FFF2-40B4-BE49-F238E27FC236}">
              <a16:creationId xmlns:a16="http://schemas.microsoft.com/office/drawing/2014/main" id="{DAD49756-2E19-4232-A8FB-B22DDDB6C97E}"/>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34250" y="308991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199</xdr:row>
      <xdr:rowOff>19050</xdr:rowOff>
    </xdr:from>
    <xdr:to>
      <xdr:col>24</xdr:col>
      <xdr:colOff>47625</xdr:colOff>
      <xdr:row>199</xdr:row>
      <xdr:rowOff>142875</xdr:rowOff>
    </xdr:to>
    <xdr:pic>
      <xdr:nvPicPr>
        <xdr:cNvPr id="1082" name="765 Imagen" descr="seri icono.png">
          <a:extLst>
            <a:ext uri="{FF2B5EF4-FFF2-40B4-BE49-F238E27FC236}">
              <a16:creationId xmlns:a16="http://schemas.microsoft.com/office/drawing/2014/main" id="{8988DF02-C87F-4315-BE6C-E457735D2D37}"/>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34250" y="31356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262</xdr:row>
      <xdr:rowOff>19050</xdr:rowOff>
    </xdr:from>
    <xdr:to>
      <xdr:col>24</xdr:col>
      <xdr:colOff>47625</xdr:colOff>
      <xdr:row>262</xdr:row>
      <xdr:rowOff>142875</xdr:rowOff>
    </xdr:to>
    <xdr:pic>
      <xdr:nvPicPr>
        <xdr:cNvPr id="1083" name="620 Imagen" descr="laser icono.png">
          <a:extLst>
            <a:ext uri="{FF2B5EF4-FFF2-40B4-BE49-F238E27FC236}">
              <a16:creationId xmlns:a16="http://schemas.microsoft.com/office/drawing/2014/main" id="{45FD4C15-BDDF-4841-9AB5-7CD787B13DC8}"/>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34250" y="423672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12</xdr:row>
      <xdr:rowOff>19050</xdr:rowOff>
    </xdr:from>
    <xdr:to>
      <xdr:col>24</xdr:col>
      <xdr:colOff>47625</xdr:colOff>
      <xdr:row>12</xdr:row>
      <xdr:rowOff>142875</xdr:rowOff>
    </xdr:to>
    <xdr:pic>
      <xdr:nvPicPr>
        <xdr:cNvPr id="1085" name="1057 Imagen" descr="laser fibra icono.png">
          <a:extLst>
            <a:ext uri="{FF2B5EF4-FFF2-40B4-BE49-F238E27FC236}">
              <a16:creationId xmlns:a16="http://schemas.microsoft.com/office/drawing/2014/main" id="{5DC52DFE-C891-4C06-AADA-8EBEDF030818}"/>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62825" y="25908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445</xdr:row>
      <xdr:rowOff>19050</xdr:rowOff>
    </xdr:from>
    <xdr:to>
      <xdr:col>24</xdr:col>
      <xdr:colOff>47625</xdr:colOff>
      <xdr:row>445</xdr:row>
      <xdr:rowOff>142875</xdr:rowOff>
    </xdr:to>
    <xdr:pic>
      <xdr:nvPicPr>
        <xdr:cNvPr id="1002" name="337 Imagen" descr="laser fibra icono.png">
          <a:extLst>
            <a:ext uri="{FF2B5EF4-FFF2-40B4-BE49-F238E27FC236}">
              <a16:creationId xmlns:a16="http://schemas.microsoft.com/office/drawing/2014/main" id="{8504D109-95E7-49E6-9F49-7E0269928A13}"/>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34250" y="746474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347</xdr:row>
      <xdr:rowOff>28575</xdr:rowOff>
    </xdr:from>
    <xdr:to>
      <xdr:col>1</xdr:col>
      <xdr:colOff>0</xdr:colOff>
      <xdr:row>347</xdr:row>
      <xdr:rowOff>133350</xdr:rowOff>
    </xdr:to>
    <xdr:pic>
      <xdr:nvPicPr>
        <xdr:cNvPr id="1088" name="222 Imagen" descr="oferta icono.png">
          <a:extLst>
            <a:ext uri="{FF2B5EF4-FFF2-40B4-BE49-F238E27FC236}">
              <a16:creationId xmlns:a16="http://schemas.microsoft.com/office/drawing/2014/main" id="{3E96CCA1-0FD5-4D0A-BD9D-85B022678771}"/>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6746557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448</xdr:row>
      <xdr:rowOff>19050</xdr:rowOff>
    </xdr:from>
    <xdr:ext cx="819150" cy="123825"/>
    <xdr:pic>
      <xdr:nvPicPr>
        <xdr:cNvPr id="1093" name="365 Imagen" descr="laser fibra icono.png">
          <a:extLst>
            <a:ext uri="{FF2B5EF4-FFF2-40B4-BE49-F238E27FC236}">
              <a16:creationId xmlns:a16="http://schemas.microsoft.com/office/drawing/2014/main" id="{6239FBFC-C360-4BB2-83CA-3710A8BAD1E4}"/>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34250" y="754094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186</xdr:row>
      <xdr:rowOff>19050</xdr:rowOff>
    </xdr:from>
    <xdr:to>
      <xdr:col>24</xdr:col>
      <xdr:colOff>47625</xdr:colOff>
      <xdr:row>186</xdr:row>
      <xdr:rowOff>142875</xdr:rowOff>
    </xdr:to>
    <xdr:pic>
      <xdr:nvPicPr>
        <xdr:cNvPr id="899" name="783 Imagen" descr="tampo icono.png">
          <a:extLst>
            <a:ext uri="{FF2B5EF4-FFF2-40B4-BE49-F238E27FC236}">
              <a16:creationId xmlns:a16="http://schemas.microsoft.com/office/drawing/2014/main" id="{388F74A9-B543-475C-B70E-8B712B0582CC}"/>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7334250" y="32118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563</xdr:row>
      <xdr:rowOff>19050</xdr:rowOff>
    </xdr:from>
    <xdr:to>
      <xdr:col>24</xdr:col>
      <xdr:colOff>47625</xdr:colOff>
      <xdr:row>563</xdr:row>
      <xdr:rowOff>142875</xdr:rowOff>
    </xdr:to>
    <xdr:pic>
      <xdr:nvPicPr>
        <xdr:cNvPr id="874" name="415 Imagen" descr="sublimacion icono.png">
          <a:extLst>
            <a:ext uri="{FF2B5EF4-FFF2-40B4-BE49-F238E27FC236}">
              <a16:creationId xmlns:a16="http://schemas.microsoft.com/office/drawing/2014/main" id="{D459F3CF-05E6-44A1-9789-E68EB58CB875}"/>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24725" y="8684895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564</xdr:row>
      <xdr:rowOff>19050</xdr:rowOff>
    </xdr:from>
    <xdr:to>
      <xdr:col>24</xdr:col>
      <xdr:colOff>47625</xdr:colOff>
      <xdr:row>564</xdr:row>
      <xdr:rowOff>142875</xdr:rowOff>
    </xdr:to>
    <xdr:pic>
      <xdr:nvPicPr>
        <xdr:cNvPr id="875" name="415 Imagen" descr="sublimacion icono.png">
          <a:extLst>
            <a:ext uri="{FF2B5EF4-FFF2-40B4-BE49-F238E27FC236}">
              <a16:creationId xmlns:a16="http://schemas.microsoft.com/office/drawing/2014/main" id="{D459F3CF-05E6-44A1-9789-E68EB58CB875}"/>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24725" y="8700135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58</xdr:row>
      <xdr:rowOff>28575</xdr:rowOff>
    </xdr:from>
    <xdr:to>
      <xdr:col>1</xdr:col>
      <xdr:colOff>0</xdr:colOff>
      <xdr:row>58</xdr:row>
      <xdr:rowOff>133350</xdr:rowOff>
    </xdr:to>
    <xdr:pic>
      <xdr:nvPicPr>
        <xdr:cNvPr id="863" name="239 Imagen" descr="oferta icono.png">
          <a:extLst>
            <a:ext uri="{FF2B5EF4-FFF2-40B4-BE49-F238E27FC236}">
              <a16:creationId xmlns:a16="http://schemas.microsoft.com/office/drawing/2014/main" id="{4DA6D193-30DF-4923-82A3-D9413A14B55B}"/>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1240155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91</xdr:row>
      <xdr:rowOff>19050</xdr:rowOff>
    </xdr:from>
    <xdr:to>
      <xdr:col>24</xdr:col>
      <xdr:colOff>47625</xdr:colOff>
      <xdr:row>91</xdr:row>
      <xdr:rowOff>142875</xdr:rowOff>
    </xdr:to>
    <xdr:pic>
      <xdr:nvPicPr>
        <xdr:cNvPr id="912" name="1048 Imagen" descr="laser un lado icono.png">
          <a:extLst>
            <a:ext uri="{FF2B5EF4-FFF2-40B4-BE49-F238E27FC236}">
              <a16:creationId xmlns:a16="http://schemas.microsoft.com/office/drawing/2014/main" id="{F7A43007-A731-4DCE-BE0A-3E6ADD4A328A}"/>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7315200" y="166592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16</xdr:row>
      <xdr:rowOff>19050</xdr:rowOff>
    </xdr:from>
    <xdr:to>
      <xdr:col>24</xdr:col>
      <xdr:colOff>47625</xdr:colOff>
      <xdr:row>16</xdr:row>
      <xdr:rowOff>142875</xdr:rowOff>
    </xdr:to>
    <xdr:pic>
      <xdr:nvPicPr>
        <xdr:cNvPr id="929" name="1047 Imagen" descr="laser un lado icono.png">
          <a:extLst>
            <a:ext uri="{FF2B5EF4-FFF2-40B4-BE49-F238E27FC236}">
              <a16:creationId xmlns:a16="http://schemas.microsoft.com/office/drawing/2014/main" id="{63EEF21A-DA68-49C6-9F59-6CE9A040A8DA}"/>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7353300" y="30480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218</xdr:row>
      <xdr:rowOff>19050</xdr:rowOff>
    </xdr:from>
    <xdr:to>
      <xdr:col>24</xdr:col>
      <xdr:colOff>47625</xdr:colOff>
      <xdr:row>218</xdr:row>
      <xdr:rowOff>144555</xdr:rowOff>
    </xdr:to>
    <xdr:pic>
      <xdr:nvPicPr>
        <xdr:cNvPr id="942" name="706 Imagen" descr="seri icono.png">
          <a:extLst>
            <a:ext uri="{FF2B5EF4-FFF2-40B4-BE49-F238E27FC236}">
              <a16:creationId xmlns:a16="http://schemas.microsoft.com/office/drawing/2014/main" id="{02C04E86-38B2-4D45-9CC7-86DA274F3A42}"/>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15200" y="40271700"/>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66675</xdr:colOff>
      <xdr:row>218</xdr:row>
      <xdr:rowOff>19050</xdr:rowOff>
    </xdr:from>
    <xdr:to>
      <xdr:col>26</xdr:col>
      <xdr:colOff>9524</xdr:colOff>
      <xdr:row>218</xdr:row>
      <xdr:rowOff>142875</xdr:rowOff>
    </xdr:to>
    <xdr:pic>
      <xdr:nvPicPr>
        <xdr:cNvPr id="946" name="710 Imagen" descr="tampo icono.png">
          <a:extLst>
            <a:ext uri="{FF2B5EF4-FFF2-40B4-BE49-F238E27FC236}">
              <a16:creationId xmlns:a16="http://schemas.microsoft.com/office/drawing/2014/main" id="{16734E87-DB15-4DE6-8EE4-0EB6054D11B6}"/>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8143875" y="390525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302</xdr:row>
      <xdr:rowOff>19050</xdr:rowOff>
    </xdr:from>
    <xdr:to>
      <xdr:col>24</xdr:col>
      <xdr:colOff>47625</xdr:colOff>
      <xdr:row>302</xdr:row>
      <xdr:rowOff>142875</xdr:rowOff>
    </xdr:to>
    <xdr:pic>
      <xdr:nvPicPr>
        <xdr:cNvPr id="974" name="608 Imagen" descr="laser icono.png">
          <a:extLst>
            <a:ext uri="{FF2B5EF4-FFF2-40B4-BE49-F238E27FC236}">
              <a16:creationId xmlns:a16="http://schemas.microsoft.com/office/drawing/2014/main" id="{D3F68CA1-17C7-434F-BE29-631E9D88089B}"/>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34250" y="483108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303</xdr:row>
      <xdr:rowOff>19050</xdr:rowOff>
    </xdr:from>
    <xdr:to>
      <xdr:col>24</xdr:col>
      <xdr:colOff>47625</xdr:colOff>
      <xdr:row>303</xdr:row>
      <xdr:rowOff>142875</xdr:rowOff>
    </xdr:to>
    <xdr:pic>
      <xdr:nvPicPr>
        <xdr:cNvPr id="976" name="608 Imagen" descr="laser icono.png">
          <a:extLst>
            <a:ext uri="{FF2B5EF4-FFF2-40B4-BE49-F238E27FC236}">
              <a16:creationId xmlns:a16="http://schemas.microsoft.com/office/drawing/2014/main" id="{D3F68CA1-17C7-434F-BE29-631E9D88089B}"/>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15200" y="5282565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304</xdr:row>
      <xdr:rowOff>19050</xdr:rowOff>
    </xdr:from>
    <xdr:ext cx="828675" cy="123825"/>
    <xdr:pic>
      <xdr:nvPicPr>
        <xdr:cNvPr id="1009" name="589 Imagen" descr="laser fibra icono.png">
          <a:extLst>
            <a:ext uri="{FF2B5EF4-FFF2-40B4-BE49-F238E27FC236}">
              <a16:creationId xmlns:a16="http://schemas.microsoft.com/office/drawing/2014/main" id="{F93AC8A6-CC1B-40DD-A8E3-6CDEB7A13BCC}"/>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7334250" y="49587150"/>
          <a:ext cx="8286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507</xdr:row>
      <xdr:rowOff>19050</xdr:rowOff>
    </xdr:from>
    <xdr:to>
      <xdr:col>24</xdr:col>
      <xdr:colOff>48389</xdr:colOff>
      <xdr:row>507</xdr:row>
      <xdr:rowOff>140970</xdr:rowOff>
    </xdr:to>
    <xdr:pic>
      <xdr:nvPicPr>
        <xdr:cNvPr id="923" name="Imagen 922"/>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7343775" y="82638900"/>
          <a:ext cx="819914" cy="121920"/>
        </a:xfrm>
        <a:prstGeom prst="rect">
          <a:avLst/>
        </a:prstGeom>
      </xdr:spPr>
    </xdr:pic>
    <xdr:clientData/>
  </xdr:twoCellAnchor>
  <xdr:twoCellAnchor editAs="oneCell">
    <xdr:from>
      <xdr:col>23</xdr:col>
      <xdr:colOff>9525</xdr:colOff>
      <xdr:row>502</xdr:row>
      <xdr:rowOff>19050</xdr:rowOff>
    </xdr:from>
    <xdr:to>
      <xdr:col>24</xdr:col>
      <xdr:colOff>48389</xdr:colOff>
      <xdr:row>502</xdr:row>
      <xdr:rowOff>140970</xdr:rowOff>
    </xdr:to>
    <xdr:pic>
      <xdr:nvPicPr>
        <xdr:cNvPr id="926" name="Imagen 925"/>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7343775" y="81876900"/>
          <a:ext cx="819914" cy="121920"/>
        </a:xfrm>
        <a:prstGeom prst="rect">
          <a:avLst/>
        </a:prstGeom>
      </xdr:spPr>
    </xdr:pic>
    <xdr:clientData/>
  </xdr:twoCellAnchor>
  <xdr:oneCellAnchor>
    <xdr:from>
      <xdr:col>23</xdr:col>
      <xdr:colOff>9525</xdr:colOff>
      <xdr:row>499</xdr:row>
      <xdr:rowOff>19050</xdr:rowOff>
    </xdr:from>
    <xdr:ext cx="819914" cy="121920"/>
    <xdr:pic>
      <xdr:nvPicPr>
        <xdr:cNvPr id="977" name="Imagen 976"/>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7343775" y="82181700"/>
          <a:ext cx="819914" cy="121920"/>
        </a:xfrm>
        <a:prstGeom prst="rect">
          <a:avLst/>
        </a:prstGeom>
      </xdr:spPr>
    </xdr:pic>
    <xdr:clientData/>
  </xdr:oneCellAnchor>
  <xdr:oneCellAnchor>
    <xdr:from>
      <xdr:col>23</xdr:col>
      <xdr:colOff>9525</xdr:colOff>
      <xdr:row>511</xdr:row>
      <xdr:rowOff>19050</xdr:rowOff>
    </xdr:from>
    <xdr:ext cx="819914" cy="121920"/>
    <xdr:pic>
      <xdr:nvPicPr>
        <xdr:cNvPr id="1041" name="Imagen 1040"/>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7343775" y="83705700"/>
          <a:ext cx="819914" cy="121920"/>
        </a:xfrm>
        <a:prstGeom prst="rect">
          <a:avLst/>
        </a:prstGeom>
      </xdr:spPr>
    </xdr:pic>
    <xdr:clientData/>
  </xdr:oneCellAnchor>
  <xdr:twoCellAnchor editAs="oneCell">
    <xdr:from>
      <xdr:col>23</xdr:col>
      <xdr:colOff>9525</xdr:colOff>
      <xdr:row>510</xdr:row>
      <xdr:rowOff>19050</xdr:rowOff>
    </xdr:from>
    <xdr:to>
      <xdr:col>24</xdr:col>
      <xdr:colOff>47625</xdr:colOff>
      <xdr:row>510</xdr:row>
      <xdr:rowOff>144555</xdr:rowOff>
    </xdr:to>
    <xdr:pic>
      <xdr:nvPicPr>
        <xdr:cNvPr id="1046" name="413 Imagen" descr="subli 4 g icono.png">
          <a:extLst>
            <a:ext uri="{FF2B5EF4-FFF2-40B4-BE49-F238E27FC236}">
              <a16:creationId xmlns:a16="http://schemas.microsoft.com/office/drawing/2014/main" id="{AC7C27E5-1860-4C58-91E4-3842F0D99D93}"/>
            </a:ext>
          </a:extLst>
        </xdr:cNvPr>
        <xdr:cNvPicPr>
          <a:picLocks noChangeAspect="1"/>
        </xdr:cNvPicPr>
      </xdr:nvPicPr>
      <xdr:blipFill>
        <a:blip xmlns:r="http://schemas.openxmlformats.org/officeDocument/2006/relationships" r:embed="rId60"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7343775" y="83553300"/>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290</xdr:row>
      <xdr:rowOff>19050</xdr:rowOff>
    </xdr:from>
    <xdr:ext cx="819150" cy="123825"/>
    <xdr:pic>
      <xdr:nvPicPr>
        <xdr:cNvPr id="849" name="608 Imagen" descr="laser icono.png">
          <a:extLst>
            <a:ext uri="{FF2B5EF4-FFF2-40B4-BE49-F238E27FC236}">
              <a16:creationId xmlns:a16="http://schemas.microsoft.com/office/drawing/2014/main" id="{D3F68CA1-17C7-434F-BE29-631E9D88089B}"/>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34250" y="466344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246</xdr:row>
      <xdr:rowOff>19050</xdr:rowOff>
    </xdr:from>
    <xdr:ext cx="819150" cy="123825"/>
    <xdr:pic>
      <xdr:nvPicPr>
        <xdr:cNvPr id="838" name="664 Imagen" descr="seri icono.png">
          <a:extLst>
            <a:ext uri="{FF2B5EF4-FFF2-40B4-BE49-F238E27FC236}">
              <a16:creationId xmlns:a16="http://schemas.microsoft.com/office/drawing/2014/main" id="{D4B2D144-6D90-4D88-9950-82413AFE7AAE}"/>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05675" y="419481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305</xdr:row>
      <xdr:rowOff>19050</xdr:rowOff>
    </xdr:from>
    <xdr:ext cx="828675" cy="123825"/>
    <xdr:pic>
      <xdr:nvPicPr>
        <xdr:cNvPr id="934" name="589 Imagen" descr="laser fibra icono.png">
          <a:extLst>
            <a:ext uri="{FF2B5EF4-FFF2-40B4-BE49-F238E27FC236}">
              <a16:creationId xmlns:a16="http://schemas.microsoft.com/office/drawing/2014/main" id="{F93AC8A6-CC1B-40DD-A8E3-6CDEB7A13BCC}"/>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7334250" y="49739550"/>
          <a:ext cx="8286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298</xdr:row>
      <xdr:rowOff>19050</xdr:rowOff>
    </xdr:from>
    <xdr:ext cx="828675" cy="123825"/>
    <xdr:pic>
      <xdr:nvPicPr>
        <xdr:cNvPr id="971" name="589 Imagen" descr="laser fibra icono.png">
          <a:extLst>
            <a:ext uri="{FF2B5EF4-FFF2-40B4-BE49-F238E27FC236}">
              <a16:creationId xmlns:a16="http://schemas.microsoft.com/office/drawing/2014/main" id="{F93AC8A6-CC1B-40DD-A8E3-6CDEB7A13BCC}"/>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7334250" y="47396400"/>
          <a:ext cx="8286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300</xdr:row>
      <xdr:rowOff>19050</xdr:rowOff>
    </xdr:from>
    <xdr:ext cx="828675" cy="123825"/>
    <xdr:pic>
      <xdr:nvPicPr>
        <xdr:cNvPr id="983" name="589 Imagen" descr="laser fibra icono.png">
          <a:extLst>
            <a:ext uri="{FF2B5EF4-FFF2-40B4-BE49-F238E27FC236}">
              <a16:creationId xmlns:a16="http://schemas.microsoft.com/office/drawing/2014/main" id="{F93AC8A6-CC1B-40DD-A8E3-6CDEB7A13BCC}"/>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7343775" y="51282600"/>
          <a:ext cx="8286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390</xdr:row>
      <xdr:rowOff>19050</xdr:rowOff>
    </xdr:from>
    <xdr:to>
      <xdr:col>24</xdr:col>
      <xdr:colOff>47625</xdr:colOff>
      <xdr:row>390</xdr:row>
      <xdr:rowOff>142875</xdr:rowOff>
    </xdr:to>
    <xdr:pic>
      <xdr:nvPicPr>
        <xdr:cNvPr id="1055" name="306 Imagen" descr="laser icono.png">
          <a:extLst>
            <a:ext uri="{FF2B5EF4-FFF2-40B4-BE49-F238E27FC236}">
              <a16:creationId xmlns:a16="http://schemas.microsoft.com/office/drawing/2014/main" id="{154362FE-74D2-4FE9-BCA8-1BFDFA4EB7AA}"/>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43775" y="683990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574</xdr:row>
      <xdr:rowOff>20292</xdr:rowOff>
    </xdr:from>
    <xdr:ext cx="819150" cy="123825"/>
    <xdr:pic>
      <xdr:nvPicPr>
        <xdr:cNvPr id="860" name="439 Imagen" descr="sublimacion icono.png">
          <a:extLst>
            <a:ext uri="{FF2B5EF4-FFF2-40B4-BE49-F238E27FC236}">
              <a16:creationId xmlns:a16="http://schemas.microsoft.com/office/drawing/2014/main" id="{0FA9E6BF-97F1-48FB-A837-659B6D7AA13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289938" y="86258814"/>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10</xdr:col>
      <xdr:colOff>9525</xdr:colOff>
      <xdr:row>52</xdr:row>
      <xdr:rowOff>19050</xdr:rowOff>
    </xdr:from>
    <xdr:to>
      <xdr:col>13</xdr:col>
      <xdr:colOff>9524</xdr:colOff>
      <xdr:row>52</xdr:row>
      <xdr:rowOff>142875</xdr:rowOff>
    </xdr:to>
    <xdr:pic>
      <xdr:nvPicPr>
        <xdr:cNvPr id="1054"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4514850" y="85344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134</xdr:row>
      <xdr:rowOff>19050</xdr:rowOff>
    </xdr:from>
    <xdr:to>
      <xdr:col>10</xdr:col>
      <xdr:colOff>1</xdr:colOff>
      <xdr:row>134</xdr:row>
      <xdr:rowOff>142875</xdr:rowOff>
    </xdr:to>
    <xdr:pic>
      <xdr:nvPicPr>
        <xdr:cNvPr id="1071"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206216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135</xdr:row>
      <xdr:rowOff>19050</xdr:rowOff>
    </xdr:from>
    <xdr:to>
      <xdr:col>10</xdr:col>
      <xdr:colOff>1</xdr:colOff>
      <xdr:row>135</xdr:row>
      <xdr:rowOff>142875</xdr:rowOff>
    </xdr:to>
    <xdr:pic>
      <xdr:nvPicPr>
        <xdr:cNvPr id="1072"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207740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136</xdr:row>
      <xdr:rowOff>19050</xdr:rowOff>
    </xdr:from>
    <xdr:to>
      <xdr:col>10</xdr:col>
      <xdr:colOff>1</xdr:colOff>
      <xdr:row>136</xdr:row>
      <xdr:rowOff>142875</xdr:rowOff>
    </xdr:to>
    <xdr:pic>
      <xdr:nvPicPr>
        <xdr:cNvPr id="1073"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20774025"/>
          <a:ext cx="819151"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575</xdr:row>
      <xdr:rowOff>19050</xdr:rowOff>
    </xdr:from>
    <xdr:to>
      <xdr:col>10</xdr:col>
      <xdr:colOff>1</xdr:colOff>
      <xdr:row>575</xdr:row>
      <xdr:rowOff>142875</xdr:rowOff>
    </xdr:to>
    <xdr:pic>
      <xdr:nvPicPr>
        <xdr:cNvPr id="1098"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874109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576</xdr:row>
      <xdr:rowOff>19050</xdr:rowOff>
    </xdr:from>
    <xdr:to>
      <xdr:col>10</xdr:col>
      <xdr:colOff>1</xdr:colOff>
      <xdr:row>576</xdr:row>
      <xdr:rowOff>142875</xdr:rowOff>
    </xdr:to>
    <xdr:pic>
      <xdr:nvPicPr>
        <xdr:cNvPr id="1099"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875633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577</xdr:row>
      <xdr:rowOff>19050</xdr:rowOff>
    </xdr:from>
    <xdr:to>
      <xdr:col>10</xdr:col>
      <xdr:colOff>1</xdr:colOff>
      <xdr:row>577</xdr:row>
      <xdr:rowOff>142875</xdr:rowOff>
    </xdr:to>
    <xdr:pic>
      <xdr:nvPicPr>
        <xdr:cNvPr id="1100"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877157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578</xdr:row>
      <xdr:rowOff>19050</xdr:rowOff>
    </xdr:from>
    <xdr:to>
      <xdr:col>10</xdr:col>
      <xdr:colOff>1</xdr:colOff>
      <xdr:row>578</xdr:row>
      <xdr:rowOff>142875</xdr:rowOff>
    </xdr:to>
    <xdr:pic>
      <xdr:nvPicPr>
        <xdr:cNvPr id="1101"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878681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579</xdr:row>
      <xdr:rowOff>19050</xdr:rowOff>
    </xdr:from>
    <xdr:to>
      <xdr:col>10</xdr:col>
      <xdr:colOff>1</xdr:colOff>
      <xdr:row>579</xdr:row>
      <xdr:rowOff>142875</xdr:rowOff>
    </xdr:to>
    <xdr:pic>
      <xdr:nvPicPr>
        <xdr:cNvPr id="1102"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880205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580</xdr:row>
      <xdr:rowOff>19050</xdr:rowOff>
    </xdr:from>
    <xdr:to>
      <xdr:col>10</xdr:col>
      <xdr:colOff>1</xdr:colOff>
      <xdr:row>580</xdr:row>
      <xdr:rowOff>142875</xdr:rowOff>
    </xdr:to>
    <xdr:pic>
      <xdr:nvPicPr>
        <xdr:cNvPr id="1103"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881729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604</xdr:row>
      <xdr:rowOff>19050</xdr:rowOff>
    </xdr:from>
    <xdr:to>
      <xdr:col>10</xdr:col>
      <xdr:colOff>1</xdr:colOff>
      <xdr:row>604</xdr:row>
      <xdr:rowOff>142875</xdr:rowOff>
    </xdr:to>
    <xdr:pic>
      <xdr:nvPicPr>
        <xdr:cNvPr id="1104"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913923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605</xdr:row>
      <xdr:rowOff>19050</xdr:rowOff>
    </xdr:from>
    <xdr:to>
      <xdr:col>10</xdr:col>
      <xdr:colOff>1</xdr:colOff>
      <xdr:row>605</xdr:row>
      <xdr:rowOff>142875</xdr:rowOff>
    </xdr:to>
    <xdr:pic>
      <xdr:nvPicPr>
        <xdr:cNvPr id="1105"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915447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606</xdr:row>
      <xdr:rowOff>19050</xdr:rowOff>
    </xdr:from>
    <xdr:to>
      <xdr:col>10</xdr:col>
      <xdr:colOff>1</xdr:colOff>
      <xdr:row>606</xdr:row>
      <xdr:rowOff>142875</xdr:rowOff>
    </xdr:to>
    <xdr:pic>
      <xdr:nvPicPr>
        <xdr:cNvPr id="1106"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916971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600</xdr:row>
      <xdr:rowOff>19050</xdr:rowOff>
    </xdr:from>
    <xdr:to>
      <xdr:col>10</xdr:col>
      <xdr:colOff>1</xdr:colOff>
      <xdr:row>600</xdr:row>
      <xdr:rowOff>142875</xdr:rowOff>
    </xdr:to>
    <xdr:pic>
      <xdr:nvPicPr>
        <xdr:cNvPr id="1107"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667125" y="91497150"/>
          <a:ext cx="819151"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242</xdr:row>
      <xdr:rowOff>19050</xdr:rowOff>
    </xdr:from>
    <xdr:to>
      <xdr:col>24</xdr:col>
      <xdr:colOff>47625</xdr:colOff>
      <xdr:row>242</xdr:row>
      <xdr:rowOff>142875</xdr:rowOff>
    </xdr:to>
    <xdr:pic>
      <xdr:nvPicPr>
        <xdr:cNvPr id="898" name="664 Imagen" descr="seri icono.png">
          <a:extLst>
            <a:ext uri="{FF2B5EF4-FFF2-40B4-BE49-F238E27FC236}">
              <a16:creationId xmlns:a16="http://schemas.microsoft.com/office/drawing/2014/main" id="{D4B2D144-6D90-4D88-9950-82413AFE7AAE}"/>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24725" y="413289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565</xdr:row>
      <xdr:rowOff>19050</xdr:rowOff>
    </xdr:from>
    <xdr:to>
      <xdr:col>24</xdr:col>
      <xdr:colOff>47625</xdr:colOff>
      <xdr:row>565</xdr:row>
      <xdr:rowOff>142875</xdr:rowOff>
    </xdr:to>
    <xdr:pic>
      <xdr:nvPicPr>
        <xdr:cNvPr id="857" name="427 Imagen" descr="sublimacion icono.png">
          <a:extLst>
            <a:ext uri="{FF2B5EF4-FFF2-40B4-BE49-F238E27FC236}">
              <a16:creationId xmlns:a16="http://schemas.microsoft.com/office/drawing/2014/main" id="{34C797C0-B7B1-49CC-AB46-6EB7EE1345EB}"/>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24725" y="8761095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38</xdr:row>
      <xdr:rowOff>19050</xdr:rowOff>
    </xdr:from>
    <xdr:ext cx="1190625" cy="123825"/>
    <xdr:pic>
      <xdr:nvPicPr>
        <xdr:cNvPr id="1027" name="1019 Imagen" descr="DOME UN LADO.png">
          <a:extLst>
            <a:ext uri="{FF2B5EF4-FFF2-40B4-BE49-F238E27FC236}">
              <a16:creationId xmlns:a16="http://schemas.microsoft.com/office/drawing/2014/main" id="{2B2A6C7D-CDFE-46D9-BC93-61EB76E6C0A8}"/>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7324725" y="6248400"/>
          <a:ext cx="11906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39</xdr:row>
      <xdr:rowOff>19050</xdr:rowOff>
    </xdr:from>
    <xdr:ext cx="1190625" cy="123825"/>
    <xdr:pic>
      <xdr:nvPicPr>
        <xdr:cNvPr id="1029" name="1019 Imagen" descr="DOME UN LADO.png">
          <a:extLst>
            <a:ext uri="{FF2B5EF4-FFF2-40B4-BE49-F238E27FC236}">
              <a16:creationId xmlns:a16="http://schemas.microsoft.com/office/drawing/2014/main" id="{2B2A6C7D-CDFE-46D9-BC93-61EB76E6C0A8}"/>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7324725" y="6705600"/>
          <a:ext cx="11906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494</xdr:row>
      <xdr:rowOff>19050</xdr:rowOff>
    </xdr:from>
    <xdr:ext cx="819914" cy="121920"/>
    <xdr:pic>
      <xdr:nvPicPr>
        <xdr:cNvPr id="1096" name="Imagen 1095"/>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7324725" y="82153125"/>
          <a:ext cx="819914" cy="121920"/>
        </a:xfrm>
        <a:prstGeom prst="rect">
          <a:avLst/>
        </a:prstGeom>
      </xdr:spPr>
    </xdr:pic>
    <xdr:clientData/>
  </xdr:oneCellAnchor>
  <xdr:twoCellAnchor editAs="oneCell">
    <xdr:from>
      <xdr:col>23</xdr:col>
      <xdr:colOff>0</xdr:colOff>
      <xdr:row>93</xdr:row>
      <xdr:rowOff>19050</xdr:rowOff>
    </xdr:from>
    <xdr:to>
      <xdr:col>24</xdr:col>
      <xdr:colOff>38100</xdr:colOff>
      <xdr:row>93</xdr:row>
      <xdr:rowOff>142875</xdr:rowOff>
    </xdr:to>
    <xdr:pic>
      <xdr:nvPicPr>
        <xdr:cNvPr id="1122" name="1048 Imagen" descr="laser un lado icono.png">
          <a:extLst>
            <a:ext uri="{FF2B5EF4-FFF2-40B4-BE49-F238E27FC236}">
              <a16:creationId xmlns:a16="http://schemas.microsoft.com/office/drawing/2014/main" id="{F7A43007-A731-4DCE-BE0A-3E6ADD4A328A}"/>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7315200" y="158972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95</xdr:row>
      <xdr:rowOff>19050</xdr:rowOff>
    </xdr:from>
    <xdr:to>
      <xdr:col>1</xdr:col>
      <xdr:colOff>0</xdr:colOff>
      <xdr:row>95</xdr:row>
      <xdr:rowOff>123825</xdr:rowOff>
    </xdr:to>
    <xdr:pic>
      <xdr:nvPicPr>
        <xdr:cNvPr id="1123" name="240 Imagen" descr="oferta icono.png">
          <a:extLst>
            <a:ext uri="{FF2B5EF4-FFF2-40B4-BE49-F238E27FC236}">
              <a16:creationId xmlns:a16="http://schemas.microsoft.com/office/drawing/2014/main" id="{8651C8C1-883D-49E3-AEF7-6E97CDEF18AE}"/>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162020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581</xdr:row>
      <xdr:rowOff>19050</xdr:rowOff>
    </xdr:from>
    <xdr:to>
      <xdr:col>10</xdr:col>
      <xdr:colOff>1</xdr:colOff>
      <xdr:row>581</xdr:row>
      <xdr:rowOff>142875</xdr:rowOff>
    </xdr:to>
    <xdr:pic>
      <xdr:nvPicPr>
        <xdr:cNvPr id="844"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883253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582</xdr:row>
      <xdr:rowOff>19050</xdr:rowOff>
    </xdr:from>
    <xdr:to>
      <xdr:col>10</xdr:col>
      <xdr:colOff>1</xdr:colOff>
      <xdr:row>582</xdr:row>
      <xdr:rowOff>142875</xdr:rowOff>
    </xdr:to>
    <xdr:pic>
      <xdr:nvPicPr>
        <xdr:cNvPr id="889"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884777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583</xdr:row>
      <xdr:rowOff>19050</xdr:rowOff>
    </xdr:from>
    <xdr:to>
      <xdr:col>10</xdr:col>
      <xdr:colOff>1</xdr:colOff>
      <xdr:row>583</xdr:row>
      <xdr:rowOff>142875</xdr:rowOff>
    </xdr:to>
    <xdr:pic>
      <xdr:nvPicPr>
        <xdr:cNvPr id="917"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886301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584</xdr:row>
      <xdr:rowOff>19050</xdr:rowOff>
    </xdr:from>
    <xdr:to>
      <xdr:col>10</xdr:col>
      <xdr:colOff>1</xdr:colOff>
      <xdr:row>584</xdr:row>
      <xdr:rowOff>142875</xdr:rowOff>
    </xdr:to>
    <xdr:pic>
      <xdr:nvPicPr>
        <xdr:cNvPr id="940"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887825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585</xdr:row>
      <xdr:rowOff>19050</xdr:rowOff>
    </xdr:from>
    <xdr:to>
      <xdr:col>10</xdr:col>
      <xdr:colOff>1</xdr:colOff>
      <xdr:row>585</xdr:row>
      <xdr:rowOff>142875</xdr:rowOff>
    </xdr:to>
    <xdr:pic>
      <xdr:nvPicPr>
        <xdr:cNvPr id="959"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889349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586</xdr:row>
      <xdr:rowOff>19050</xdr:rowOff>
    </xdr:from>
    <xdr:to>
      <xdr:col>10</xdr:col>
      <xdr:colOff>1</xdr:colOff>
      <xdr:row>586</xdr:row>
      <xdr:rowOff>142875</xdr:rowOff>
    </xdr:to>
    <xdr:pic>
      <xdr:nvPicPr>
        <xdr:cNvPr id="994"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890873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587</xdr:row>
      <xdr:rowOff>19050</xdr:rowOff>
    </xdr:from>
    <xdr:to>
      <xdr:col>10</xdr:col>
      <xdr:colOff>1</xdr:colOff>
      <xdr:row>587</xdr:row>
      <xdr:rowOff>142875</xdr:rowOff>
    </xdr:to>
    <xdr:pic>
      <xdr:nvPicPr>
        <xdr:cNvPr id="998"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892397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626</xdr:row>
      <xdr:rowOff>19050</xdr:rowOff>
    </xdr:from>
    <xdr:to>
      <xdr:col>10</xdr:col>
      <xdr:colOff>1</xdr:colOff>
      <xdr:row>626</xdr:row>
      <xdr:rowOff>142875</xdr:rowOff>
    </xdr:to>
    <xdr:pic>
      <xdr:nvPicPr>
        <xdr:cNvPr id="1010"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941355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286</xdr:row>
      <xdr:rowOff>19050</xdr:rowOff>
    </xdr:from>
    <xdr:ext cx="819150" cy="123825"/>
    <xdr:pic>
      <xdr:nvPicPr>
        <xdr:cNvPr id="900" name="608 Imagen" descr="laser icono.png">
          <a:extLst>
            <a:ext uri="{FF2B5EF4-FFF2-40B4-BE49-F238E27FC236}">
              <a16:creationId xmlns:a16="http://schemas.microsoft.com/office/drawing/2014/main" id="{D3F68CA1-17C7-434F-BE29-631E9D88089B}"/>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34250" y="455676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133350</xdr:colOff>
      <xdr:row>70</xdr:row>
      <xdr:rowOff>19050</xdr:rowOff>
    </xdr:from>
    <xdr:ext cx="333375" cy="123825"/>
    <xdr:pic>
      <xdr:nvPicPr>
        <xdr:cNvPr id="905" name="967 Imagen" descr="20x20 icono.png">
          <a:extLst>
            <a:ext uri="{FF2B5EF4-FFF2-40B4-BE49-F238E27FC236}">
              <a16:creationId xmlns:a16="http://schemas.microsoft.com/office/drawing/2014/main" id="{3EDA40D1-6AC7-426A-87BA-83BEDEBAF050}"/>
            </a:ext>
          </a:extLst>
        </xdr:cNvPr>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8229600" y="13001625"/>
          <a:ext cx="3333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609600</xdr:colOff>
      <xdr:row>69</xdr:row>
      <xdr:rowOff>19050</xdr:rowOff>
    </xdr:from>
    <xdr:ext cx="285750" cy="123825"/>
    <xdr:pic>
      <xdr:nvPicPr>
        <xdr:cNvPr id="911" name="975 Imagen" descr="20 diam icono.png">
          <a:extLst>
            <a:ext uri="{FF2B5EF4-FFF2-40B4-BE49-F238E27FC236}">
              <a16:creationId xmlns:a16="http://schemas.microsoft.com/office/drawing/2014/main" id="{58E50558-5CD2-4100-8EA4-61D086F516A8}"/>
            </a:ext>
          </a:extLst>
        </xdr:cNvPr>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val="0"/>
            </a:ext>
          </a:extLst>
        </a:blip>
        <a:srcRect/>
        <a:stretch>
          <a:fillRect/>
        </a:stretch>
      </xdr:blipFill>
      <xdr:spPr bwMode="auto">
        <a:xfrm>
          <a:off x="7924800" y="12849225"/>
          <a:ext cx="2857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209550</xdr:colOff>
      <xdr:row>69</xdr:row>
      <xdr:rowOff>19050</xdr:rowOff>
    </xdr:from>
    <xdr:ext cx="619319" cy="123825"/>
    <xdr:pic>
      <xdr:nvPicPr>
        <xdr:cNvPr id="922" name="979 Imagen" descr="niquelado icono.png">
          <a:extLst>
            <a:ext uri="{FF2B5EF4-FFF2-40B4-BE49-F238E27FC236}">
              <a16:creationId xmlns:a16="http://schemas.microsoft.com/office/drawing/2014/main" id="{6D0E65DD-D581-46C5-8303-8C6D7CFA4F65}"/>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2628900" y="13001625"/>
          <a:ext cx="61931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25</xdr:col>
      <xdr:colOff>342900</xdr:colOff>
      <xdr:row>69</xdr:row>
      <xdr:rowOff>19050</xdr:rowOff>
    </xdr:from>
    <xdr:ext cx="323850" cy="123825"/>
    <xdr:pic>
      <xdr:nvPicPr>
        <xdr:cNvPr id="947" name="964 Imagen" descr="17x17 icono.png">
          <a:extLst>
            <a:ext uri="{FF2B5EF4-FFF2-40B4-BE49-F238E27FC236}">
              <a16:creationId xmlns:a16="http://schemas.microsoft.com/office/drawing/2014/main" id="{08A8A50C-4620-4A6C-9791-0C7F6472841E}"/>
            </a:ext>
          </a:extLst>
        </xdr:cNvPr>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8934450" y="12849225"/>
          <a:ext cx="3238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19050</xdr:colOff>
      <xdr:row>69</xdr:row>
      <xdr:rowOff>19050</xdr:rowOff>
    </xdr:from>
    <xdr:ext cx="533400" cy="123825"/>
    <xdr:pic>
      <xdr:nvPicPr>
        <xdr:cNvPr id="949" name="979 Imagen" descr="MEDIDAS ICONO.png">
          <a:extLst>
            <a:ext uri="{FF2B5EF4-FFF2-40B4-BE49-F238E27FC236}">
              <a16:creationId xmlns:a16="http://schemas.microsoft.com/office/drawing/2014/main" id="{5D4DDED2-345A-4B37-A289-018DAA9ED7DD}"/>
            </a:ext>
          </a:extLst>
        </xdr:cNvPr>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7334250" y="12849225"/>
          <a:ext cx="533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24</xdr:col>
      <xdr:colOff>485775</xdr:colOff>
      <xdr:row>71</xdr:row>
      <xdr:rowOff>19050</xdr:rowOff>
    </xdr:from>
    <xdr:to>
      <xdr:col>25</xdr:col>
      <xdr:colOff>323849</xdr:colOff>
      <xdr:row>71</xdr:row>
      <xdr:rowOff>142875</xdr:rowOff>
    </xdr:to>
    <xdr:pic>
      <xdr:nvPicPr>
        <xdr:cNvPr id="966" name="973 Imagen" descr="20x15 icono.png">
          <a:extLst>
            <a:ext uri="{FF2B5EF4-FFF2-40B4-BE49-F238E27FC236}">
              <a16:creationId xmlns:a16="http://schemas.microsoft.com/office/drawing/2014/main" id="{C8126CB2-95FF-4EB0-9BF2-CAB2317CCF42}"/>
            </a:ext>
          </a:extLst>
        </xdr:cNvPr>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8582025" y="13154025"/>
          <a:ext cx="3333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609600</xdr:colOff>
      <xdr:row>71</xdr:row>
      <xdr:rowOff>19050</xdr:rowOff>
    </xdr:from>
    <xdr:to>
      <xdr:col>24</xdr:col>
      <xdr:colOff>114300</xdr:colOff>
      <xdr:row>71</xdr:row>
      <xdr:rowOff>142875</xdr:rowOff>
    </xdr:to>
    <xdr:pic>
      <xdr:nvPicPr>
        <xdr:cNvPr id="969" name="976 Imagen" descr="25 diam icono.png">
          <a:extLst>
            <a:ext uri="{FF2B5EF4-FFF2-40B4-BE49-F238E27FC236}">
              <a16:creationId xmlns:a16="http://schemas.microsoft.com/office/drawing/2014/main" id="{9E131C1A-0EF3-4B29-BC05-EDCA2E39CC56}"/>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bwMode="auto">
        <a:xfrm>
          <a:off x="7924800" y="13154025"/>
          <a:ext cx="2857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19050</xdr:colOff>
      <xdr:row>71</xdr:row>
      <xdr:rowOff>19050</xdr:rowOff>
    </xdr:from>
    <xdr:to>
      <xdr:col>23</xdr:col>
      <xdr:colOff>552450</xdr:colOff>
      <xdr:row>71</xdr:row>
      <xdr:rowOff>142875</xdr:rowOff>
    </xdr:to>
    <xdr:pic>
      <xdr:nvPicPr>
        <xdr:cNvPr id="985" name="979 Imagen" descr="MEDIDAS ICONO.png">
          <a:extLst>
            <a:ext uri="{FF2B5EF4-FFF2-40B4-BE49-F238E27FC236}">
              <a16:creationId xmlns:a16="http://schemas.microsoft.com/office/drawing/2014/main" id="{5D4DDED2-345A-4B37-A289-018DAA9ED7DD}"/>
            </a:ext>
          </a:extLst>
        </xdr:cNvPr>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7334250" y="13154025"/>
          <a:ext cx="533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24</xdr:col>
      <xdr:colOff>133350</xdr:colOff>
      <xdr:row>71</xdr:row>
      <xdr:rowOff>19050</xdr:rowOff>
    </xdr:from>
    <xdr:ext cx="333375" cy="123825"/>
    <xdr:pic>
      <xdr:nvPicPr>
        <xdr:cNvPr id="997" name="967 Imagen" descr="20x20 icono.png">
          <a:extLst>
            <a:ext uri="{FF2B5EF4-FFF2-40B4-BE49-F238E27FC236}">
              <a16:creationId xmlns:a16="http://schemas.microsoft.com/office/drawing/2014/main" id="{3EDA40D1-6AC7-426A-87BA-83BEDEBAF050}"/>
            </a:ext>
          </a:extLst>
        </xdr:cNvPr>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8229600" y="13154025"/>
          <a:ext cx="3333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205</xdr:row>
      <xdr:rowOff>28575</xdr:rowOff>
    </xdr:from>
    <xdr:to>
      <xdr:col>1</xdr:col>
      <xdr:colOff>0</xdr:colOff>
      <xdr:row>205</xdr:row>
      <xdr:rowOff>133350</xdr:rowOff>
    </xdr:to>
    <xdr:pic>
      <xdr:nvPicPr>
        <xdr:cNvPr id="914" name="235 Imagen" descr="oferta icono.png">
          <a:extLst>
            <a:ext uri="{FF2B5EF4-FFF2-40B4-BE49-F238E27FC236}">
              <a16:creationId xmlns:a16="http://schemas.microsoft.com/office/drawing/2014/main" id="{9E3CA306-CFC8-4AA4-8FCC-5F7C665FB727}"/>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3428047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190500</xdr:colOff>
      <xdr:row>465</xdr:row>
      <xdr:rowOff>19050</xdr:rowOff>
    </xdr:from>
    <xdr:ext cx="133350" cy="133350"/>
    <xdr:pic>
      <xdr:nvPicPr>
        <xdr:cNvPr id="828" name="Picture 1093" descr="pesos">
          <a:extLst>
            <a:ext uri="{FF2B5EF4-FFF2-40B4-BE49-F238E27FC236}">
              <a16:creationId xmlns:a16="http://schemas.microsoft.com/office/drawing/2014/main" id="{C796B196-084C-4BD3-8B53-EC846767CFC0}"/>
            </a:ext>
          </a:extLst>
        </xdr:cNvPr>
        <xdr:cNvPicPr>
          <a:picLocks noChangeAspect="1" noChangeArrowheads="1"/>
        </xdr:cNvPicPr>
      </xdr:nvPicPr>
      <xdr:blipFill>
        <a:blip xmlns:r="http://schemas.openxmlformats.org/officeDocument/2006/relationships" r:embed="rId64">
          <a:extLst>
            <a:ext uri="{28A0092B-C50C-407E-A947-70E740481C1C}">
              <a14:useLocalDpi xmlns:a14="http://schemas.microsoft.com/office/drawing/2010/main" val="0"/>
            </a:ext>
          </a:extLst>
        </a:blip>
        <a:srcRect/>
        <a:stretch>
          <a:fillRect/>
        </a:stretch>
      </xdr:blipFill>
      <xdr:spPr bwMode="auto">
        <a:xfrm>
          <a:off x="190500" y="76057125"/>
          <a:ext cx="13335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6</xdr:col>
      <xdr:colOff>9525</xdr:colOff>
      <xdr:row>204</xdr:row>
      <xdr:rowOff>19050</xdr:rowOff>
    </xdr:from>
    <xdr:to>
      <xdr:col>10</xdr:col>
      <xdr:colOff>1</xdr:colOff>
      <xdr:row>204</xdr:row>
      <xdr:rowOff>142875</xdr:rowOff>
    </xdr:to>
    <xdr:pic>
      <xdr:nvPicPr>
        <xdr:cNvPr id="832"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316515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202</xdr:row>
      <xdr:rowOff>19050</xdr:rowOff>
    </xdr:from>
    <xdr:ext cx="819150" cy="123825"/>
    <xdr:pic>
      <xdr:nvPicPr>
        <xdr:cNvPr id="878" name="764 Imagen" descr="seri icono.png">
          <a:extLst>
            <a:ext uri="{FF2B5EF4-FFF2-40B4-BE49-F238E27FC236}">
              <a16:creationId xmlns:a16="http://schemas.microsoft.com/office/drawing/2014/main" id="{9F03D5B2-AEA3-42C2-9915-27D07A53F101}"/>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34250" y="318135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285</xdr:row>
      <xdr:rowOff>19050</xdr:rowOff>
    </xdr:from>
    <xdr:ext cx="819150" cy="123825"/>
    <xdr:pic>
      <xdr:nvPicPr>
        <xdr:cNvPr id="818" name="608 Imagen" descr="laser icono.png">
          <a:extLst>
            <a:ext uri="{FF2B5EF4-FFF2-40B4-BE49-F238E27FC236}">
              <a16:creationId xmlns:a16="http://schemas.microsoft.com/office/drawing/2014/main" id="{D3F68CA1-17C7-434F-BE29-631E9D88089B}"/>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34250" y="454152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187</xdr:row>
      <xdr:rowOff>19050</xdr:rowOff>
    </xdr:from>
    <xdr:ext cx="819150" cy="123825"/>
    <xdr:pic>
      <xdr:nvPicPr>
        <xdr:cNvPr id="861" name="783 Imagen" descr="tampo icono.png">
          <a:extLst>
            <a:ext uri="{FF2B5EF4-FFF2-40B4-BE49-F238E27FC236}">
              <a16:creationId xmlns:a16="http://schemas.microsoft.com/office/drawing/2014/main" id="{388F74A9-B543-475C-B70E-8B712B0582CC}"/>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7372350" y="3122295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253</xdr:row>
      <xdr:rowOff>19050</xdr:rowOff>
    </xdr:from>
    <xdr:to>
      <xdr:col>24</xdr:col>
      <xdr:colOff>47625</xdr:colOff>
      <xdr:row>253</xdr:row>
      <xdr:rowOff>142875</xdr:rowOff>
    </xdr:to>
    <xdr:pic>
      <xdr:nvPicPr>
        <xdr:cNvPr id="908" name="644 Imagen" descr="seri icono.png">
          <a:extLst>
            <a:ext uri="{FF2B5EF4-FFF2-40B4-BE49-F238E27FC236}">
              <a16:creationId xmlns:a16="http://schemas.microsoft.com/office/drawing/2014/main" id="{40E98DEB-CF6F-461C-8332-16587C866D04}"/>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72350" y="431577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129</xdr:row>
      <xdr:rowOff>19050</xdr:rowOff>
    </xdr:from>
    <xdr:ext cx="819150" cy="123825"/>
    <xdr:pic>
      <xdr:nvPicPr>
        <xdr:cNvPr id="1001" name="867 Imagen" descr="laser fibra icono.png">
          <a:extLst>
            <a:ext uri="{FF2B5EF4-FFF2-40B4-BE49-F238E27FC236}">
              <a16:creationId xmlns:a16="http://schemas.microsoft.com/office/drawing/2014/main" id="{80DC8A16-3910-4D8D-BEF2-8DFB2210FC1A}"/>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43775" y="221456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412</xdr:row>
      <xdr:rowOff>19050</xdr:rowOff>
    </xdr:from>
    <xdr:ext cx="819150" cy="123825"/>
    <xdr:pic>
      <xdr:nvPicPr>
        <xdr:cNvPr id="1031" name="932 Imagen" descr="tampo icono.png">
          <a:extLst>
            <a:ext uri="{FF2B5EF4-FFF2-40B4-BE49-F238E27FC236}">
              <a16:creationId xmlns:a16="http://schemas.microsoft.com/office/drawing/2014/main" id="{BFCD1E29-A275-4935-A4E4-4755BF583F3C}"/>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7343775" y="166592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6</xdr:col>
      <xdr:colOff>9525</xdr:colOff>
      <xdr:row>16</xdr:row>
      <xdr:rowOff>19050</xdr:rowOff>
    </xdr:from>
    <xdr:to>
      <xdr:col>9</xdr:col>
      <xdr:colOff>12838</xdr:colOff>
      <xdr:row>16</xdr:row>
      <xdr:rowOff>142875</xdr:rowOff>
    </xdr:to>
    <xdr:pic>
      <xdr:nvPicPr>
        <xdr:cNvPr id="1038"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2895600"/>
          <a:ext cx="812938"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424</xdr:row>
      <xdr:rowOff>19050</xdr:rowOff>
    </xdr:from>
    <xdr:ext cx="819150" cy="123825"/>
    <xdr:pic>
      <xdr:nvPicPr>
        <xdr:cNvPr id="1062" name="365 Imagen" descr="laser fibra icono.png">
          <a:extLst>
            <a:ext uri="{FF2B5EF4-FFF2-40B4-BE49-F238E27FC236}">
              <a16:creationId xmlns:a16="http://schemas.microsoft.com/office/drawing/2014/main" id="{6239FBFC-C360-4BB2-83CA-3710A8BAD1E4}"/>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43775" y="723995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6</xdr:col>
      <xdr:colOff>9525</xdr:colOff>
      <xdr:row>599</xdr:row>
      <xdr:rowOff>19050</xdr:rowOff>
    </xdr:from>
    <xdr:to>
      <xdr:col>10</xdr:col>
      <xdr:colOff>1</xdr:colOff>
      <xdr:row>599</xdr:row>
      <xdr:rowOff>142875</xdr:rowOff>
    </xdr:to>
    <xdr:pic>
      <xdr:nvPicPr>
        <xdr:cNvPr id="801"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909351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207</xdr:row>
      <xdr:rowOff>19050</xdr:rowOff>
    </xdr:from>
    <xdr:ext cx="819150" cy="123825"/>
    <xdr:pic>
      <xdr:nvPicPr>
        <xdr:cNvPr id="853" name="771 Imagen" descr="seri icono.png">
          <a:extLst>
            <a:ext uri="{FF2B5EF4-FFF2-40B4-BE49-F238E27FC236}">
              <a16:creationId xmlns:a16="http://schemas.microsoft.com/office/drawing/2014/main" id="{DAD49756-2E19-4232-A8FB-B22DDDB6C97E}"/>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62825" y="325755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234</xdr:row>
      <xdr:rowOff>19050</xdr:rowOff>
    </xdr:from>
    <xdr:ext cx="819150" cy="123825"/>
    <xdr:pic>
      <xdr:nvPicPr>
        <xdr:cNvPr id="885" name="659 Imagen" descr="seri icono.png">
          <a:extLst>
            <a:ext uri="{FF2B5EF4-FFF2-40B4-BE49-F238E27FC236}">
              <a16:creationId xmlns:a16="http://schemas.microsoft.com/office/drawing/2014/main" id="{CFC55181-40DC-4BCF-8415-11762553DF18}"/>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62825" y="388715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509</xdr:row>
      <xdr:rowOff>19050</xdr:rowOff>
    </xdr:from>
    <xdr:ext cx="819914" cy="121920"/>
    <xdr:pic>
      <xdr:nvPicPr>
        <xdr:cNvPr id="1117" name="Imagen 1116"/>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7362825" y="79857600"/>
          <a:ext cx="819914" cy="121920"/>
        </a:xfrm>
        <a:prstGeom prst="rect">
          <a:avLst/>
        </a:prstGeom>
      </xdr:spPr>
    </xdr:pic>
    <xdr:clientData/>
  </xdr:oneCellAnchor>
  <xdr:twoCellAnchor editAs="oneCell">
    <xdr:from>
      <xdr:col>23</xdr:col>
      <xdr:colOff>9525</xdr:colOff>
      <xdr:row>63</xdr:row>
      <xdr:rowOff>19050</xdr:rowOff>
    </xdr:from>
    <xdr:to>
      <xdr:col>24</xdr:col>
      <xdr:colOff>47624</xdr:colOff>
      <xdr:row>63</xdr:row>
      <xdr:rowOff>142875</xdr:rowOff>
    </xdr:to>
    <xdr:pic>
      <xdr:nvPicPr>
        <xdr:cNvPr id="918"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10058400"/>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68</xdr:row>
      <xdr:rowOff>19050</xdr:rowOff>
    </xdr:from>
    <xdr:to>
      <xdr:col>24</xdr:col>
      <xdr:colOff>47624</xdr:colOff>
      <xdr:row>68</xdr:row>
      <xdr:rowOff>142875</xdr:rowOff>
    </xdr:to>
    <xdr:pic>
      <xdr:nvPicPr>
        <xdr:cNvPr id="1017"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10668000"/>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188</xdr:row>
      <xdr:rowOff>19050</xdr:rowOff>
    </xdr:from>
    <xdr:to>
      <xdr:col>24</xdr:col>
      <xdr:colOff>47625</xdr:colOff>
      <xdr:row>188</xdr:row>
      <xdr:rowOff>142875</xdr:rowOff>
    </xdr:to>
    <xdr:pic>
      <xdr:nvPicPr>
        <xdr:cNvPr id="1064"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296799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105</xdr:row>
      <xdr:rowOff>19050</xdr:rowOff>
    </xdr:from>
    <xdr:to>
      <xdr:col>24</xdr:col>
      <xdr:colOff>47625</xdr:colOff>
      <xdr:row>105</xdr:row>
      <xdr:rowOff>142875</xdr:rowOff>
    </xdr:to>
    <xdr:pic>
      <xdr:nvPicPr>
        <xdr:cNvPr id="1114"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168116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203</xdr:row>
      <xdr:rowOff>19050</xdr:rowOff>
    </xdr:from>
    <xdr:to>
      <xdr:col>24</xdr:col>
      <xdr:colOff>47625</xdr:colOff>
      <xdr:row>203</xdr:row>
      <xdr:rowOff>142875</xdr:rowOff>
    </xdr:to>
    <xdr:pic>
      <xdr:nvPicPr>
        <xdr:cNvPr id="1124"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319659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211</xdr:row>
      <xdr:rowOff>19050</xdr:rowOff>
    </xdr:from>
    <xdr:to>
      <xdr:col>24</xdr:col>
      <xdr:colOff>47624</xdr:colOff>
      <xdr:row>211</xdr:row>
      <xdr:rowOff>142875</xdr:rowOff>
    </xdr:to>
    <xdr:pic>
      <xdr:nvPicPr>
        <xdr:cNvPr id="1131"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32261175"/>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76200</xdr:colOff>
      <xdr:row>286</xdr:row>
      <xdr:rowOff>19050</xdr:rowOff>
    </xdr:from>
    <xdr:to>
      <xdr:col>25</xdr:col>
      <xdr:colOff>83819</xdr:colOff>
      <xdr:row>286</xdr:row>
      <xdr:rowOff>140970</xdr:rowOff>
    </xdr:to>
    <xdr:pic>
      <xdr:nvPicPr>
        <xdr:cNvPr id="10" name="Imagen 9"/>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81975" y="45567600"/>
          <a:ext cx="502920" cy="121920"/>
        </a:xfrm>
        <a:prstGeom prst="rect">
          <a:avLst/>
        </a:prstGeom>
      </xdr:spPr>
    </xdr:pic>
    <xdr:clientData/>
  </xdr:twoCellAnchor>
  <xdr:twoCellAnchor editAs="oneCell">
    <xdr:from>
      <xdr:col>24</xdr:col>
      <xdr:colOff>76200</xdr:colOff>
      <xdr:row>287</xdr:row>
      <xdr:rowOff>19050</xdr:rowOff>
    </xdr:from>
    <xdr:to>
      <xdr:col>25</xdr:col>
      <xdr:colOff>83819</xdr:colOff>
      <xdr:row>287</xdr:row>
      <xdr:rowOff>140970</xdr:rowOff>
    </xdr:to>
    <xdr:pic>
      <xdr:nvPicPr>
        <xdr:cNvPr id="1042" name="Imagen 1041"/>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81975" y="45872400"/>
          <a:ext cx="502920" cy="121920"/>
        </a:xfrm>
        <a:prstGeom prst="rect">
          <a:avLst/>
        </a:prstGeom>
      </xdr:spPr>
    </xdr:pic>
    <xdr:clientData/>
  </xdr:twoCellAnchor>
  <xdr:twoCellAnchor editAs="oneCell">
    <xdr:from>
      <xdr:col>24</xdr:col>
      <xdr:colOff>76200</xdr:colOff>
      <xdr:row>288</xdr:row>
      <xdr:rowOff>19050</xdr:rowOff>
    </xdr:from>
    <xdr:to>
      <xdr:col>25</xdr:col>
      <xdr:colOff>83819</xdr:colOff>
      <xdr:row>288</xdr:row>
      <xdr:rowOff>140970</xdr:rowOff>
    </xdr:to>
    <xdr:pic>
      <xdr:nvPicPr>
        <xdr:cNvPr id="1138" name="Imagen 1137"/>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81975" y="46329600"/>
          <a:ext cx="502920" cy="121920"/>
        </a:xfrm>
        <a:prstGeom prst="rect">
          <a:avLst/>
        </a:prstGeom>
      </xdr:spPr>
    </xdr:pic>
    <xdr:clientData/>
  </xdr:twoCellAnchor>
  <xdr:twoCellAnchor editAs="oneCell">
    <xdr:from>
      <xdr:col>24</xdr:col>
      <xdr:colOff>76200</xdr:colOff>
      <xdr:row>289</xdr:row>
      <xdr:rowOff>19050</xdr:rowOff>
    </xdr:from>
    <xdr:to>
      <xdr:col>25</xdr:col>
      <xdr:colOff>83819</xdr:colOff>
      <xdr:row>289</xdr:row>
      <xdr:rowOff>140970</xdr:rowOff>
    </xdr:to>
    <xdr:pic>
      <xdr:nvPicPr>
        <xdr:cNvPr id="1139" name="Imagen 1138"/>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81975" y="46482000"/>
          <a:ext cx="502920" cy="121920"/>
        </a:xfrm>
        <a:prstGeom prst="rect">
          <a:avLst/>
        </a:prstGeom>
      </xdr:spPr>
    </xdr:pic>
    <xdr:clientData/>
  </xdr:twoCellAnchor>
  <xdr:twoCellAnchor editAs="oneCell">
    <xdr:from>
      <xdr:col>24</xdr:col>
      <xdr:colOff>76200</xdr:colOff>
      <xdr:row>290</xdr:row>
      <xdr:rowOff>19050</xdr:rowOff>
    </xdr:from>
    <xdr:to>
      <xdr:col>25</xdr:col>
      <xdr:colOff>83819</xdr:colOff>
      <xdr:row>290</xdr:row>
      <xdr:rowOff>140970</xdr:rowOff>
    </xdr:to>
    <xdr:pic>
      <xdr:nvPicPr>
        <xdr:cNvPr id="1143" name="Imagen 1142"/>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81975" y="46634400"/>
          <a:ext cx="502920" cy="121920"/>
        </a:xfrm>
        <a:prstGeom prst="rect">
          <a:avLst/>
        </a:prstGeom>
      </xdr:spPr>
    </xdr:pic>
    <xdr:clientData/>
  </xdr:twoCellAnchor>
  <xdr:twoCellAnchor editAs="oneCell">
    <xdr:from>
      <xdr:col>24</xdr:col>
      <xdr:colOff>76200</xdr:colOff>
      <xdr:row>291</xdr:row>
      <xdr:rowOff>19050</xdr:rowOff>
    </xdr:from>
    <xdr:to>
      <xdr:col>25</xdr:col>
      <xdr:colOff>83819</xdr:colOff>
      <xdr:row>291</xdr:row>
      <xdr:rowOff>140970</xdr:rowOff>
    </xdr:to>
    <xdr:pic>
      <xdr:nvPicPr>
        <xdr:cNvPr id="1144" name="Imagen 1143"/>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81975" y="46786800"/>
          <a:ext cx="502920" cy="121920"/>
        </a:xfrm>
        <a:prstGeom prst="rect">
          <a:avLst/>
        </a:prstGeom>
      </xdr:spPr>
    </xdr:pic>
    <xdr:clientData/>
  </xdr:twoCellAnchor>
  <xdr:twoCellAnchor editAs="oneCell">
    <xdr:from>
      <xdr:col>24</xdr:col>
      <xdr:colOff>76200</xdr:colOff>
      <xdr:row>292</xdr:row>
      <xdr:rowOff>19050</xdr:rowOff>
    </xdr:from>
    <xdr:to>
      <xdr:col>25</xdr:col>
      <xdr:colOff>83819</xdr:colOff>
      <xdr:row>292</xdr:row>
      <xdr:rowOff>140970</xdr:rowOff>
    </xdr:to>
    <xdr:pic>
      <xdr:nvPicPr>
        <xdr:cNvPr id="1145" name="Imagen 1144"/>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81975" y="46939200"/>
          <a:ext cx="502920" cy="121920"/>
        </a:xfrm>
        <a:prstGeom prst="rect">
          <a:avLst/>
        </a:prstGeom>
      </xdr:spPr>
    </xdr:pic>
    <xdr:clientData/>
  </xdr:twoCellAnchor>
  <xdr:twoCellAnchor editAs="oneCell">
    <xdr:from>
      <xdr:col>24</xdr:col>
      <xdr:colOff>76200</xdr:colOff>
      <xdr:row>298</xdr:row>
      <xdr:rowOff>19050</xdr:rowOff>
    </xdr:from>
    <xdr:to>
      <xdr:col>25</xdr:col>
      <xdr:colOff>83819</xdr:colOff>
      <xdr:row>298</xdr:row>
      <xdr:rowOff>140970</xdr:rowOff>
    </xdr:to>
    <xdr:pic>
      <xdr:nvPicPr>
        <xdr:cNvPr id="1151" name="Imagen 1150"/>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81975" y="47396400"/>
          <a:ext cx="502920" cy="121920"/>
        </a:xfrm>
        <a:prstGeom prst="rect">
          <a:avLst/>
        </a:prstGeom>
      </xdr:spPr>
    </xdr:pic>
    <xdr:clientData/>
  </xdr:twoCellAnchor>
  <xdr:twoCellAnchor editAs="oneCell">
    <xdr:from>
      <xdr:col>24</xdr:col>
      <xdr:colOff>76200</xdr:colOff>
      <xdr:row>300</xdr:row>
      <xdr:rowOff>19050</xdr:rowOff>
    </xdr:from>
    <xdr:to>
      <xdr:col>25</xdr:col>
      <xdr:colOff>83819</xdr:colOff>
      <xdr:row>300</xdr:row>
      <xdr:rowOff>140970</xdr:rowOff>
    </xdr:to>
    <xdr:pic>
      <xdr:nvPicPr>
        <xdr:cNvPr id="1155" name="Imagen 1154"/>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81975" y="48006000"/>
          <a:ext cx="502920" cy="121920"/>
        </a:xfrm>
        <a:prstGeom prst="rect">
          <a:avLst/>
        </a:prstGeom>
      </xdr:spPr>
    </xdr:pic>
    <xdr:clientData/>
  </xdr:twoCellAnchor>
  <xdr:twoCellAnchor editAs="oneCell">
    <xdr:from>
      <xdr:col>24</xdr:col>
      <xdr:colOff>76200</xdr:colOff>
      <xdr:row>301</xdr:row>
      <xdr:rowOff>19050</xdr:rowOff>
    </xdr:from>
    <xdr:to>
      <xdr:col>25</xdr:col>
      <xdr:colOff>83819</xdr:colOff>
      <xdr:row>301</xdr:row>
      <xdr:rowOff>140970</xdr:rowOff>
    </xdr:to>
    <xdr:pic>
      <xdr:nvPicPr>
        <xdr:cNvPr id="1156" name="Imagen 1155"/>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81975" y="48158400"/>
          <a:ext cx="502920" cy="121920"/>
        </a:xfrm>
        <a:prstGeom prst="rect">
          <a:avLst/>
        </a:prstGeom>
      </xdr:spPr>
    </xdr:pic>
    <xdr:clientData/>
  </xdr:twoCellAnchor>
  <xdr:twoCellAnchor editAs="oneCell">
    <xdr:from>
      <xdr:col>24</xdr:col>
      <xdr:colOff>76200</xdr:colOff>
      <xdr:row>302</xdr:row>
      <xdr:rowOff>19050</xdr:rowOff>
    </xdr:from>
    <xdr:to>
      <xdr:col>25</xdr:col>
      <xdr:colOff>83819</xdr:colOff>
      <xdr:row>302</xdr:row>
      <xdr:rowOff>140970</xdr:rowOff>
    </xdr:to>
    <xdr:pic>
      <xdr:nvPicPr>
        <xdr:cNvPr id="1157" name="Imagen 1156"/>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81975" y="48310800"/>
          <a:ext cx="502920" cy="121920"/>
        </a:xfrm>
        <a:prstGeom prst="rect">
          <a:avLst/>
        </a:prstGeom>
      </xdr:spPr>
    </xdr:pic>
    <xdr:clientData/>
  </xdr:twoCellAnchor>
  <xdr:twoCellAnchor editAs="oneCell">
    <xdr:from>
      <xdr:col>24</xdr:col>
      <xdr:colOff>76200</xdr:colOff>
      <xdr:row>285</xdr:row>
      <xdr:rowOff>19050</xdr:rowOff>
    </xdr:from>
    <xdr:to>
      <xdr:col>25</xdr:col>
      <xdr:colOff>83819</xdr:colOff>
      <xdr:row>285</xdr:row>
      <xdr:rowOff>140970</xdr:rowOff>
    </xdr:to>
    <xdr:pic>
      <xdr:nvPicPr>
        <xdr:cNvPr id="1159" name="Imagen 1158"/>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81975" y="45415200"/>
          <a:ext cx="502920" cy="121920"/>
        </a:xfrm>
        <a:prstGeom prst="rect">
          <a:avLst/>
        </a:prstGeom>
      </xdr:spPr>
    </xdr:pic>
    <xdr:clientData/>
  </xdr:twoCellAnchor>
  <xdr:twoCellAnchor editAs="oneCell">
    <xdr:from>
      <xdr:col>24</xdr:col>
      <xdr:colOff>76200</xdr:colOff>
      <xdr:row>303</xdr:row>
      <xdr:rowOff>19050</xdr:rowOff>
    </xdr:from>
    <xdr:to>
      <xdr:col>25</xdr:col>
      <xdr:colOff>83819</xdr:colOff>
      <xdr:row>303</xdr:row>
      <xdr:rowOff>140970</xdr:rowOff>
    </xdr:to>
    <xdr:pic>
      <xdr:nvPicPr>
        <xdr:cNvPr id="1160" name="Imagen 1159"/>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81975" y="49434750"/>
          <a:ext cx="502920" cy="121920"/>
        </a:xfrm>
        <a:prstGeom prst="rect">
          <a:avLst/>
        </a:prstGeom>
      </xdr:spPr>
    </xdr:pic>
    <xdr:clientData/>
  </xdr:twoCellAnchor>
  <xdr:twoCellAnchor editAs="oneCell">
    <xdr:from>
      <xdr:col>24</xdr:col>
      <xdr:colOff>76200</xdr:colOff>
      <xdr:row>304</xdr:row>
      <xdr:rowOff>19050</xdr:rowOff>
    </xdr:from>
    <xdr:to>
      <xdr:col>25</xdr:col>
      <xdr:colOff>83819</xdr:colOff>
      <xdr:row>304</xdr:row>
      <xdr:rowOff>140970</xdr:rowOff>
    </xdr:to>
    <xdr:pic>
      <xdr:nvPicPr>
        <xdr:cNvPr id="1161" name="Imagen 1160"/>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81975" y="49587150"/>
          <a:ext cx="502920" cy="121920"/>
        </a:xfrm>
        <a:prstGeom prst="rect">
          <a:avLst/>
        </a:prstGeom>
      </xdr:spPr>
    </xdr:pic>
    <xdr:clientData/>
  </xdr:twoCellAnchor>
  <xdr:twoCellAnchor editAs="oneCell">
    <xdr:from>
      <xdr:col>24</xdr:col>
      <xdr:colOff>76200</xdr:colOff>
      <xdr:row>305</xdr:row>
      <xdr:rowOff>19050</xdr:rowOff>
    </xdr:from>
    <xdr:to>
      <xdr:col>25</xdr:col>
      <xdr:colOff>83819</xdr:colOff>
      <xdr:row>305</xdr:row>
      <xdr:rowOff>140970</xdr:rowOff>
    </xdr:to>
    <xdr:pic>
      <xdr:nvPicPr>
        <xdr:cNvPr id="1162" name="Imagen 1161"/>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81975" y="49739550"/>
          <a:ext cx="502920" cy="121920"/>
        </a:xfrm>
        <a:prstGeom prst="rect">
          <a:avLst/>
        </a:prstGeom>
      </xdr:spPr>
    </xdr:pic>
    <xdr:clientData/>
  </xdr:twoCellAnchor>
  <xdr:oneCellAnchor>
    <xdr:from>
      <xdr:col>23</xdr:col>
      <xdr:colOff>9525</xdr:colOff>
      <xdr:row>615</xdr:row>
      <xdr:rowOff>19050</xdr:rowOff>
    </xdr:from>
    <xdr:ext cx="819150" cy="123825"/>
    <xdr:pic>
      <xdr:nvPicPr>
        <xdr:cNvPr id="1165" name="608 Imagen" descr="laser icono.png">
          <a:extLst>
            <a:ext uri="{FF2B5EF4-FFF2-40B4-BE49-F238E27FC236}">
              <a16:creationId xmlns:a16="http://schemas.microsoft.com/office/drawing/2014/main" id="{D3F68CA1-17C7-434F-BE29-631E9D88089B}"/>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34250" y="452628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616</xdr:row>
      <xdr:rowOff>19050</xdr:rowOff>
    </xdr:from>
    <xdr:ext cx="819150" cy="123825"/>
    <xdr:pic>
      <xdr:nvPicPr>
        <xdr:cNvPr id="1166" name="608 Imagen" descr="laser icono.png">
          <a:extLst>
            <a:ext uri="{FF2B5EF4-FFF2-40B4-BE49-F238E27FC236}">
              <a16:creationId xmlns:a16="http://schemas.microsoft.com/office/drawing/2014/main" id="{D3F68CA1-17C7-434F-BE29-631E9D88089B}"/>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34250" y="454152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241</xdr:row>
      <xdr:rowOff>19050</xdr:rowOff>
    </xdr:from>
    <xdr:to>
      <xdr:col>24</xdr:col>
      <xdr:colOff>47625</xdr:colOff>
      <xdr:row>241</xdr:row>
      <xdr:rowOff>142875</xdr:rowOff>
    </xdr:to>
    <xdr:pic>
      <xdr:nvPicPr>
        <xdr:cNvPr id="1174"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390144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66675</xdr:colOff>
      <xdr:row>234</xdr:row>
      <xdr:rowOff>28575</xdr:rowOff>
    </xdr:from>
    <xdr:to>
      <xdr:col>26</xdr:col>
      <xdr:colOff>9524</xdr:colOff>
      <xdr:row>235</xdr:row>
      <xdr:rowOff>0</xdr:rowOff>
    </xdr:to>
    <xdr:pic>
      <xdr:nvPicPr>
        <xdr:cNvPr id="1175"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72450" y="387191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66675</xdr:colOff>
      <xdr:row>242</xdr:row>
      <xdr:rowOff>19050</xdr:rowOff>
    </xdr:from>
    <xdr:to>
      <xdr:col>26</xdr:col>
      <xdr:colOff>9524</xdr:colOff>
      <xdr:row>242</xdr:row>
      <xdr:rowOff>142875</xdr:rowOff>
    </xdr:to>
    <xdr:pic>
      <xdr:nvPicPr>
        <xdr:cNvPr id="1178"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81975" y="371856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243</xdr:row>
      <xdr:rowOff>19050</xdr:rowOff>
    </xdr:from>
    <xdr:to>
      <xdr:col>24</xdr:col>
      <xdr:colOff>47624</xdr:colOff>
      <xdr:row>243</xdr:row>
      <xdr:rowOff>142875</xdr:rowOff>
    </xdr:to>
    <xdr:pic>
      <xdr:nvPicPr>
        <xdr:cNvPr id="1179"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37633275"/>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247</xdr:row>
      <xdr:rowOff>19050</xdr:rowOff>
    </xdr:from>
    <xdr:to>
      <xdr:col>24</xdr:col>
      <xdr:colOff>47625</xdr:colOff>
      <xdr:row>247</xdr:row>
      <xdr:rowOff>142875</xdr:rowOff>
    </xdr:to>
    <xdr:pic>
      <xdr:nvPicPr>
        <xdr:cNvPr id="1181"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396240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66675</xdr:colOff>
      <xdr:row>246</xdr:row>
      <xdr:rowOff>19050</xdr:rowOff>
    </xdr:from>
    <xdr:to>
      <xdr:col>26</xdr:col>
      <xdr:colOff>9524</xdr:colOff>
      <xdr:row>246</xdr:row>
      <xdr:rowOff>142875</xdr:rowOff>
    </xdr:to>
    <xdr:pic>
      <xdr:nvPicPr>
        <xdr:cNvPr id="1184"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72450" y="394716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66675</xdr:colOff>
      <xdr:row>253</xdr:row>
      <xdr:rowOff>19050</xdr:rowOff>
    </xdr:from>
    <xdr:to>
      <xdr:col>26</xdr:col>
      <xdr:colOff>9524</xdr:colOff>
      <xdr:row>253</xdr:row>
      <xdr:rowOff>142875</xdr:rowOff>
    </xdr:to>
    <xdr:pic>
      <xdr:nvPicPr>
        <xdr:cNvPr id="1191"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72450" y="409956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387</xdr:row>
      <xdr:rowOff>19050</xdr:rowOff>
    </xdr:from>
    <xdr:to>
      <xdr:col>24</xdr:col>
      <xdr:colOff>47625</xdr:colOff>
      <xdr:row>387</xdr:row>
      <xdr:rowOff>144555</xdr:rowOff>
    </xdr:to>
    <xdr:pic>
      <xdr:nvPicPr>
        <xdr:cNvPr id="948" name="518 Imagen" descr="laser fibra icono.png">
          <a:extLst>
            <a:ext uri="{FF2B5EF4-FFF2-40B4-BE49-F238E27FC236}">
              <a16:creationId xmlns:a16="http://schemas.microsoft.com/office/drawing/2014/main" id="{C58AC47F-3796-4DCF-A9B1-365E2E449AB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34250" y="6350317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393</xdr:row>
      <xdr:rowOff>19050</xdr:rowOff>
    </xdr:from>
    <xdr:to>
      <xdr:col>24</xdr:col>
      <xdr:colOff>47625</xdr:colOff>
      <xdr:row>393</xdr:row>
      <xdr:rowOff>144555</xdr:rowOff>
    </xdr:to>
    <xdr:pic>
      <xdr:nvPicPr>
        <xdr:cNvPr id="962" name="518 Imagen" descr="laser fibra icono.png">
          <a:extLst>
            <a:ext uri="{FF2B5EF4-FFF2-40B4-BE49-F238E27FC236}">
              <a16:creationId xmlns:a16="http://schemas.microsoft.com/office/drawing/2014/main" id="{C58AC47F-3796-4DCF-A9B1-365E2E449AB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34250" y="6441757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394</xdr:row>
      <xdr:rowOff>19050</xdr:rowOff>
    </xdr:from>
    <xdr:to>
      <xdr:col>24</xdr:col>
      <xdr:colOff>47625</xdr:colOff>
      <xdr:row>394</xdr:row>
      <xdr:rowOff>144555</xdr:rowOff>
    </xdr:to>
    <xdr:pic>
      <xdr:nvPicPr>
        <xdr:cNvPr id="970" name="518 Imagen" descr="laser fibra icono.png">
          <a:extLst>
            <a:ext uri="{FF2B5EF4-FFF2-40B4-BE49-F238E27FC236}">
              <a16:creationId xmlns:a16="http://schemas.microsoft.com/office/drawing/2014/main" id="{C58AC47F-3796-4DCF-A9B1-365E2E449AB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34250" y="6456997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400</xdr:row>
      <xdr:rowOff>19050</xdr:rowOff>
    </xdr:from>
    <xdr:to>
      <xdr:col>24</xdr:col>
      <xdr:colOff>47625</xdr:colOff>
      <xdr:row>400</xdr:row>
      <xdr:rowOff>144555</xdr:rowOff>
    </xdr:to>
    <xdr:pic>
      <xdr:nvPicPr>
        <xdr:cNvPr id="979" name="518 Imagen" descr="laser fibra icono.png">
          <a:extLst>
            <a:ext uri="{FF2B5EF4-FFF2-40B4-BE49-F238E27FC236}">
              <a16:creationId xmlns:a16="http://schemas.microsoft.com/office/drawing/2014/main" id="{C58AC47F-3796-4DCF-A9B1-365E2E449AB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34250" y="6472237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386</xdr:row>
      <xdr:rowOff>19050</xdr:rowOff>
    </xdr:from>
    <xdr:to>
      <xdr:col>24</xdr:col>
      <xdr:colOff>47625</xdr:colOff>
      <xdr:row>386</xdr:row>
      <xdr:rowOff>144555</xdr:rowOff>
    </xdr:to>
    <xdr:pic>
      <xdr:nvPicPr>
        <xdr:cNvPr id="1021" name="518 Imagen" descr="laser fibra icono.png">
          <a:extLst>
            <a:ext uri="{FF2B5EF4-FFF2-40B4-BE49-F238E27FC236}">
              <a16:creationId xmlns:a16="http://schemas.microsoft.com/office/drawing/2014/main" id="{C58AC47F-3796-4DCF-A9B1-365E2E449AB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34250" y="6335077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57150</xdr:colOff>
      <xdr:row>438</xdr:row>
      <xdr:rowOff>19050</xdr:rowOff>
    </xdr:from>
    <xdr:to>
      <xdr:col>25</xdr:col>
      <xdr:colOff>380999</xdr:colOff>
      <xdr:row>438</xdr:row>
      <xdr:rowOff>142875</xdr:rowOff>
    </xdr:to>
    <xdr:pic>
      <xdr:nvPicPr>
        <xdr:cNvPr id="1176"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62925" y="676179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57150</xdr:colOff>
      <xdr:row>437</xdr:row>
      <xdr:rowOff>19050</xdr:rowOff>
    </xdr:from>
    <xdr:to>
      <xdr:col>25</xdr:col>
      <xdr:colOff>380999</xdr:colOff>
      <xdr:row>437</xdr:row>
      <xdr:rowOff>142875</xdr:rowOff>
    </xdr:to>
    <xdr:pic>
      <xdr:nvPicPr>
        <xdr:cNvPr id="1177"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62925" y="674655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9525</xdr:colOff>
      <xdr:row>151</xdr:row>
      <xdr:rowOff>19050</xdr:rowOff>
    </xdr:from>
    <xdr:ext cx="809626" cy="123825"/>
    <xdr:pic>
      <xdr:nvPicPr>
        <xdr:cNvPr id="866" name="825 Imagen" descr="CONSULTAR ICONO.png">
          <a:extLst>
            <a:ext uri="{FF2B5EF4-FFF2-40B4-BE49-F238E27FC236}">
              <a16:creationId xmlns:a16="http://schemas.microsoft.com/office/drawing/2014/main" id="{5543434B-8549-4E44-8AAB-AB2922A57BC7}"/>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23669625"/>
          <a:ext cx="809626"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6</xdr:col>
      <xdr:colOff>9525</xdr:colOff>
      <xdr:row>148</xdr:row>
      <xdr:rowOff>19050</xdr:rowOff>
    </xdr:from>
    <xdr:to>
      <xdr:col>9</xdr:col>
      <xdr:colOff>9526</xdr:colOff>
      <xdr:row>148</xdr:row>
      <xdr:rowOff>142875</xdr:rowOff>
    </xdr:to>
    <xdr:pic>
      <xdr:nvPicPr>
        <xdr:cNvPr id="897" name="825 Imagen" descr="CONSULTAR ICONO.png">
          <a:extLst>
            <a:ext uri="{FF2B5EF4-FFF2-40B4-BE49-F238E27FC236}">
              <a16:creationId xmlns:a16="http://schemas.microsoft.com/office/drawing/2014/main" id="{5543434B-8549-4E44-8AAB-AB2922A57BC7}"/>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667125" y="23060025"/>
          <a:ext cx="809626"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617</xdr:row>
      <xdr:rowOff>19050</xdr:rowOff>
    </xdr:from>
    <xdr:to>
      <xdr:col>10</xdr:col>
      <xdr:colOff>1</xdr:colOff>
      <xdr:row>617</xdr:row>
      <xdr:rowOff>142875</xdr:rowOff>
    </xdr:to>
    <xdr:pic>
      <xdr:nvPicPr>
        <xdr:cNvPr id="852"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927639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618</xdr:row>
      <xdr:rowOff>19050</xdr:rowOff>
    </xdr:from>
    <xdr:to>
      <xdr:col>10</xdr:col>
      <xdr:colOff>1</xdr:colOff>
      <xdr:row>618</xdr:row>
      <xdr:rowOff>142875</xdr:rowOff>
    </xdr:to>
    <xdr:pic>
      <xdr:nvPicPr>
        <xdr:cNvPr id="1060"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929163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619</xdr:row>
      <xdr:rowOff>19050</xdr:rowOff>
    </xdr:from>
    <xdr:to>
      <xdr:col>10</xdr:col>
      <xdr:colOff>1</xdr:colOff>
      <xdr:row>619</xdr:row>
      <xdr:rowOff>142875</xdr:rowOff>
    </xdr:to>
    <xdr:pic>
      <xdr:nvPicPr>
        <xdr:cNvPr id="1061"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930687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620</xdr:row>
      <xdr:rowOff>19050</xdr:rowOff>
    </xdr:from>
    <xdr:to>
      <xdr:col>10</xdr:col>
      <xdr:colOff>1</xdr:colOff>
      <xdr:row>620</xdr:row>
      <xdr:rowOff>142875</xdr:rowOff>
    </xdr:to>
    <xdr:pic>
      <xdr:nvPicPr>
        <xdr:cNvPr id="1067"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667125" y="93478350"/>
          <a:ext cx="819151"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378</xdr:row>
      <xdr:rowOff>19050</xdr:rowOff>
    </xdr:from>
    <xdr:to>
      <xdr:col>24</xdr:col>
      <xdr:colOff>47625</xdr:colOff>
      <xdr:row>378</xdr:row>
      <xdr:rowOff>142875</xdr:rowOff>
    </xdr:to>
    <xdr:pic>
      <xdr:nvPicPr>
        <xdr:cNvPr id="1194"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9169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384</xdr:row>
      <xdr:rowOff>19050</xdr:rowOff>
    </xdr:from>
    <xdr:to>
      <xdr:col>24</xdr:col>
      <xdr:colOff>47625</xdr:colOff>
      <xdr:row>384</xdr:row>
      <xdr:rowOff>142875</xdr:rowOff>
    </xdr:to>
    <xdr:pic>
      <xdr:nvPicPr>
        <xdr:cNvPr id="1195"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99408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374</xdr:row>
      <xdr:rowOff>19050</xdr:rowOff>
    </xdr:from>
    <xdr:to>
      <xdr:col>24</xdr:col>
      <xdr:colOff>47625</xdr:colOff>
      <xdr:row>374</xdr:row>
      <xdr:rowOff>142875</xdr:rowOff>
    </xdr:to>
    <xdr:pic>
      <xdr:nvPicPr>
        <xdr:cNvPr id="1197"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87121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373</xdr:row>
      <xdr:rowOff>19050</xdr:rowOff>
    </xdr:from>
    <xdr:to>
      <xdr:col>24</xdr:col>
      <xdr:colOff>47625</xdr:colOff>
      <xdr:row>373</xdr:row>
      <xdr:rowOff>142875</xdr:rowOff>
    </xdr:to>
    <xdr:pic>
      <xdr:nvPicPr>
        <xdr:cNvPr id="1200"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85597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66675</xdr:colOff>
      <xdr:row>333</xdr:row>
      <xdr:rowOff>19050</xdr:rowOff>
    </xdr:from>
    <xdr:to>
      <xdr:col>26</xdr:col>
      <xdr:colOff>9524</xdr:colOff>
      <xdr:row>333</xdr:row>
      <xdr:rowOff>142875</xdr:rowOff>
    </xdr:to>
    <xdr:pic>
      <xdr:nvPicPr>
        <xdr:cNvPr id="1211"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72450" y="546068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66675</xdr:colOff>
      <xdr:row>334</xdr:row>
      <xdr:rowOff>19050</xdr:rowOff>
    </xdr:from>
    <xdr:to>
      <xdr:col>26</xdr:col>
      <xdr:colOff>9524</xdr:colOff>
      <xdr:row>334</xdr:row>
      <xdr:rowOff>142875</xdr:rowOff>
    </xdr:to>
    <xdr:pic>
      <xdr:nvPicPr>
        <xdr:cNvPr id="1212"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72450" y="547592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66675</xdr:colOff>
      <xdr:row>349</xdr:row>
      <xdr:rowOff>19050</xdr:rowOff>
    </xdr:from>
    <xdr:to>
      <xdr:col>26</xdr:col>
      <xdr:colOff>9524</xdr:colOff>
      <xdr:row>349</xdr:row>
      <xdr:rowOff>142875</xdr:rowOff>
    </xdr:to>
    <xdr:pic>
      <xdr:nvPicPr>
        <xdr:cNvPr id="1218"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72450" y="565880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66675</xdr:colOff>
      <xdr:row>332</xdr:row>
      <xdr:rowOff>19050</xdr:rowOff>
    </xdr:from>
    <xdr:to>
      <xdr:col>26</xdr:col>
      <xdr:colOff>9524</xdr:colOff>
      <xdr:row>332</xdr:row>
      <xdr:rowOff>142875</xdr:rowOff>
    </xdr:to>
    <xdr:pic>
      <xdr:nvPicPr>
        <xdr:cNvPr id="1244"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72450" y="544544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66675</xdr:colOff>
      <xdr:row>272</xdr:row>
      <xdr:rowOff>19050</xdr:rowOff>
    </xdr:from>
    <xdr:to>
      <xdr:col>26</xdr:col>
      <xdr:colOff>9524</xdr:colOff>
      <xdr:row>272</xdr:row>
      <xdr:rowOff>142875</xdr:rowOff>
    </xdr:to>
    <xdr:pic>
      <xdr:nvPicPr>
        <xdr:cNvPr id="1245"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72450" y="438912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66675</xdr:colOff>
      <xdr:row>53</xdr:row>
      <xdr:rowOff>19050</xdr:rowOff>
    </xdr:from>
    <xdr:to>
      <xdr:col>26</xdr:col>
      <xdr:colOff>9524</xdr:colOff>
      <xdr:row>53</xdr:row>
      <xdr:rowOff>142875</xdr:rowOff>
    </xdr:to>
    <xdr:pic>
      <xdr:nvPicPr>
        <xdr:cNvPr id="1254"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72450" y="86868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66675</xdr:colOff>
      <xdr:row>55</xdr:row>
      <xdr:rowOff>19050</xdr:rowOff>
    </xdr:from>
    <xdr:to>
      <xdr:col>26</xdr:col>
      <xdr:colOff>9524</xdr:colOff>
      <xdr:row>55</xdr:row>
      <xdr:rowOff>142875</xdr:rowOff>
    </xdr:to>
    <xdr:pic>
      <xdr:nvPicPr>
        <xdr:cNvPr id="1255"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72450" y="89916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66675</xdr:colOff>
      <xdr:row>54</xdr:row>
      <xdr:rowOff>19050</xdr:rowOff>
    </xdr:from>
    <xdr:to>
      <xdr:col>26</xdr:col>
      <xdr:colOff>9524</xdr:colOff>
      <xdr:row>54</xdr:row>
      <xdr:rowOff>142875</xdr:rowOff>
    </xdr:to>
    <xdr:pic>
      <xdr:nvPicPr>
        <xdr:cNvPr id="1256"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72450" y="88392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66675</xdr:colOff>
      <xdr:row>56</xdr:row>
      <xdr:rowOff>19050</xdr:rowOff>
    </xdr:from>
    <xdr:to>
      <xdr:col>26</xdr:col>
      <xdr:colOff>9524</xdr:colOff>
      <xdr:row>56</xdr:row>
      <xdr:rowOff>142875</xdr:rowOff>
    </xdr:to>
    <xdr:pic>
      <xdr:nvPicPr>
        <xdr:cNvPr id="1257"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72450" y="91440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99</xdr:row>
      <xdr:rowOff>19050</xdr:rowOff>
    </xdr:from>
    <xdr:to>
      <xdr:col>24</xdr:col>
      <xdr:colOff>47625</xdr:colOff>
      <xdr:row>99</xdr:row>
      <xdr:rowOff>142875</xdr:rowOff>
    </xdr:to>
    <xdr:pic>
      <xdr:nvPicPr>
        <xdr:cNvPr id="1119"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166592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101</xdr:row>
      <xdr:rowOff>19050</xdr:rowOff>
    </xdr:from>
    <xdr:to>
      <xdr:col>24</xdr:col>
      <xdr:colOff>47625</xdr:colOff>
      <xdr:row>101</xdr:row>
      <xdr:rowOff>142875</xdr:rowOff>
    </xdr:to>
    <xdr:pic>
      <xdr:nvPicPr>
        <xdr:cNvPr id="1228"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168116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102</xdr:row>
      <xdr:rowOff>19050</xdr:rowOff>
    </xdr:from>
    <xdr:to>
      <xdr:col>24</xdr:col>
      <xdr:colOff>47625</xdr:colOff>
      <xdr:row>102</xdr:row>
      <xdr:rowOff>142875</xdr:rowOff>
    </xdr:to>
    <xdr:pic>
      <xdr:nvPicPr>
        <xdr:cNvPr id="1229"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169640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88</xdr:row>
      <xdr:rowOff>19050</xdr:rowOff>
    </xdr:from>
    <xdr:to>
      <xdr:col>24</xdr:col>
      <xdr:colOff>47625</xdr:colOff>
      <xdr:row>88</xdr:row>
      <xdr:rowOff>142875</xdr:rowOff>
    </xdr:to>
    <xdr:pic>
      <xdr:nvPicPr>
        <xdr:cNvPr id="1232" name="868 Imagen" descr="laser icono.png">
          <a:extLst>
            <a:ext uri="{FF2B5EF4-FFF2-40B4-BE49-F238E27FC236}">
              <a16:creationId xmlns:a16="http://schemas.microsoft.com/office/drawing/2014/main" id="{759FA6C0-BDF3-466E-9797-169BC3F5A529}"/>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43775" y="148304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226</xdr:row>
      <xdr:rowOff>19050</xdr:rowOff>
    </xdr:from>
    <xdr:ext cx="819150" cy="123825"/>
    <xdr:pic>
      <xdr:nvPicPr>
        <xdr:cNvPr id="1246" name="659 Imagen" descr="seri icono.png">
          <a:extLst>
            <a:ext uri="{FF2B5EF4-FFF2-40B4-BE49-F238E27FC236}">
              <a16:creationId xmlns:a16="http://schemas.microsoft.com/office/drawing/2014/main" id="{CFC55181-40DC-4BCF-8415-11762553DF18}"/>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34250" y="371760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57150</xdr:colOff>
      <xdr:row>226</xdr:row>
      <xdr:rowOff>19050</xdr:rowOff>
    </xdr:from>
    <xdr:ext cx="819150" cy="123825"/>
    <xdr:pic>
      <xdr:nvPicPr>
        <xdr:cNvPr id="1265"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62925" y="371760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6</xdr:col>
      <xdr:colOff>9525</xdr:colOff>
      <xdr:row>17</xdr:row>
      <xdr:rowOff>19050</xdr:rowOff>
    </xdr:from>
    <xdr:to>
      <xdr:col>9</xdr:col>
      <xdr:colOff>12838</xdr:colOff>
      <xdr:row>17</xdr:row>
      <xdr:rowOff>142875</xdr:rowOff>
    </xdr:to>
    <xdr:pic>
      <xdr:nvPicPr>
        <xdr:cNvPr id="906"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3048000"/>
          <a:ext cx="812938"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140</xdr:row>
      <xdr:rowOff>19050</xdr:rowOff>
    </xdr:from>
    <xdr:to>
      <xdr:col>24</xdr:col>
      <xdr:colOff>47625</xdr:colOff>
      <xdr:row>140</xdr:row>
      <xdr:rowOff>142875</xdr:rowOff>
    </xdr:to>
    <xdr:pic>
      <xdr:nvPicPr>
        <xdr:cNvPr id="1274"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227552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144</xdr:row>
      <xdr:rowOff>19050</xdr:rowOff>
    </xdr:from>
    <xdr:to>
      <xdr:col>24</xdr:col>
      <xdr:colOff>47625</xdr:colOff>
      <xdr:row>144</xdr:row>
      <xdr:rowOff>142875</xdr:rowOff>
    </xdr:to>
    <xdr:pic>
      <xdr:nvPicPr>
        <xdr:cNvPr id="1275"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233648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57150</xdr:colOff>
      <xdr:row>140</xdr:row>
      <xdr:rowOff>19050</xdr:rowOff>
    </xdr:from>
    <xdr:to>
      <xdr:col>26</xdr:col>
      <xdr:colOff>9524</xdr:colOff>
      <xdr:row>140</xdr:row>
      <xdr:rowOff>142875</xdr:rowOff>
    </xdr:to>
    <xdr:pic>
      <xdr:nvPicPr>
        <xdr:cNvPr id="1277" name="851 Imagen" descr="CON CALENDARIO ICONO.png">
          <a:extLst>
            <a:ext uri="{FF2B5EF4-FFF2-40B4-BE49-F238E27FC236}">
              <a16:creationId xmlns:a16="http://schemas.microsoft.com/office/drawing/2014/main" id="{1BF018DF-71FA-4B29-B068-AB51F56F0BD2}"/>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8162925" y="22755225"/>
          <a:ext cx="8286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9525</xdr:colOff>
      <xdr:row>140</xdr:row>
      <xdr:rowOff>19050</xdr:rowOff>
    </xdr:from>
    <xdr:to>
      <xdr:col>26</xdr:col>
      <xdr:colOff>447675</xdr:colOff>
      <xdr:row>140</xdr:row>
      <xdr:rowOff>142875</xdr:rowOff>
    </xdr:to>
    <xdr:pic>
      <xdr:nvPicPr>
        <xdr:cNvPr id="1278" name="852 Imagen" descr="CON LOGO ICONO.png">
          <a:extLst>
            <a:ext uri="{FF2B5EF4-FFF2-40B4-BE49-F238E27FC236}">
              <a16:creationId xmlns:a16="http://schemas.microsoft.com/office/drawing/2014/main" id="{98F0AFA9-2A39-401E-B7AE-D8D2E2A57041}"/>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8991600" y="22755225"/>
          <a:ext cx="438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57150</xdr:colOff>
      <xdr:row>144</xdr:row>
      <xdr:rowOff>19050</xdr:rowOff>
    </xdr:from>
    <xdr:to>
      <xdr:col>26</xdr:col>
      <xdr:colOff>9524</xdr:colOff>
      <xdr:row>144</xdr:row>
      <xdr:rowOff>142875</xdr:rowOff>
    </xdr:to>
    <xdr:pic>
      <xdr:nvPicPr>
        <xdr:cNvPr id="1279" name="851 Imagen" descr="CON CALENDARIO ICONO.png">
          <a:extLst>
            <a:ext uri="{FF2B5EF4-FFF2-40B4-BE49-F238E27FC236}">
              <a16:creationId xmlns:a16="http://schemas.microsoft.com/office/drawing/2014/main" id="{1BF018DF-71FA-4B29-B068-AB51F56F0BD2}"/>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8162925" y="23364825"/>
          <a:ext cx="8286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9525</xdr:colOff>
      <xdr:row>144</xdr:row>
      <xdr:rowOff>19050</xdr:rowOff>
    </xdr:from>
    <xdr:to>
      <xdr:col>26</xdr:col>
      <xdr:colOff>447675</xdr:colOff>
      <xdr:row>144</xdr:row>
      <xdr:rowOff>142875</xdr:rowOff>
    </xdr:to>
    <xdr:pic>
      <xdr:nvPicPr>
        <xdr:cNvPr id="1280" name="852 Imagen" descr="CON LOGO ICONO.png">
          <a:extLst>
            <a:ext uri="{FF2B5EF4-FFF2-40B4-BE49-F238E27FC236}">
              <a16:creationId xmlns:a16="http://schemas.microsoft.com/office/drawing/2014/main" id="{98F0AFA9-2A39-401E-B7AE-D8D2E2A57041}"/>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8991600" y="23364825"/>
          <a:ext cx="438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569</xdr:row>
      <xdr:rowOff>19050</xdr:rowOff>
    </xdr:from>
    <xdr:ext cx="819150" cy="123825"/>
    <xdr:pic>
      <xdr:nvPicPr>
        <xdr:cNvPr id="1271" name="429 Imagen" descr="sublimacion icono.png">
          <a:extLst>
            <a:ext uri="{FF2B5EF4-FFF2-40B4-BE49-F238E27FC236}">
              <a16:creationId xmlns:a16="http://schemas.microsoft.com/office/drawing/2014/main" id="{6CF316BA-1A7F-4150-9180-0700F4598BFE}"/>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34250" y="798099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224</xdr:row>
      <xdr:rowOff>19050</xdr:rowOff>
    </xdr:from>
    <xdr:ext cx="819150" cy="123825"/>
    <xdr:pic>
      <xdr:nvPicPr>
        <xdr:cNvPr id="1091"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346995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223</xdr:row>
      <xdr:rowOff>19050</xdr:rowOff>
    </xdr:from>
    <xdr:ext cx="819150" cy="123825"/>
    <xdr:pic>
      <xdr:nvPicPr>
        <xdr:cNvPr id="1148"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345471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379</xdr:row>
      <xdr:rowOff>19050</xdr:rowOff>
    </xdr:from>
    <xdr:to>
      <xdr:col>24</xdr:col>
      <xdr:colOff>47625</xdr:colOff>
      <xdr:row>379</xdr:row>
      <xdr:rowOff>142875</xdr:rowOff>
    </xdr:to>
    <xdr:pic>
      <xdr:nvPicPr>
        <xdr:cNvPr id="1069"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93217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57</xdr:row>
      <xdr:rowOff>19050</xdr:rowOff>
    </xdr:from>
    <xdr:ext cx="819150" cy="123825"/>
    <xdr:pic>
      <xdr:nvPicPr>
        <xdr:cNvPr id="1004"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92964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221</xdr:row>
      <xdr:rowOff>19050</xdr:rowOff>
    </xdr:from>
    <xdr:to>
      <xdr:col>24</xdr:col>
      <xdr:colOff>47625</xdr:colOff>
      <xdr:row>221</xdr:row>
      <xdr:rowOff>142875</xdr:rowOff>
    </xdr:to>
    <xdr:pic>
      <xdr:nvPicPr>
        <xdr:cNvPr id="1028" name="702 Imagen" descr="laser fibra icono.png">
          <a:extLst>
            <a:ext uri="{FF2B5EF4-FFF2-40B4-BE49-F238E27FC236}">
              <a16:creationId xmlns:a16="http://schemas.microsoft.com/office/drawing/2014/main" id="{A84E498A-D1D2-406F-9CCF-947161A9D7FB}"/>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43775" y="356139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420</xdr:row>
      <xdr:rowOff>19050</xdr:rowOff>
    </xdr:from>
    <xdr:ext cx="819150" cy="123825"/>
    <xdr:pic>
      <xdr:nvPicPr>
        <xdr:cNvPr id="1295"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660749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174</xdr:row>
      <xdr:rowOff>19050</xdr:rowOff>
    </xdr:from>
    <xdr:to>
      <xdr:col>24</xdr:col>
      <xdr:colOff>47625</xdr:colOff>
      <xdr:row>174</xdr:row>
      <xdr:rowOff>142875</xdr:rowOff>
    </xdr:to>
    <xdr:pic>
      <xdr:nvPicPr>
        <xdr:cNvPr id="1303"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282987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175</xdr:row>
      <xdr:rowOff>19050</xdr:rowOff>
    </xdr:from>
    <xdr:to>
      <xdr:col>24</xdr:col>
      <xdr:colOff>47625</xdr:colOff>
      <xdr:row>175</xdr:row>
      <xdr:rowOff>142875</xdr:rowOff>
    </xdr:to>
    <xdr:pic>
      <xdr:nvPicPr>
        <xdr:cNvPr id="1304"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284511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176</xdr:row>
      <xdr:rowOff>19050</xdr:rowOff>
    </xdr:from>
    <xdr:to>
      <xdr:col>24</xdr:col>
      <xdr:colOff>47625</xdr:colOff>
      <xdr:row>176</xdr:row>
      <xdr:rowOff>142875</xdr:rowOff>
    </xdr:to>
    <xdr:pic>
      <xdr:nvPicPr>
        <xdr:cNvPr id="1305"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286035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177</xdr:row>
      <xdr:rowOff>19050</xdr:rowOff>
    </xdr:from>
    <xdr:to>
      <xdr:col>24</xdr:col>
      <xdr:colOff>47625</xdr:colOff>
      <xdr:row>177</xdr:row>
      <xdr:rowOff>142875</xdr:rowOff>
    </xdr:to>
    <xdr:pic>
      <xdr:nvPicPr>
        <xdr:cNvPr id="1306"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287559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417</xdr:row>
      <xdr:rowOff>19050</xdr:rowOff>
    </xdr:from>
    <xdr:ext cx="819150" cy="123825"/>
    <xdr:pic>
      <xdr:nvPicPr>
        <xdr:cNvPr id="963" name="291 Imagen" descr="dome icono.png">
          <a:extLst>
            <a:ext uri="{FF2B5EF4-FFF2-40B4-BE49-F238E27FC236}">
              <a16:creationId xmlns:a16="http://schemas.microsoft.com/office/drawing/2014/main" id="{ABB8E52F-69F5-4349-9895-85ADD7800966}"/>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7353300" y="657701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418</xdr:row>
      <xdr:rowOff>19050</xdr:rowOff>
    </xdr:from>
    <xdr:ext cx="819150" cy="123825"/>
    <xdr:pic>
      <xdr:nvPicPr>
        <xdr:cNvPr id="1163" name="291 Imagen" descr="dome icono.png">
          <a:extLst>
            <a:ext uri="{FF2B5EF4-FFF2-40B4-BE49-F238E27FC236}">
              <a16:creationId xmlns:a16="http://schemas.microsoft.com/office/drawing/2014/main" id="{ABB8E52F-69F5-4349-9895-85ADD7800966}"/>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7353300" y="659225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213</xdr:row>
      <xdr:rowOff>28575</xdr:rowOff>
    </xdr:from>
    <xdr:to>
      <xdr:col>1</xdr:col>
      <xdr:colOff>0</xdr:colOff>
      <xdr:row>213</xdr:row>
      <xdr:rowOff>133350</xdr:rowOff>
    </xdr:to>
    <xdr:pic>
      <xdr:nvPicPr>
        <xdr:cNvPr id="1210" name="235 Imagen" descr="oferta icono.png">
          <a:extLst>
            <a:ext uri="{FF2B5EF4-FFF2-40B4-BE49-F238E27FC236}">
              <a16:creationId xmlns:a16="http://schemas.microsoft.com/office/drawing/2014/main" id="{9E3CA306-CFC8-4AA4-8FCC-5F7C665FB727}"/>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3425190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593</xdr:row>
      <xdr:rowOff>19050</xdr:rowOff>
    </xdr:from>
    <xdr:to>
      <xdr:col>10</xdr:col>
      <xdr:colOff>1</xdr:colOff>
      <xdr:row>593</xdr:row>
      <xdr:rowOff>142875</xdr:rowOff>
    </xdr:to>
    <xdr:pic>
      <xdr:nvPicPr>
        <xdr:cNvPr id="1313"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900207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594</xdr:row>
      <xdr:rowOff>19050</xdr:rowOff>
    </xdr:from>
    <xdr:to>
      <xdr:col>10</xdr:col>
      <xdr:colOff>1</xdr:colOff>
      <xdr:row>594</xdr:row>
      <xdr:rowOff>142875</xdr:rowOff>
    </xdr:to>
    <xdr:pic>
      <xdr:nvPicPr>
        <xdr:cNvPr id="1314"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901731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595</xdr:row>
      <xdr:rowOff>19050</xdr:rowOff>
    </xdr:from>
    <xdr:to>
      <xdr:col>10</xdr:col>
      <xdr:colOff>1</xdr:colOff>
      <xdr:row>595</xdr:row>
      <xdr:rowOff>142875</xdr:rowOff>
    </xdr:to>
    <xdr:pic>
      <xdr:nvPicPr>
        <xdr:cNvPr id="1315"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903255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596</xdr:row>
      <xdr:rowOff>19050</xdr:rowOff>
    </xdr:from>
    <xdr:to>
      <xdr:col>10</xdr:col>
      <xdr:colOff>1</xdr:colOff>
      <xdr:row>596</xdr:row>
      <xdr:rowOff>142875</xdr:rowOff>
    </xdr:to>
    <xdr:pic>
      <xdr:nvPicPr>
        <xdr:cNvPr id="1316"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904779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597</xdr:row>
      <xdr:rowOff>19050</xdr:rowOff>
    </xdr:from>
    <xdr:to>
      <xdr:col>10</xdr:col>
      <xdr:colOff>1</xdr:colOff>
      <xdr:row>597</xdr:row>
      <xdr:rowOff>142875</xdr:rowOff>
    </xdr:to>
    <xdr:pic>
      <xdr:nvPicPr>
        <xdr:cNvPr id="1317"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906303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598</xdr:row>
      <xdr:rowOff>19050</xdr:rowOff>
    </xdr:from>
    <xdr:to>
      <xdr:col>10</xdr:col>
      <xdr:colOff>1</xdr:colOff>
      <xdr:row>598</xdr:row>
      <xdr:rowOff>142875</xdr:rowOff>
    </xdr:to>
    <xdr:pic>
      <xdr:nvPicPr>
        <xdr:cNvPr id="1318"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907827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66</xdr:row>
      <xdr:rowOff>19050</xdr:rowOff>
    </xdr:from>
    <xdr:to>
      <xdr:col>10</xdr:col>
      <xdr:colOff>930</xdr:colOff>
      <xdr:row>66</xdr:row>
      <xdr:rowOff>142875</xdr:rowOff>
    </xdr:to>
    <xdr:pic>
      <xdr:nvPicPr>
        <xdr:cNvPr id="1320" name="958 Imagen" descr="CONSULTAR ICONO.png">
          <a:extLst>
            <a:ext uri="{FF2B5EF4-FFF2-40B4-BE49-F238E27FC236}">
              <a16:creationId xmlns:a16="http://schemas.microsoft.com/office/drawing/2014/main" id="{29D468AD-F7E7-44B9-9EF6-C3162FD505CC}"/>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10515600"/>
          <a:ext cx="82007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67</xdr:row>
      <xdr:rowOff>19050</xdr:rowOff>
    </xdr:from>
    <xdr:to>
      <xdr:col>10</xdr:col>
      <xdr:colOff>930</xdr:colOff>
      <xdr:row>67</xdr:row>
      <xdr:rowOff>142875</xdr:rowOff>
    </xdr:to>
    <xdr:pic>
      <xdr:nvPicPr>
        <xdr:cNvPr id="1321" name="958 Imagen" descr="CONSULTAR ICONO.png">
          <a:extLst>
            <a:ext uri="{FF2B5EF4-FFF2-40B4-BE49-F238E27FC236}">
              <a16:creationId xmlns:a16="http://schemas.microsoft.com/office/drawing/2014/main" id="{29D468AD-F7E7-44B9-9EF6-C3162FD505CC}"/>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10668000"/>
          <a:ext cx="82007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375</xdr:row>
      <xdr:rowOff>19050</xdr:rowOff>
    </xdr:from>
    <xdr:to>
      <xdr:col>24</xdr:col>
      <xdr:colOff>47625</xdr:colOff>
      <xdr:row>375</xdr:row>
      <xdr:rowOff>142875</xdr:rowOff>
    </xdr:to>
    <xdr:pic>
      <xdr:nvPicPr>
        <xdr:cNvPr id="1337"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88645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266</xdr:row>
      <xdr:rowOff>19050</xdr:rowOff>
    </xdr:from>
    <xdr:to>
      <xdr:col>10</xdr:col>
      <xdr:colOff>1</xdr:colOff>
      <xdr:row>266</xdr:row>
      <xdr:rowOff>142875</xdr:rowOff>
    </xdr:to>
    <xdr:pic>
      <xdr:nvPicPr>
        <xdr:cNvPr id="961"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406812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267</xdr:row>
      <xdr:rowOff>19050</xdr:rowOff>
    </xdr:from>
    <xdr:to>
      <xdr:col>10</xdr:col>
      <xdr:colOff>1</xdr:colOff>
      <xdr:row>267</xdr:row>
      <xdr:rowOff>142875</xdr:rowOff>
    </xdr:to>
    <xdr:pic>
      <xdr:nvPicPr>
        <xdr:cNvPr id="967"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408336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268</xdr:row>
      <xdr:rowOff>19050</xdr:rowOff>
    </xdr:from>
    <xdr:to>
      <xdr:col>10</xdr:col>
      <xdr:colOff>1</xdr:colOff>
      <xdr:row>268</xdr:row>
      <xdr:rowOff>142875</xdr:rowOff>
    </xdr:to>
    <xdr:pic>
      <xdr:nvPicPr>
        <xdr:cNvPr id="980"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409860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269</xdr:row>
      <xdr:rowOff>19050</xdr:rowOff>
    </xdr:from>
    <xdr:to>
      <xdr:col>10</xdr:col>
      <xdr:colOff>1</xdr:colOff>
      <xdr:row>269</xdr:row>
      <xdr:rowOff>142875</xdr:rowOff>
    </xdr:to>
    <xdr:pic>
      <xdr:nvPicPr>
        <xdr:cNvPr id="986"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411384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270</xdr:row>
      <xdr:rowOff>19050</xdr:rowOff>
    </xdr:from>
    <xdr:to>
      <xdr:col>10</xdr:col>
      <xdr:colOff>1</xdr:colOff>
      <xdr:row>270</xdr:row>
      <xdr:rowOff>142875</xdr:rowOff>
    </xdr:to>
    <xdr:pic>
      <xdr:nvPicPr>
        <xdr:cNvPr id="993"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412908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271</xdr:row>
      <xdr:rowOff>19050</xdr:rowOff>
    </xdr:from>
    <xdr:to>
      <xdr:col>10</xdr:col>
      <xdr:colOff>1</xdr:colOff>
      <xdr:row>271</xdr:row>
      <xdr:rowOff>142875</xdr:rowOff>
    </xdr:to>
    <xdr:pic>
      <xdr:nvPicPr>
        <xdr:cNvPr id="1012"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414432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310</xdr:row>
      <xdr:rowOff>19050</xdr:rowOff>
    </xdr:from>
    <xdr:to>
      <xdr:col>24</xdr:col>
      <xdr:colOff>47625</xdr:colOff>
      <xdr:row>310</xdr:row>
      <xdr:rowOff>142875</xdr:rowOff>
    </xdr:to>
    <xdr:pic>
      <xdr:nvPicPr>
        <xdr:cNvPr id="1013"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481584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154</xdr:row>
      <xdr:rowOff>19050</xdr:rowOff>
    </xdr:from>
    <xdr:to>
      <xdr:col>24</xdr:col>
      <xdr:colOff>47625</xdr:colOff>
      <xdr:row>154</xdr:row>
      <xdr:rowOff>142875</xdr:rowOff>
    </xdr:to>
    <xdr:pic>
      <xdr:nvPicPr>
        <xdr:cNvPr id="1126"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249555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127</xdr:row>
      <xdr:rowOff>19050</xdr:rowOff>
    </xdr:from>
    <xdr:ext cx="819150" cy="123825"/>
    <xdr:pic>
      <xdr:nvPicPr>
        <xdr:cNvPr id="1141" name="840 Imagen" descr="dome icono.png">
          <a:extLst>
            <a:ext uri="{FF2B5EF4-FFF2-40B4-BE49-F238E27FC236}">
              <a16:creationId xmlns:a16="http://schemas.microsoft.com/office/drawing/2014/main" id="{CBEFA250-9D4D-4CD2-9950-7DEE73C05631}"/>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7353300" y="192500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43</xdr:row>
      <xdr:rowOff>19050</xdr:rowOff>
    </xdr:from>
    <xdr:ext cx="1190625" cy="123825"/>
    <xdr:pic>
      <xdr:nvPicPr>
        <xdr:cNvPr id="1173" name="1022 Imagen" descr="DOME UN LADO.png">
          <a:extLst>
            <a:ext uri="{FF2B5EF4-FFF2-40B4-BE49-F238E27FC236}">
              <a16:creationId xmlns:a16="http://schemas.microsoft.com/office/drawing/2014/main" id="{A58C9EC6-AE43-4980-A967-EC149773E309}"/>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7353300" y="6858000"/>
          <a:ext cx="11906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44</xdr:row>
      <xdr:rowOff>19050</xdr:rowOff>
    </xdr:from>
    <xdr:ext cx="1190625" cy="123825"/>
    <xdr:pic>
      <xdr:nvPicPr>
        <xdr:cNvPr id="1189" name="1022 Imagen" descr="DOME UN LADO.png">
          <a:extLst>
            <a:ext uri="{FF2B5EF4-FFF2-40B4-BE49-F238E27FC236}">
              <a16:creationId xmlns:a16="http://schemas.microsoft.com/office/drawing/2014/main" id="{A58C9EC6-AE43-4980-A967-EC149773E309}"/>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7353300" y="7315200"/>
          <a:ext cx="11906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45</xdr:row>
      <xdr:rowOff>19050</xdr:rowOff>
    </xdr:from>
    <xdr:ext cx="1190625" cy="123825"/>
    <xdr:pic>
      <xdr:nvPicPr>
        <xdr:cNvPr id="1230" name="1022 Imagen" descr="DOME UN LADO.png">
          <a:extLst>
            <a:ext uri="{FF2B5EF4-FFF2-40B4-BE49-F238E27FC236}">
              <a16:creationId xmlns:a16="http://schemas.microsoft.com/office/drawing/2014/main" id="{A58C9EC6-AE43-4980-A967-EC149773E309}"/>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7353300" y="7467600"/>
          <a:ext cx="11906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14</xdr:row>
      <xdr:rowOff>19050</xdr:rowOff>
    </xdr:from>
    <xdr:to>
      <xdr:col>24</xdr:col>
      <xdr:colOff>47625</xdr:colOff>
      <xdr:row>14</xdr:row>
      <xdr:rowOff>142875</xdr:rowOff>
    </xdr:to>
    <xdr:pic>
      <xdr:nvPicPr>
        <xdr:cNvPr id="1266" name="1047 Imagen" descr="laser un lado icono.png">
          <a:extLst>
            <a:ext uri="{FF2B5EF4-FFF2-40B4-BE49-F238E27FC236}">
              <a16:creationId xmlns:a16="http://schemas.microsoft.com/office/drawing/2014/main" id="{63EEF21A-DA68-49C6-9F59-6CE9A040A8DA}"/>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7353300" y="27432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15</xdr:row>
      <xdr:rowOff>19050</xdr:rowOff>
    </xdr:from>
    <xdr:to>
      <xdr:col>24</xdr:col>
      <xdr:colOff>47625</xdr:colOff>
      <xdr:row>15</xdr:row>
      <xdr:rowOff>142875</xdr:rowOff>
    </xdr:to>
    <xdr:pic>
      <xdr:nvPicPr>
        <xdr:cNvPr id="1302" name="1047 Imagen" descr="laser un lado icono.png">
          <a:extLst>
            <a:ext uri="{FF2B5EF4-FFF2-40B4-BE49-F238E27FC236}">
              <a16:creationId xmlns:a16="http://schemas.microsoft.com/office/drawing/2014/main" id="{63EEF21A-DA68-49C6-9F59-6CE9A040A8DA}"/>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7353300" y="28956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296</xdr:row>
      <xdr:rowOff>19050</xdr:rowOff>
    </xdr:from>
    <xdr:ext cx="828675" cy="123825"/>
    <xdr:pic>
      <xdr:nvPicPr>
        <xdr:cNvPr id="1341" name="589 Imagen" descr="laser fibra icono.png">
          <a:extLst>
            <a:ext uri="{FF2B5EF4-FFF2-40B4-BE49-F238E27FC236}">
              <a16:creationId xmlns:a16="http://schemas.microsoft.com/office/drawing/2014/main" id="{F93AC8A6-CC1B-40DD-A8E3-6CDEB7A13BCC}"/>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7334250" y="45110400"/>
          <a:ext cx="8286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24</xdr:col>
      <xdr:colOff>76200</xdr:colOff>
      <xdr:row>296</xdr:row>
      <xdr:rowOff>19050</xdr:rowOff>
    </xdr:from>
    <xdr:to>
      <xdr:col>25</xdr:col>
      <xdr:colOff>83819</xdr:colOff>
      <xdr:row>296</xdr:row>
      <xdr:rowOff>140970</xdr:rowOff>
    </xdr:to>
    <xdr:pic>
      <xdr:nvPicPr>
        <xdr:cNvPr id="1342" name="Imagen 1341"/>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81975" y="45110400"/>
          <a:ext cx="502920" cy="121920"/>
        </a:xfrm>
        <a:prstGeom prst="rect">
          <a:avLst/>
        </a:prstGeom>
      </xdr:spPr>
    </xdr:pic>
    <xdr:clientData/>
  </xdr:twoCellAnchor>
  <xdr:oneCellAnchor>
    <xdr:from>
      <xdr:col>23</xdr:col>
      <xdr:colOff>9525</xdr:colOff>
      <xdr:row>295</xdr:row>
      <xdr:rowOff>19050</xdr:rowOff>
    </xdr:from>
    <xdr:ext cx="828675" cy="123825"/>
    <xdr:pic>
      <xdr:nvPicPr>
        <xdr:cNvPr id="1344" name="589 Imagen" descr="laser fibra icono.png">
          <a:extLst>
            <a:ext uri="{FF2B5EF4-FFF2-40B4-BE49-F238E27FC236}">
              <a16:creationId xmlns:a16="http://schemas.microsoft.com/office/drawing/2014/main" id="{F93AC8A6-CC1B-40DD-A8E3-6CDEB7A13BCC}"/>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7334250" y="45262800"/>
          <a:ext cx="8286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76200</xdr:colOff>
      <xdr:row>295</xdr:row>
      <xdr:rowOff>19050</xdr:rowOff>
    </xdr:from>
    <xdr:ext cx="502920" cy="121920"/>
    <xdr:pic>
      <xdr:nvPicPr>
        <xdr:cNvPr id="1345" name="Imagen 1344"/>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81975" y="45262800"/>
          <a:ext cx="502920" cy="121920"/>
        </a:xfrm>
        <a:prstGeom prst="rect">
          <a:avLst/>
        </a:prstGeom>
      </xdr:spPr>
    </xdr:pic>
    <xdr:clientData/>
  </xdr:oneCellAnchor>
  <xdr:oneCellAnchor>
    <xdr:from>
      <xdr:col>23</xdr:col>
      <xdr:colOff>9525</xdr:colOff>
      <xdr:row>297</xdr:row>
      <xdr:rowOff>19050</xdr:rowOff>
    </xdr:from>
    <xdr:ext cx="828675" cy="123825"/>
    <xdr:pic>
      <xdr:nvPicPr>
        <xdr:cNvPr id="1347" name="589 Imagen" descr="laser fibra icono.png">
          <a:extLst>
            <a:ext uri="{FF2B5EF4-FFF2-40B4-BE49-F238E27FC236}">
              <a16:creationId xmlns:a16="http://schemas.microsoft.com/office/drawing/2014/main" id="{F93AC8A6-CC1B-40DD-A8E3-6CDEB7A13BCC}"/>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7334250" y="45262800"/>
          <a:ext cx="8286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76200</xdr:colOff>
      <xdr:row>297</xdr:row>
      <xdr:rowOff>19050</xdr:rowOff>
    </xdr:from>
    <xdr:ext cx="502920" cy="121920"/>
    <xdr:pic>
      <xdr:nvPicPr>
        <xdr:cNvPr id="1348" name="Imagen 1347"/>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81975" y="45262800"/>
          <a:ext cx="502920" cy="121920"/>
        </a:xfrm>
        <a:prstGeom prst="rect">
          <a:avLst/>
        </a:prstGeom>
      </xdr:spPr>
    </xdr:pic>
    <xdr:clientData/>
  </xdr:oneCellAnchor>
  <xdr:twoCellAnchor editAs="oneCell">
    <xdr:from>
      <xdr:col>23</xdr:col>
      <xdr:colOff>9525</xdr:colOff>
      <xdr:row>307</xdr:row>
      <xdr:rowOff>19050</xdr:rowOff>
    </xdr:from>
    <xdr:to>
      <xdr:col>24</xdr:col>
      <xdr:colOff>47625</xdr:colOff>
      <xdr:row>307</xdr:row>
      <xdr:rowOff>142875</xdr:rowOff>
    </xdr:to>
    <xdr:pic>
      <xdr:nvPicPr>
        <xdr:cNvPr id="1349" name="594 Imagen" descr="laser fibra icono.png">
          <a:extLst>
            <a:ext uri="{FF2B5EF4-FFF2-40B4-BE49-F238E27FC236}">
              <a16:creationId xmlns:a16="http://schemas.microsoft.com/office/drawing/2014/main" id="{94254448-E95B-4D55-94D6-FFC50B0E8B6D}"/>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34250" y="473964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66675</xdr:colOff>
      <xdr:row>307</xdr:row>
      <xdr:rowOff>19050</xdr:rowOff>
    </xdr:from>
    <xdr:to>
      <xdr:col>25</xdr:col>
      <xdr:colOff>74294</xdr:colOff>
      <xdr:row>307</xdr:row>
      <xdr:rowOff>140970</xdr:rowOff>
    </xdr:to>
    <xdr:pic>
      <xdr:nvPicPr>
        <xdr:cNvPr id="1350" name="Imagen 1349"/>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72450" y="47396400"/>
          <a:ext cx="502920" cy="121920"/>
        </a:xfrm>
        <a:prstGeom prst="rect">
          <a:avLst/>
        </a:prstGeom>
      </xdr:spPr>
    </xdr:pic>
    <xdr:clientData/>
  </xdr:twoCellAnchor>
  <xdr:twoCellAnchor editAs="oneCell">
    <xdr:from>
      <xdr:col>24</xdr:col>
      <xdr:colOff>76200</xdr:colOff>
      <xdr:row>283</xdr:row>
      <xdr:rowOff>19050</xdr:rowOff>
    </xdr:from>
    <xdr:to>
      <xdr:col>25</xdr:col>
      <xdr:colOff>83819</xdr:colOff>
      <xdr:row>283</xdr:row>
      <xdr:rowOff>140970</xdr:rowOff>
    </xdr:to>
    <xdr:pic>
      <xdr:nvPicPr>
        <xdr:cNvPr id="1353" name="Imagen 1352"/>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81975" y="43129200"/>
          <a:ext cx="502920" cy="121920"/>
        </a:xfrm>
        <a:prstGeom prst="rect">
          <a:avLst/>
        </a:prstGeom>
      </xdr:spPr>
    </xdr:pic>
    <xdr:clientData/>
  </xdr:twoCellAnchor>
  <xdr:oneCellAnchor>
    <xdr:from>
      <xdr:col>23</xdr:col>
      <xdr:colOff>9525</xdr:colOff>
      <xdr:row>381</xdr:row>
      <xdr:rowOff>19050</xdr:rowOff>
    </xdr:from>
    <xdr:ext cx="819150" cy="123825"/>
    <xdr:pic>
      <xdr:nvPicPr>
        <xdr:cNvPr id="1301"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96265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76200</xdr:colOff>
      <xdr:row>284</xdr:row>
      <xdr:rowOff>19050</xdr:rowOff>
    </xdr:from>
    <xdr:ext cx="502920" cy="121920"/>
    <xdr:pic>
      <xdr:nvPicPr>
        <xdr:cNvPr id="1187" name="Imagen 1186"/>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91500" y="43129200"/>
          <a:ext cx="502920" cy="121920"/>
        </a:xfrm>
        <a:prstGeom prst="rect">
          <a:avLst/>
        </a:prstGeom>
      </xdr:spPr>
    </xdr:pic>
    <xdr:clientData/>
  </xdr:oneCellAnchor>
  <xdr:twoCellAnchor editAs="oneCell">
    <xdr:from>
      <xdr:col>23</xdr:col>
      <xdr:colOff>9525</xdr:colOff>
      <xdr:row>523</xdr:row>
      <xdr:rowOff>19050</xdr:rowOff>
    </xdr:from>
    <xdr:to>
      <xdr:col>24</xdr:col>
      <xdr:colOff>75821</xdr:colOff>
      <xdr:row>523</xdr:row>
      <xdr:rowOff>140970</xdr:rowOff>
    </xdr:to>
    <xdr:pic>
      <xdr:nvPicPr>
        <xdr:cNvPr id="1379" name="Imagen 1378"/>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77971650"/>
          <a:ext cx="847346" cy="121920"/>
        </a:xfrm>
        <a:prstGeom prst="rect">
          <a:avLst/>
        </a:prstGeom>
      </xdr:spPr>
    </xdr:pic>
    <xdr:clientData/>
  </xdr:twoCellAnchor>
  <xdr:oneCellAnchor>
    <xdr:from>
      <xdr:col>23</xdr:col>
      <xdr:colOff>9525</xdr:colOff>
      <xdr:row>528</xdr:row>
      <xdr:rowOff>19050</xdr:rowOff>
    </xdr:from>
    <xdr:ext cx="847346" cy="121920"/>
    <xdr:pic>
      <xdr:nvPicPr>
        <xdr:cNvPr id="1383" name="Imagen 1382"/>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78124050"/>
          <a:ext cx="847346" cy="121920"/>
        </a:xfrm>
        <a:prstGeom prst="rect">
          <a:avLst/>
        </a:prstGeom>
      </xdr:spPr>
    </xdr:pic>
    <xdr:clientData/>
  </xdr:oneCellAnchor>
  <xdr:oneCellAnchor>
    <xdr:from>
      <xdr:col>23</xdr:col>
      <xdr:colOff>9525</xdr:colOff>
      <xdr:row>525</xdr:row>
      <xdr:rowOff>19050</xdr:rowOff>
    </xdr:from>
    <xdr:ext cx="847346" cy="121920"/>
    <xdr:pic>
      <xdr:nvPicPr>
        <xdr:cNvPr id="1386" name="Imagen 1385"/>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78276450"/>
          <a:ext cx="847346" cy="121920"/>
        </a:xfrm>
        <a:prstGeom prst="rect">
          <a:avLst/>
        </a:prstGeom>
      </xdr:spPr>
    </xdr:pic>
    <xdr:clientData/>
  </xdr:oneCellAnchor>
  <xdr:oneCellAnchor>
    <xdr:from>
      <xdr:col>23</xdr:col>
      <xdr:colOff>9525</xdr:colOff>
      <xdr:row>529</xdr:row>
      <xdr:rowOff>19050</xdr:rowOff>
    </xdr:from>
    <xdr:ext cx="847346" cy="121920"/>
    <xdr:pic>
      <xdr:nvPicPr>
        <xdr:cNvPr id="1037" name="Imagen 1036"/>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79038450"/>
          <a:ext cx="847346" cy="121920"/>
        </a:xfrm>
        <a:prstGeom prst="rect">
          <a:avLst/>
        </a:prstGeom>
      </xdr:spPr>
    </xdr:pic>
    <xdr:clientData/>
  </xdr:oneCellAnchor>
  <xdr:oneCellAnchor>
    <xdr:from>
      <xdr:col>23</xdr:col>
      <xdr:colOff>9525</xdr:colOff>
      <xdr:row>535</xdr:row>
      <xdr:rowOff>19050</xdr:rowOff>
    </xdr:from>
    <xdr:ext cx="847346" cy="121920"/>
    <xdr:pic>
      <xdr:nvPicPr>
        <xdr:cNvPr id="1120" name="Imagen 1119"/>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79648050"/>
          <a:ext cx="847346" cy="121920"/>
        </a:xfrm>
        <a:prstGeom prst="rect">
          <a:avLst/>
        </a:prstGeom>
      </xdr:spPr>
    </xdr:pic>
    <xdr:clientData/>
  </xdr:oneCellAnchor>
  <xdr:oneCellAnchor>
    <xdr:from>
      <xdr:col>23</xdr:col>
      <xdr:colOff>9525</xdr:colOff>
      <xdr:row>536</xdr:row>
      <xdr:rowOff>19050</xdr:rowOff>
    </xdr:from>
    <xdr:ext cx="847346" cy="121920"/>
    <xdr:pic>
      <xdr:nvPicPr>
        <xdr:cNvPr id="1206" name="Imagen 1205"/>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79800450"/>
          <a:ext cx="847346" cy="121920"/>
        </a:xfrm>
        <a:prstGeom prst="rect">
          <a:avLst/>
        </a:prstGeom>
      </xdr:spPr>
    </xdr:pic>
    <xdr:clientData/>
  </xdr:oneCellAnchor>
  <xdr:oneCellAnchor>
    <xdr:from>
      <xdr:col>23</xdr:col>
      <xdr:colOff>9525</xdr:colOff>
      <xdr:row>542</xdr:row>
      <xdr:rowOff>19050</xdr:rowOff>
    </xdr:from>
    <xdr:ext cx="847346" cy="121920"/>
    <xdr:pic>
      <xdr:nvPicPr>
        <xdr:cNvPr id="1248" name="Imagen 1247"/>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80105250"/>
          <a:ext cx="847346" cy="121920"/>
        </a:xfrm>
        <a:prstGeom prst="rect">
          <a:avLst/>
        </a:prstGeom>
      </xdr:spPr>
    </xdr:pic>
    <xdr:clientData/>
  </xdr:oneCellAnchor>
  <xdr:oneCellAnchor>
    <xdr:from>
      <xdr:col>23</xdr:col>
      <xdr:colOff>9525</xdr:colOff>
      <xdr:row>543</xdr:row>
      <xdr:rowOff>19050</xdr:rowOff>
    </xdr:from>
    <xdr:ext cx="847346" cy="121920"/>
    <xdr:pic>
      <xdr:nvPicPr>
        <xdr:cNvPr id="1249" name="Imagen 1248"/>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80257650"/>
          <a:ext cx="847346" cy="121920"/>
        </a:xfrm>
        <a:prstGeom prst="rect">
          <a:avLst/>
        </a:prstGeom>
      </xdr:spPr>
    </xdr:pic>
    <xdr:clientData/>
  </xdr:oneCellAnchor>
  <xdr:oneCellAnchor>
    <xdr:from>
      <xdr:col>23</xdr:col>
      <xdr:colOff>9525</xdr:colOff>
      <xdr:row>538</xdr:row>
      <xdr:rowOff>19050</xdr:rowOff>
    </xdr:from>
    <xdr:ext cx="847346" cy="121920"/>
    <xdr:pic>
      <xdr:nvPicPr>
        <xdr:cNvPr id="1338" name="Imagen 1337"/>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79952850"/>
          <a:ext cx="847346" cy="121920"/>
        </a:xfrm>
        <a:prstGeom prst="rect">
          <a:avLst/>
        </a:prstGeom>
      </xdr:spPr>
    </xdr:pic>
    <xdr:clientData/>
  </xdr:oneCellAnchor>
  <xdr:oneCellAnchor>
    <xdr:from>
      <xdr:col>23</xdr:col>
      <xdr:colOff>9525</xdr:colOff>
      <xdr:row>546</xdr:row>
      <xdr:rowOff>19050</xdr:rowOff>
    </xdr:from>
    <xdr:ext cx="847346" cy="121920"/>
    <xdr:pic>
      <xdr:nvPicPr>
        <xdr:cNvPr id="1360" name="Imagen 1359"/>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80867250"/>
          <a:ext cx="847346" cy="121920"/>
        </a:xfrm>
        <a:prstGeom prst="rect">
          <a:avLst/>
        </a:prstGeom>
      </xdr:spPr>
    </xdr:pic>
    <xdr:clientData/>
  </xdr:oneCellAnchor>
  <xdr:oneCellAnchor>
    <xdr:from>
      <xdr:col>23</xdr:col>
      <xdr:colOff>9525</xdr:colOff>
      <xdr:row>544</xdr:row>
      <xdr:rowOff>19050</xdr:rowOff>
    </xdr:from>
    <xdr:ext cx="847346" cy="121920"/>
    <xdr:pic>
      <xdr:nvPicPr>
        <xdr:cNvPr id="1361" name="Imagen 1360"/>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81019650"/>
          <a:ext cx="847346" cy="121920"/>
        </a:xfrm>
        <a:prstGeom prst="rect">
          <a:avLst/>
        </a:prstGeom>
      </xdr:spPr>
    </xdr:pic>
    <xdr:clientData/>
  </xdr:oneCellAnchor>
  <xdr:oneCellAnchor>
    <xdr:from>
      <xdr:col>23</xdr:col>
      <xdr:colOff>9525</xdr:colOff>
      <xdr:row>547</xdr:row>
      <xdr:rowOff>19050</xdr:rowOff>
    </xdr:from>
    <xdr:ext cx="847346" cy="121920"/>
    <xdr:pic>
      <xdr:nvPicPr>
        <xdr:cNvPr id="1362" name="Imagen 1361"/>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81172050"/>
          <a:ext cx="847346" cy="121920"/>
        </a:xfrm>
        <a:prstGeom prst="rect">
          <a:avLst/>
        </a:prstGeom>
      </xdr:spPr>
    </xdr:pic>
    <xdr:clientData/>
  </xdr:oneCellAnchor>
  <xdr:oneCellAnchor>
    <xdr:from>
      <xdr:col>23</xdr:col>
      <xdr:colOff>9525</xdr:colOff>
      <xdr:row>545</xdr:row>
      <xdr:rowOff>19050</xdr:rowOff>
    </xdr:from>
    <xdr:ext cx="847346" cy="121920"/>
    <xdr:pic>
      <xdr:nvPicPr>
        <xdr:cNvPr id="1363" name="Imagen 1362"/>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81476850"/>
          <a:ext cx="847346" cy="121920"/>
        </a:xfrm>
        <a:prstGeom prst="rect">
          <a:avLst/>
        </a:prstGeom>
      </xdr:spPr>
    </xdr:pic>
    <xdr:clientData/>
  </xdr:oneCellAnchor>
  <xdr:twoCellAnchor editAs="oneCell">
    <xdr:from>
      <xdr:col>23</xdr:col>
      <xdr:colOff>9525</xdr:colOff>
      <xdr:row>459</xdr:row>
      <xdr:rowOff>19050</xdr:rowOff>
    </xdr:from>
    <xdr:to>
      <xdr:col>24</xdr:col>
      <xdr:colOff>75821</xdr:colOff>
      <xdr:row>459</xdr:row>
      <xdr:rowOff>140970</xdr:rowOff>
    </xdr:to>
    <xdr:pic>
      <xdr:nvPicPr>
        <xdr:cNvPr id="1356" name="Imagen 1355"/>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70351650"/>
          <a:ext cx="847346" cy="121920"/>
        </a:xfrm>
        <a:prstGeom prst="rect">
          <a:avLst/>
        </a:prstGeom>
      </xdr:spPr>
    </xdr:pic>
    <xdr:clientData/>
  </xdr:twoCellAnchor>
  <xdr:oneCellAnchor>
    <xdr:from>
      <xdr:col>23</xdr:col>
      <xdr:colOff>9525</xdr:colOff>
      <xdr:row>230</xdr:row>
      <xdr:rowOff>19050</xdr:rowOff>
    </xdr:from>
    <xdr:ext cx="819150" cy="123825"/>
    <xdr:pic>
      <xdr:nvPicPr>
        <xdr:cNvPr id="1364" name="659 Imagen" descr="seri icono.png">
          <a:extLst>
            <a:ext uri="{FF2B5EF4-FFF2-40B4-BE49-F238E27FC236}">
              <a16:creationId xmlns:a16="http://schemas.microsoft.com/office/drawing/2014/main" id="{CFC55181-40DC-4BCF-8415-11762553DF18}"/>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43775" y="347091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230</xdr:row>
      <xdr:rowOff>28575</xdr:rowOff>
    </xdr:from>
    <xdr:ext cx="342900" cy="104775"/>
    <xdr:pic>
      <xdr:nvPicPr>
        <xdr:cNvPr id="1365" name="261 Imagen" descr="nuevo icono.png">
          <a:extLst>
            <a:ext uri="{FF2B5EF4-FFF2-40B4-BE49-F238E27FC236}">
              <a16:creationId xmlns:a16="http://schemas.microsoft.com/office/drawing/2014/main" id="{204D8D91-A921-45D4-8F26-5DB5B202BC85}"/>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347186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57150</xdr:colOff>
      <xdr:row>230</xdr:row>
      <xdr:rowOff>19050</xdr:rowOff>
    </xdr:from>
    <xdr:ext cx="819150" cy="123825"/>
    <xdr:pic>
      <xdr:nvPicPr>
        <xdr:cNvPr id="1366"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72450" y="347091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521</xdr:row>
      <xdr:rowOff>19050</xdr:rowOff>
    </xdr:from>
    <xdr:to>
      <xdr:col>24</xdr:col>
      <xdr:colOff>75821</xdr:colOff>
      <xdr:row>521</xdr:row>
      <xdr:rowOff>140970</xdr:rowOff>
    </xdr:to>
    <xdr:pic>
      <xdr:nvPicPr>
        <xdr:cNvPr id="1367" name="Imagen 1366"/>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77819250"/>
          <a:ext cx="847346" cy="121920"/>
        </a:xfrm>
        <a:prstGeom prst="rect">
          <a:avLst/>
        </a:prstGeom>
      </xdr:spPr>
    </xdr:pic>
    <xdr:clientData/>
  </xdr:twoCellAnchor>
  <xdr:oneCellAnchor>
    <xdr:from>
      <xdr:col>23</xdr:col>
      <xdr:colOff>9525</xdr:colOff>
      <xdr:row>470</xdr:row>
      <xdr:rowOff>19050</xdr:rowOff>
    </xdr:from>
    <xdr:ext cx="847346" cy="121920"/>
    <xdr:pic>
      <xdr:nvPicPr>
        <xdr:cNvPr id="1376" name="Imagen 1375"/>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72485250"/>
          <a:ext cx="847346" cy="121920"/>
        </a:xfrm>
        <a:prstGeom prst="rect">
          <a:avLst/>
        </a:prstGeom>
      </xdr:spPr>
    </xdr:pic>
    <xdr:clientData/>
  </xdr:oneCellAnchor>
  <xdr:oneCellAnchor>
    <xdr:from>
      <xdr:col>23</xdr:col>
      <xdr:colOff>9525</xdr:colOff>
      <xdr:row>460</xdr:row>
      <xdr:rowOff>19050</xdr:rowOff>
    </xdr:from>
    <xdr:ext cx="847346" cy="121920"/>
    <xdr:pic>
      <xdr:nvPicPr>
        <xdr:cNvPr id="1377" name="Imagen 1376"/>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70656450"/>
          <a:ext cx="847346" cy="121920"/>
        </a:xfrm>
        <a:prstGeom prst="rect">
          <a:avLst/>
        </a:prstGeom>
      </xdr:spPr>
    </xdr:pic>
    <xdr:clientData/>
  </xdr:oneCellAnchor>
  <xdr:oneCellAnchor>
    <xdr:from>
      <xdr:col>23</xdr:col>
      <xdr:colOff>9525</xdr:colOff>
      <xdr:row>461</xdr:row>
      <xdr:rowOff>19050</xdr:rowOff>
    </xdr:from>
    <xdr:ext cx="847346" cy="121920"/>
    <xdr:pic>
      <xdr:nvPicPr>
        <xdr:cNvPr id="1378" name="Imagen 1377"/>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70808850"/>
          <a:ext cx="847346" cy="121920"/>
        </a:xfrm>
        <a:prstGeom prst="rect">
          <a:avLst/>
        </a:prstGeom>
      </xdr:spPr>
    </xdr:pic>
    <xdr:clientData/>
  </xdr:oneCellAnchor>
  <xdr:oneCellAnchor>
    <xdr:from>
      <xdr:col>23</xdr:col>
      <xdr:colOff>9525</xdr:colOff>
      <xdr:row>462</xdr:row>
      <xdr:rowOff>19050</xdr:rowOff>
    </xdr:from>
    <xdr:ext cx="847346" cy="121920"/>
    <xdr:pic>
      <xdr:nvPicPr>
        <xdr:cNvPr id="1388" name="Imagen 1387"/>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70961250"/>
          <a:ext cx="847346" cy="121920"/>
        </a:xfrm>
        <a:prstGeom prst="rect">
          <a:avLst/>
        </a:prstGeom>
      </xdr:spPr>
    </xdr:pic>
    <xdr:clientData/>
  </xdr:oneCellAnchor>
  <xdr:oneCellAnchor>
    <xdr:from>
      <xdr:col>23</xdr:col>
      <xdr:colOff>9525</xdr:colOff>
      <xdr:row>457</xdr:row>
      <xdr:rowOff>19050</xdr:rowOff>
    </xdr:from>
    <xdr:ext cx="847346" cy="121920"/>
    <xdr:pic>
      <xdr:nvPicPr>
        <xdr:cNvPr id="1389" name="Imagen 1388"/>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69894450"/>
          <a:ext cx="847346" cy="121920"/>
        </a:xfrm>
        <a:prstGeom prst="rect">
          <a:avLst/>
        </a:prstGeom>
      </xdr:spPr>
    </xdr:pic>
    <xdr:clientData/>
  </xdr:oneCellAnchor>
  <xdr:oneCellAnchor>
    <xdr:from>
      <xdr:col>23</xdr:col>
      <xdr:colOff>9525</xdr:colOff>
      <xdr:row>458</xdr:row>
      <xdr:rowOff>19050</xdr:rowOff>
    </xdr:from>
    <xdr:ext cx="847346" cy="121920"/>
    <xdr:pic>
      <xdr:nvPicPr>
        <xdr:cNvPr id="1390" name="Imagen 1389"/>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70046850"/>
          <a:ext cx="847346" cy="121920"/>
        </a:xfrm>
        <a:prstGeom prst="rect">
          <a:avLst/>
        </a:prstGeom>
      </xdr:spPr>
    </xdr:pic>
    <xdr:clientData/>
  </xdr:oneCellAnchor>
  <xdr:twoCellAnchor editAs="oneCell">
    <xdr:from>
      <xdr:col>23</xdr:col>
      <xdr:colOff>9525</xdr:colOff>
      <xdr:row>351</xdr:row>
      <xdr:rowOff>19050</xdr:rowOff>
    </xdr:from>
    <xdr:to>
      <xdr:col>24</xdr:col>
      <xdr:colOff>47625</xdr:colOff>
      <xdr:row>351</xdr:row>
      <xdr:rowOff>142875</xdr:rowOff>
    </xdr:to>
    <xdr:pic>
      <xdr:nvPicPr>
        <xdr:cNvPr id="1416"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549116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66675</xdr:colOff>
      <xdr:row>347</xdr:row>
      <xdr:rowOff>19050</xdr:rowOff>
    </xdr:from>
    <xdr:to>
      <xdr:col>26</xdr:col>
      <xdr:colOff>9524</xdr:colOff>
      <xdr:row>347</xdr:row>
      <xdr:rowOff>142875</xdr:rowOff>
    </xdr:to>
    <xdr:pic>
      <xdr:nvPicPr>
        <xdr:cNvPr id="951"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81975" y="538448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66675</xdr:colOff>
      <xdr:row>348</xdr:row>
      <xdr:rowOff>19050</xdr:rowOff>
    </xdr:from>
    <xdr:to>
      <xdr:col>26</xdr:col>
      <xdr:colOff>9524</xdr:colOff>
      <xdr:row>348</xdr:row>
      <xdr:rowOff>142875</xdr:rowOff>
    </xdr:to>
    <xdr:pic>
      <xdr:nvPicPr>
        <xdr:cNvPr id="952"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81975" y="539972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490</xdr:row>
      <xdr:rowOff>19050</xdr:rowOff>
    </xdr:from>
    <xdr:ext cx="819914" cy="121920"/>
    <xdr:pic>
      <xdr:nvPicPr>
        <xdr:cNvPr id="1146" name="Imagen 1145"/>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7343775" y="73218675"/>
          <a:ext cx="819914" cy="121920"/>
        </a:xfrm>
        <a:prstGeom prst="rect">
          <a:avLst/>
        </a:prstGeom>
      </xdr:spPr>
    </xdr:pic>
    <xdr:clientData/>
  </xdr:oneCellAnchor>
  <xdr:twoCellAnchor editAs="oneCell">
    <xdr:from>
      <xdr:col>6</xdr:col>
      <xdr:colOff>9525</xdr:colOff>
      <xdr:row>607</xdr:row>
      <xdr:rowOff>19050</xdr:rowOff>
    </xdr:from>
    <xdr:to>
      <xdr:col>10</xdr:col>
      <xdr:colOff>1</xdr:colOff>
      <xdr:row>607</xdr:row>
      <xdr:rowOff>142875</xdr:rowOff>
    </xdr:to>
    <xdr:pic>
      <xdr:nvPicPr>
        <xdr:cNvPr id="954"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918495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608</xdr:row>
      <xdr:rowOff>19050</xdr:rowOff>
    </xdr:from>
    <xdr:to>
      <xdr:col>10</xdr:col>
      <xdr:colOff>1</xdr:colOff>
      <xdr:row>608</xdr:row>
      <xdr:rowOff>142875</xdr:rowOff>
    </xdr:to>
    <xdr:pic>
      <xdr:nvPicPr>
        <xdr:cNvPr id="1129"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920019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609</xdr:row>
      <xdr:rowOff>19050</xdr:rowOff>
    </xdr:from>
    <xdr:to>
      <xdr:col>10</xdr:col>
      <xdr:colOff>1</xdr:colOff>
      <xdr:row>609</xdr:row>
      <xdr:rowOff>142875</xdr:rowOff>
    </xdr:to>
    <xdr:pic>
      <xdr:nvPicPr>
        <xdr:cNvPr id="1193"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921543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610</xdr:row>
      <xdr:rowOff>19050</xdr:rowOff>
    </xdr:from>
    <xdr:to>
      <xdr:col>10</xdr:col>
      <xdr:colOff>1</xdr:colOff>
      <xdr:row>610</xdr:row>
      <xdr:rowOff>142875</xdr:rowOff>
    </xdr:to>
    <xdr:pic>
      <xdr:nvPicPr>
        <xdr:cNvPr id="1268"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676650" y="93325950"/>
          <a:ext cx="819151"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463</xdr:row>
      <xdr:rowOff>19050</xdr:rowOff>
    </xdr:from>
    <xdr:ext cx="847346" cy="121920"/>
    <xdr:pic>
      <xdr:nvPicPr>
        <xdr:cNvPr id="1309" name="Imagen 1308"/>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71113650"/>
          <a:ext cx="847346" cy="121920"/>
        </a:xfrm>
        <a:prstGeom prst="rect">
          <a:avLst/>
        </a:prstGeom>
      </xdr:spPr>
    </xdr:pic>
    <xdr:clientData/>
  </xdr:oneCellAnchor>
  <xdr:oneCellAnchor>
    <xdr:from>
      <xdr:col>23</xdr:col>
      <xdr:colOff>9525</xdr:colOff>
      <xdr:row>464</xdr:row>
      <xdr:rowOff>19050</xdr:rowOff>
    </xdr:from>
    <xdr:ext cx="847346" cy="121920"/>
    <xdr:pic>
      <xdr:nvPicPr>
        <xdr:cNvPr id="1310" name="Imagen 1309"/>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71266050"/>
          <a:ext cx="847346" cy="121920"/>
        </a:xfrm>
        <a:prstGeom prst="rect">
          <a:avLst/>
        </a:prstGeom>
      </xdr:spPr>
    </xdr:pic>
    <xdr:clientData/>
  </xdr:oneCellAnchor>
  <xdr:oneCellAnchor>
    <xdr:from>
      <xdr:col>23</xdr:col>
      <xdr:colOff>9525</xdr:colOff>
      <xdr:row>466</xdr:row>
      <xdr:rowOff>19050</xdr:rowOff>
    </xdr:from>
    <xdr:ext cx="847346" cy="121920"/>
    <xdr:pic>
      <xdr:nvPicPr>
        <xdr:cNvPr id="1311" name="Imagen 1310"/>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71570850"/>
          <a:ext cx="847346" cy="121920"/>
        </a:xfrm>
        <a:prstGeom prst="rect">
          <a:avLst/>
        </a:prstGeom>
      </xdr:spPr>
    </xdr:pic>
    <xdr:clientData/>
  </xdr:oneCellAnchor>
  <xdr:oneCellAnchor>
    <xdr:from>
      <xdr:col>23</xdr:col>
      <xdr:colOff>9525</xdr:colOff>
      <xdr:row>467</xdr:row>
      <xdr:rowOff>19050</xdr:rowOff>
    </xdr:from>
    <xdr:ext cx="847346" cy="121920"/>
    <xdr:pic>
      <xdr:nvPicPr>
        <xdr:cNvPr id="1330" name="Imagen 1329"/>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71723250"/>
          <a:ext cx="847346" cy="121920"/>
        </a:xfrm>
        <a:prstGeom prst="rect">
          <a:avLst/>
        </a:prstGeom>
      </xdr:spPr>
    </xdr:pic>
    <xdr:clientData/>
  </xdr:oneCellAnchor>
  <xdr:oneCellAnchor>
    <xdr:from>
      <xdr:col>23</xdr:col>
      <xdr:colOff>9525</xdr:colOff>
      <xdr:row>451</xdr:row>
      <xdr:rowOff>19050</xdr:rowOff>
    </xdr:from>
    <xdr:ext cx="847346" cy="121920"/>
    <xdr:pic>
      <xdr:nvPicPr>
        <xdr:cNvPr id="1372" name="Imagen 1371"/>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68827650"/>
          <a:ext cx="847346" cy="121920"/>
        </a:xfrm>
        <a:prstGeom prst="rect">
          <a:avLst/>
        </a:prstGeom>
      </xdr:spPr>
    </xdr:pic>
    <xdr:clientData/>
  </xdr:oneCellAnchor>
  <xdr:oneCellAnchor>
    <xdr:from>
      <xdr:col>23</xdr:col>
      <xdr:colOff>9525</xdr:colOff>
      <xdr:row>452</xdr:row>
      <xdr:rowOff>19050</xdr:rowOff>
    </xdr:from>
    <xdr:ext cx="847346" cy="121920"/>
    <xdr:pic>
      <xdr:nvPicPr>
        <xdr:cNvPr id="1373" name="Imagen 1372"/>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68980050"/>
          <a:ext cx="847346" cy="121920"/>
        </a:xfrm>
        <a:prstGeom prst="rect">
          <a:avLst/>
        </a:prstGeom>
      </xdr:spPr>
    </xdr:pic>
    <xdr:clientData/>
  </xdr:oneCellAnchor>
  <xdr:oneCellAnchor>
    <xdr:from>
      <xdr:col>23</xdr:col>
      <xdr:colOff>9525</xdr:colOff>
      <xdr:row>453</xdr:row>
      <xdr:rowOff>19050</xdr:rowOff>
    </xdr:from>
    <xdr:ext cx="847346" cy="121920"/>
    <xdr:pic>
      <xdr:nvPicPr>
        <xdr:cNvPr id="1384" name="Imagen 1383"/>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69132450"/>
          <a:ext cx="847346" cy="121920"/>
        </a:xfrm>
        <a:prstGeom prst="rect">
          <a:avLst/>
        </a:prstGeom>
      </xdr:spPr>
    </xdr:pic>
    <xdr:clientData/>
  </xdr:oneCellAnchor>
  <xdr:oneCellAnchor>
    <xdr:from>
      <xdr:col>23</xdr:col>
      <xdr:colOff>9525</xdr:colOff>
      <xdr:row>454</xdr:row>
      <xdr:rowOff>19050</xdr:rowOff>
    </xdr:from>
    <xdr:ext cx="847346" cy="121920"/>
    <xdr:pic>
      <xdr:nvPicPr>
        <xdr:cNvPr id="1385" name="Imagen 1384"/>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69284850"/>
          <a:ext cx="847346" cy="121920"/>
        </a:xfrm>
        <a:prstGeom prst="rect">
          <a:avLst/>
        </a:prstGeom>
      </xdr:spPr>
    </xdr:pic>
    <xdr:clientData/>
  </xdr:oneCellAnchor>
  <xdr:oneCellAnchor>
    <xdr:from>
      <xdr:col>23</xdr:col>
      <xdr:colOff>9525</xdr:colOff>
      <xdr:row>455</xdr:row>
      <xdr:rowOff>19050</xdr:rowOff>
    </xdr:from>
    <xdr:ext cx="847346" cy="121920"/>
    <xdr:pic>
      <xdr:nvPicPr>
        <xdr:cNvPr id="1420" name="Imagen 1419"/>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69437250"/>
          <a:ext cx="847346" cy="121920"/>
        </a:xfrm>
        <a:prstGeom prst="rect">
          <a:avLst/>
        </a:prstGeom>
      </xdr:spPr>
    </xdr:pic>
    <xdr:clientData/>
  </xdr:oneCellAnchor>
  <xdr:oneCellAnchor>
    <xdr:from>
      <xdr:col>23</xdr:col>
      <xdr:colOff>9525</xdr:colOff>
      <xdr:row>456</xdr:row>
      <xdr:rowOff>19050</xdr:rowOff>
    </xdr:from>
    <xdr:ext cx="847346" cy="121920"/>
    <xdr:pic>
      <xdr:nvPicPr>
        <xdr:cNvPr id="1422" name="Imagen 1421"/>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69589650"/>
          <a:ext cx="847346" cy="121920"/>
        </a:xfrm>
        <a:prstGeom prst="rect">
          <a:avLst/>
        </a:prstGeom>
      </xdr:spPr>
    </xdr:pic>
    <xdr:clientData/>
  </xdr:oneCellAnchor>
  <xdr:oneCellAnchor>
    <xdr:from>
      <xdr:col>23</xdr:col>
      <xdr:colOff>9525</xdr:colOff>
      <xdr:row>541</xdr:row>
      <xdr:rowOff>19050</xdr:rowOff>
    </xdr:from>
    <xdr:ext cx="847346" cy="121920"/>
    <xdr:pic>
      <xdr:nvPicPr>
        <xdr:cNvPr id="1421" name="Imagen 1420"/>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80562450"/>
          <a:ext cx="847346" cy="121920"/>
        </a:xfrm>
        <a:prstGeom prst="rect">
          <a:avLst/>
        </a:prstGeom>
      </xdr:spPr>
    </xdr:pic>
    <xdr:clientData/>
  </xdr:oneCellAnchor>
  <xdr:oneCellAnchor>
    <xdr:from>
      <xdr:col>0</xdr:col>
      <xdr:colOff>0</xdr:colOff>
      <xdr:row>179</xdr:row>
      <xdr:rowOff>28575</xdr:rowOff>
    </xdr:from>
    <xdr:ext cx="342900" cy="104775"/>
    <xdr:pic>
      <xdr:nvPicPr>
        <xdr:cNvPr id="1426" name="272 Imagen" descr="nuevo icono.png">
          <a:extLst>
            <a:ext uri="{FF2B5EF4-FFF2-40B4-BE49-F238E27FC236}">
              <a16:creationId xmlns:a16="http://schemas.microsoft.com/office/drawing/2014/main" id="{43FCA153-6F88-4646-8CD4-020136CF3730}"/>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283178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179</xdr:row>
      <xdr:rowOff>19050</xdr:rowOff>
    </xdr:from>
    <xdr:to>
      <xdr:col>24</xdr:col>
      <xdr:colOff>47625</xdr:colOff>
      <xdr:row>179</xdr:row>
      <xdr:rowOff>142875</xdr:rowOff>
    </xdr:to>
    <xdr:pic>
      <xdr:nvPicPr>
        <xdr:cNvPr id="1427"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28308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180</xdr:row>
      <xdr:rowOff>28575</xdr:rowOff>
    </xdr:from>
    <xdr:ext cx="342900" cy="104775"/>
    <xdr:pic>
      <xdr:nvPicPr>
        <xdr:cNvPr id="1428" name="272 Imagen" descr="nuevo icono.png">
          <a:extLst>
            <a:ext uri="{FF2B5EF4-FFF2-40B4-BE49-F238E27FC236}">
              <a16:creationId xmlns:a16="http://schemas.microsoft.com/office/drawing/2014/main" id="{43FCA153-6F88-4646-8CD4-020136CF3730}"/>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283178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180</xdr:row>
      <xdr:rowOff>19050</xdr:rowOff>
    </xdr:from>
    <xdr:ext cx="819150" cy="123825"/>
    <xdr:pic>
      <xdr:nvPicPr>
        <xdr:cNvPr id="1429"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28308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181</xdr:row>
      <xdr:rowOff>28575</xdr:rowOff>
    </xdr:from>
    <xdr:ext cx="342900" cy="104775"/>
    <xdr:pic>
      <xdr:nvPicPr>
        <xdr:cNvPr id="1430" name="272 Imagen" descr="nuevo icono.png">
          <a:extLst>
            <a:ext uri="{FF2B5EF4-FFF2-40B4-BE49-F238E27FC236}">
              <a16:creationId xmlns:a16="http://schemas.microsoft.com/office/drawing/2014/main" id="{43FCA153-6F88-4646-8CD4-020136CF3730}"/>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284702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181</xdr:row>
      <xdr:rowOff>19050</xdr:rowOff>
    </xdr:from>
    <xdr:ext cx="819150" cy="123825"/>
    <xdr:pic>
      <xdr:nvPicPr>
        <xdr:cNvPr id="1431"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284607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184</xdr:row>
      <xdr:rowOff>28575</xdr:rowOff>
    </xdr:from>
    <xdr:ext cx="342900" cy="104775"/>
    <xdr:pic>
      <xdr:nvPicPr>
        <xdr:cNvPr id="1432" name="272 Imagen" descr="nuevo icono.png">
          <a:extLst>
            <a:ext uri="{FF2B5EF4-FFF2-40B4-BE49-F238E27FC236}">
              <a16:creationId xmlns:a16="http://schemas.microsoft.com/office/drawing/2014/main" id="{43FCA153-6F88-4646-8CD4-020136CF3730}"/>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286226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184</xdr:row>
      <xdr:rowOff>19050</xdr:rowOff>
    </xdr:from>
    <xdr:ext cx="819150" cy="123825"/>
    <xdr:pic>
      <xdr:nvPicPr>
        <xdr:cNvPr id="1433"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286131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24</xdr:col>
      <xdr:colOff>66675</xdr:colOff>
      <xdr:row>184</xdr:row>
      <xdr:rowOff>19050</xdr:rowOff>
    </xdr:from>
    <xdr:to>
      <xdr:col>26</xdr:col>
      <xdr:colOff>9524</xdr:colOff>
      <xdr:row>184</xdr:row>
      <xdr:rowOff>142875</xdr:rowOff>
    </xdr:to>
    <xdr:pic>
      <xdr:nvPicPr>
        <xdr:cNvPr id="1434" name="786 Imagen" descr="hasta 16 icono.png">
          <a:extLst>
            <a:ext uri="{FF2B5EF4-FFF2-40B4-BE49-F238E27FC236}">
              <a16:creationId xmlns:a16="http://schemas.microsoft.com/office/drawing/2014/main" id="{C7DA5D71-6A9E-47E3-8039-AB1076C05473}"/>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8181975" y="287655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182</xdr:row>
      <xdr:rowOff>28575</xdr:rowOff>
    </xdr:from>
    <xdr:ext cx="342900" cy="104775"/>
    <xdr:pic>
      <xdr:nvPicPr>
        <xdr:cNvPr id="1437" name="272 Imagen" descr="nuevo icono.png">
          <a:extLst>
            <a:ext uri="{FF2B5EF4-FFF2-40B4-BE49-F238E27FC236}">
              <a16:creationId xmlns:a16="http://schemas.microsoft.com/office/drawing/2014/main" id="{43FCA153-6F88-4646-8CD4-020136CF3730}"/>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286226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182</xdr:row>
      <xdr:rowOff>19050</xdr:rowOff>
    </xdr:from>
    <xdr:ext cx="819150" cy="123825"/>
    <xdr:pic>
      <xdr:nvPicPr>
        <xdr:cNvPr id="1438"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286131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183</xdr:row>
      <xdr:rowOff>28575</xdr:rowOff>
    </xdr:from>
    <xdr:ext cx="342900" cy="104775"/>
    <xdr:pic>
      <xdr:nvPicPr>
        <xdr:cNvPr id="1286" name="272 Imagen" descr="nuevo icono.png">
          <a:extLst>
            <a:ext uri="{FF2B5EF4-FFF2-40B4-BE49-F238E27FC236}">
              <a16:creationId xmlns:a16="http://schemas.microsoft.com/office/drawing/2014/main" id="{43FCA153-6F88-4646-8CD4-020136CF3730}"/>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290798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183</xdr:row>
      <xdr:rowOff>19050</xdr:rowOff>
    </xdr:from>
    <xdr:ext cx="819150" cy="123825"/>
    <xdr:pic>
      <xdr:nvPicPr>
        <xdr:cNvPr id="1292"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29070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492</xdr:row>
      <xdr:rowOff>19050</xdr:rowOff>
    </xdr:from>
    <xdr:ext cx="819914" cy="121920"/>
    <xdr:pic>
      <xdr:nvPicPr>
        <xdr:cNvPr id="1425" name="Imagen 1424"/>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7343775" y="74133075"/>
          <a:ext cx="819914" cy="121920"/>
        </a:xfrm>
        <a:prstGeom prst="rect">
          <a:avLst/>
        </a:prstGeom>
      </xdr:spPr>
    </xdr:pic>
    <xdr:clientData/>
  </xdr:oneCellAnchor>
  <xdr:twoCellAnchor editAs="oneCell">
    <xdr:from>
      <xdr:col>23</xdr:col>
      <xdr:colOff>9525</xdr:colOff>
      <xdr:row>160</xdr:row>
      <xdr:rowOff>19050</xdr:rowOff>
    </xdr:from>
    <xdr:to>
      <xdr:col>24</xdr:col>
      <xdr:colOff>47625</xdr:colOff>
      <xdr:row>160</xdr:row>
      <xdr:rowOff>142875</xdr:rowOff>
    </xdr:to>
    <xdr:pic>
      <xdr:nvPicPr>
        <xdr:cNvPr id="1436"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25260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256</xdr:row>
      <xdr:rowOff>19050</xdr:rowOff>
    </xdr:from>
    <xdr:ext cx="819150" cy="123825"/>
    <xdr:pic>
      <xdr:nvPicPr>
        <xdr:cNvPr id="1283" name="644 Imagen" descr="seri icono.png">
          <a:extLst>
            <a:ext uri="{FF2B5EF4-FFF2-40B4-BE49-F238E27FC236}">
              <a16:creationId xmlns:a16="http://schemas.microsoft.com/office/drawing/2014/main" id="{40E98DEB-CF6F-461C-8332-16587C866D04}"/>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6943725" y="393192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66675</xdr:colOff>
      <xdr:row>256</xdr:row>
      <xdr:rowOff>19050</xdr:rowOff>
    </xdr:from>
    <xdr:ext cx="819150" cy="123825"/>
    <xdr:pic>
      <xdr:nvPicPr>
        <xdr:cNvPr id="1285"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781925" y="393192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244</xdr:row>
      <xdr:rowOff>19050</xdr:rowOff>
    </xdr:from>
    <xdr:to>
      <xdr:col>24</xdr:col>
      <xdr:colOff>47624</xdr:colOff>
      <xdr:row>244</xdr:row>
      <xdr:rowOff>142875</xdr:rowOff>
    </xdr:to>
    <xdr:pic>
      <xdr:nvPicPr>
        <xdr:cNvPr id="1398"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37785675"/>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406</xdr:row>
      <xdr:rowOff>19050</xdr:rowOff>
    </xdr:from>
    <xdr:ext cx="819150" cy="125505"/>
    <xdr:pic>
      <xdr:nvPicPr>
        <xdr:cNvPr id="1424" name="518 Imagen" descr="laser fibra icono.png">
          <a:extLst>
            <a:ext uri="{FF2B5EF4-FFF2-40B4-BE49-F238E27FC236}">
              <a16:creationId xmlns:a16="http://schemas.microsoft.com/office/drawing/2014/main" id="{C58AC47F-3796-4DCF-A9B1-365E2E449AB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34250" y="63036450"/>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258</xdr:row>
      <xdr:rowOff>19050</xdr:rowOff>
    </xdr:from>
    <xdr:ext cx="819150" cy="123825"/>
    <xdr:pic>
      <xdr:nvPicPr>
        <xdr:cNvPr id="1036" name="644 Imagen" descr="seri icono.png">
          <a:extLst>
            <a:ext uri="{FF2B5EF4-FFF2-40B4-BE49-F238E27FC236}">
              <a16:creationId xmlns:a16="http://schemas.microsoft.com/office/drawing/2014/main" id="{40E98DEB-CF6F-461C-8332-16587C866D04}"/>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34250" y="390144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66675</xdr:colOff>
      <xdr:row>258</xdr:row>
      <xdr:rowOff>19050</xdr:rowOff>
    </xdr:from>
    <xdr:ext cx="819150" cy="123825"/>
    <xdr:pic>
      <xdr:nvPicPr>
        <xdr:cNvPr id="1168"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72450" y="390144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76200</xdr:colOff>
      <xdr:row>282</xdr:row>
      <xdr:rowOff>19050</xdr:rowOff>
    </xdr:from>
    <xdr:ext cx="502920" cy="121920"/>
    <xdr:pic>
      <xdr:nvPicPr>
        <xdr:cNvPr id="1443" name="Imagen 1442"/>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81975" y="43129200"/>
          <a:ext cx="502920" cy="121920"/>
        </a:xfrm>
        <a:prstGeom prst="rect">
          <a:avLst/>
        </a:prstGeom>
      </xdr:spPr>
    </xdr:pic>
    <xdr:clientData/>
  </xdr:oneCellAnchor>
  <xdr:oneCellAnchor>
    <xdr:from>
      <xdr:col>23</xdr:col>
      <xdr:colOff>9525</xdr:colOff>
      <xdr:row>60</xdr:row>
      <xdr:rowOff>19050</xdr:rowOff>
    </xdr:from>
    <xdr:ext cx="819150" cy="123825"/>
    <xdr:pic>
      <xdr:nvPicPr>
        <xdr:cNvPr id="1261" name="923 Imagen" descr="seri icono.png">
          <a:extLst>
            <a:ext uri="{FF2B5EF4-FFF2-40B4-BE49-F238E27FC236}">
              <a16:creationId xmlns:a16="http://schemas.microsoft.com/office/drawing/2014/main" id="{C3A9516D-C078-4003-B87E-2EAA6E62EB8D}"/>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53300" y="97536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60</xdr:row>
      <xdr:rowOff>19050</xdr:rowOff>
    </xdr:from>
    <xdr:ext cx="819150" cy="123825"/>
    <xdr:pic>
      <xdr:nvPicPr>
        <xdr:cNvPr id="1294" name="924 Imagen" descr="seri icono.png">
          <a:extLst>
            <a:ext uri="{FF2B5EF4-FFF2-40B4-BE49-F238E27FC236}">
              <a16:creationId xmlns:a16="http://schemas.microsoft.com/office/drawing/2014/main" id="{D9C0E8C5-2563-4D54-94CE-0BAFABFDD8C3}"/>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53300" y="97536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391</xdr:row>
      <xdr:rowOff>19050</xdr:rowOff>
    </xdr:from>
    <xdr:to>
      <xdr:col>24</xdr:col>
      <xdr:colOff>47625</xdr:colOff>
      <xdr:row>391</xdr:row>
      <xdr:rowOff>142875</xdr:rowOff>
    </xdr:to>
    <xdr:pic>
      <xdr:nvPicPr>
        <xdr:cNvPr id="1452" name="306 Imagen" descr="laser icono.png">
          <a:extLst>
            <a:ext uri="{FF2B5EF4-FFF2-40B4-BE49-F238E27FC236}">
              <a16:creationId xmlns:a16="http://schemas.microsoft.com/office/drawing/2014/main" id="{154362FE-74D2-4FE9-BCA8-1BFDFA4EB7AA}"/>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53300" y="6227445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508</xdr:row>
      <xdr:rowOff>19050</xdr:rowOff>
    </xdr:from>
    <xdr:to>
      <xdr:col>24</xdr:col>
      <xdr:colOff>47625</xdr:colOff>
      <xdr:row>508</xdr:row>
      <xdr:rowOff>144555</xdr:rowOff>
    </xdr:to>
    <xdr:pic>
      <xdr:nvPicPr>
        <xdr:cNvPr id="1110" name="413 Imagen" descr="subli 4 g icono.png">
          <a:extLst>
            <a:ext uri="{FF2B5EF4-FFF2-40B4-BE49-F238E27FC236}">
              <a16:creationId xmlns:a16="http://schemas.microsoft.com/office/drawing/2014/main" id="{AC7C27E5-1860-4C58-91E4-3842F0D99D93}"/>
            </a:ext>
          </a:extLst>
        </xdr:cNvPr>
        <xdr:cNvPicPr>
          <a:picLocks noChangeAspect="1"/>
        </xdr:cNvPicPr>
      </xdr:nvPicPr>
      <xdr:blipFill>
        <a:blip xmlns:r="http://schemas.openxmlformats.org/officeDocument/2006/relationships" r:embed="rId60"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7353300" y="7681912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505</xdr:row>
      <xdr:rowOff>19050</xdr:rowOff>
    </xdr:from>
    <xdr:to>
      <xdr:col>24</xdr:col>
      <xdr:colOff>47625</xdr:colOff>
      <xdr:row>505</xdr:row>
      <xdr:rowOff>144555</xdr:rowOff>
    </xdr:to>
    <xdr:pic>
      <xdr:nvPicPr>
        <xdr:cNvPr id="1453" name="413 Imagen" descr="subli 4 g icono.png">
          <a:extLst>
            <a:ext uri="{FF2B5EF4-FFF2-40B4-BE49-F238E27FC236}">
              <a16:creationId xmlns:a16="http://schemas.microsoft.com/office/drawing/2014/main" id="{AC7C27E5-1860-4C58-91E4-3842F0D99D93}"/>
            </a:ext>
          </a:extLst>
        </xdr:cNvPr>
        <xdr:cNvPicPr>
          <a:picLocks noChangeAspect="1"/>
        </xdr:cNvPicPr>
      </xdr:nvPicPr>
      <xdr:blipFill>
        <a:blip xmlns:r="http://schemas.openxmlformats.org/officeDocument/2006/relationships" r:embed="rId60"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7353300" y="7620952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506</xdr:row>
      <xdr:rowOff>19050</xdr:rowOff>
    </xdr:from>
    <xdr:to>
      <xdr:col>24</xdr:col>
      <xdr:colOff>47625</xdr:colOff>
      <xdr:row>506</xdr:row>
      <xdr:rowOff>144555</xdr:rowOff>
    </xdr:to>
    <xdr:pic>
      <xdr:nvPicPr>
        <xdr:cNvPr id="1454" name="413 Imagen" descr="subli 4 g icono.png">
          <a:extLst>
            <a:ext uri="{FF2B5EF4-FFF2-40B4-BE49-F238E27FC236}">
              <a16:creationId xmlns:a16="http://schemas.microsoft.com/office/drawing/2014/main" id="{AC7C27E5-1860-4C58-91E4-3842F0D99D93}"/>
            </a:ext>
          </a:extLst>
        </xdr:cNvPr>
        <xdr:cNvPicPr>
          <a:picLocks noChangeAspect="1"/>
        </xdr:cNvPicPr>
      </xdr:nvPicPr>
      <xdr:blipFill>
        <a:blip xmlns:r="http://schemas.openxmlformats.org/officeDocument/2006/relationships" r:embed="rId60"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7353300" y="7636192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501</xdr:row>
      <xdr:rowOff>19050</xdr:rowOff>
    </xdr:from>
    <xdr:to>
      <xdr:col>24</xdr:col>
      <xdr:colOff>47625</xdr:colOff>
      <xdr:row>501</xdr:row>
      <xdr:rowOff>144555</xdr:rowOff>
    </xdr:to>
    <xdr:pic>
      <xdr:nvPicPr>
        <xdr:cNvPr id="1455" name="413 Imagen" descr="subli 4 g icono.png">
          <a:extLst>
            <a:ext uri="{FF2B5EF4-FFF2-40B4-BE49-F238E27FC236}">
              <a16:creationId xmlns:a16="http://schemas.microsoft.com/office/drawing/2014/main" id="{AC7C27E5-1860-4C58-91E4-3842F0D99D93}"/>
            </a:ext>
          </a:extLst>
        </xdr:cNvPr>
        <xdr:cNvPicPr>
          <a:picLocks noChangeAspect="1"/>
        </xdr:cNvPicPr>
      </xdr:nvPicPr>
      <xdr:blipFill>
        <a:blip xmlns:r="http://schemas.openxmlformats.org/officeDocument/2006/relationships" r:embed="rId60"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7353300" y="7590472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491</xdr:row>
      <xdr:rowOff>19050</xdr:rowOff>
    </xdr:from>
    <xdr:to>
      <xdr:col>24</xdr:col>
      <xdr:colOff>47625</xdr:colOff>
      <xdr:row>491</xdr:row>
      <xdr:rowOff>144555</xdr:rowOff>
    </xdr:to>
    <xdr:pic>
      <xdr:nvPicPr>
        <xdr:cNvPr id="1457" name="413 Imagen" descr="subli 4 g icono.png">
          <a:extLst>
            <a:ext uri="{FF2B5EF4-FFF2-40B4-BE49-F238E27FC236}">
              <a16:creationId xmlns:a16="http://schemas.microsoft.com/office/drawing/2014/main" id="{AC7C27E5-1860-4C58-91E4-3842F0D99D93}"/>
            </a:ext>
          </a:extLst>
        </xdr:cNvPr>
        <xdr:cNvPicPr>
          <a:picLocks noChangeAspect="1"/>
        </xdr:cNvPicPr>
      </xdr:nvPicPr>
      <xdr:blipFill>
        <a:blip xmlns:r="http://schemas.openxmlformats.org/officeDocument/2006/relationships" r:embed="rId60"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7353300" y="7438072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489</xdr:row>
      <xdr:rowOff>19050</xdr:rowOff>
    </xdr:from>
    <xdr:to>
      <xdr:col>24</xdr:col>
      <xdr:colOff>47625</xdr:colOff>
      <xdr:row>489</xdr:row>
      <xdr:rowOff>144555</xdr:rowOff>
    </xdr:to>
    <xdr:pic>
      <xdr:nvPicPr>
        <xdr:cNvPr id="1458" name="413 Imagen" descr="subli 4 g icono.png">
          <a:extLst>
            <a:ext uri="{FF2B5EF4-FFF2-40B4-BE49-F238E27FC236}">
              <a16:creationId xmlns:a16="http://schemas.microsoft.com/office/drawing/2014/main" id="{AC7C27E5-1860-4C58-91E4-3842F0D99D93}"/>
            </a:ext>
          </a:extLst>
        </xdr:cNvPr>
        <xdr:cNvPicPr>
          <a:picLocks noChangeAspect="1"/>
        </xdr:cNvPicPr>
      </xdr:nvPicPr>
      <xdr:blipFill>
        <a:blip xmlns:r="http://schemas.openxmlformats.org/officeDocument/2006/relationships" r:embed="rId60"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7353300" y="7407592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537</xdr:row>
      <xdr:rowOff>19050</xdr:rowOff>
    </xdr:from>
    <xdr:ext cx="847346" cy="121920"/>
    <xdr:pic>
      <xdr:nvPicPr>
        <xdr:cNvPr id="1030" name="Imagen 1029"/>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81314925"/>
          <a:ext cx="847346" cy="121920"/>
        </a:xfrm>
        <a:prstGeom prst="rect">
          <a:avLst/>
        </a:prstGeom>
      </xdr:spPr>
    </xdr:pic>
    <xdr:clientData/>
  </xdr:oneCellAnchor>
  <xdr:oneCellAnchor>
    <xdr:from>
      <xdr:col>24</xdr:col>
      <xdr:colOff>76200</xdr:colOff>
      <xdr:row>299</xdr:row>
      <xdr:rowOff>19050</xdr:rowOff>
    </xdr:from>
    <xdr:ext cx="502920" cy="121920"/>
    <xdr:pic>
      <xdr:nvPicPr>
        <xdr:cNvPr id="1464" name="Imagen 1463"/>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91500" y="46177200"/>
          <a:ext cx="502920" cy="121920"/>
        </a:xfrm>
        <a:prstGeom prst="rect">
          <a:avLst/>
        </a:prstGeom>
      </xdr:spPr>
    </xdr:pic>
    <xdr:clientData/>
  </xdr:oneCellAnchor>
  <xdr:oneCellAnchor>
    <xdr:from>
      <xdr:col>23</xdr:col>
      <xdr:colOff>9525</xdr:colOff>
      <xdr:row>299</xdr:row>
      <xdr:rowOff>19050</xdr:rowOff>
    </xdr:from>
    <xdr:ext cx="828675" cy="123825"/>
    <xdr:pic>
      <xdr:nvPicPr>
        <xdr:cNvPr id="1465" name="589 Imagen" descr="laser fibra icono.png">
          <a:extLst>
            <a:ext uri="{FF2B5EF4-FFF2-40B4-BE49-F238E27FC236}">
              <a16:creationId xmlns:a16="http://schemas.microsoft.com/office/drawing/2014/main" id="{F93AC8A6-CC1B-40DD-A8E3-6CDEB7A13BCC}"/>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7334250" y="46015275"/>
          <a:ext cx="8286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409</xdr:row>
      <xdr:rowOff>19050</xdr:rowOff>
    </xdr:from>
    <xdr:ext cx="819150" cy="123825"/>
    <xdr:pic>
      <xdr:nvPicPr>
        <xdr:cNvPr id="1335"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6364605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164</xdr:row>
      <xdr:rowOff>19050</xdr:rowOff>
    </xdr:from>
    <xdr:to>
      <xdr:col>24</xdr:col>
      <xdr:colOff>47625</xdr:colOff>
      <xdr:row>164</xdr:row>
      <xdr:rowOff>142875</xdr:rowOff>
    </xdr:to>
    <xdr:pic>
      <xdr:nvPicPr>
        <xdr:cNvPr id="1118"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26022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166</xdr:row>
      <xdr:rowOff>19050</xdr:rowOff>
    </xdr:from>
    <xdr:to>
      <xdr:col>24</xdr:col>
      <xdr:colOff>47625</xdr:colOff>
      <xdr:row>166</xdr:row>
      <xdr:rowOff>142875</xdr:rowOff>
    </xdr:to>
    <xdr:pic>
      <xdr:nvPicPr>
        <xdr:cNvPr id="1149" name="799 Imagen" descr="laser fibra icono.png">
          <a:extLst>
            <a:ext uri="{FF2B5EF4-FFF2-40B4-BE49-F238E27FC236}">
              <a16:creationId xmlns:a16="http://schemas.microsoft.com/office/drawing/2014/main" id="{EDD32002-13BF-4860-8699-927BE304514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53300" y="263271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165</xdr:row>
      <xdr:rowOff>19050</xdr:rowOff>
    </xdr:from>
    <xdr:to>
      <xdr:col>24</xdr:col>
      <xdr:colOff>47625</xdr:colOff>
      <xdr:row>165</xdr:row>
      <xdr:rowOff>142875</xdr:rowOff>
    </xdr:to>
    <xdr:pic>
      <xdr:nvPicPr>
        <xdr:cNvPr id="1444" name="785 Imagen" descr="laser icono.png">
          <a:extLst>
            <a:ext uri="{FF2B5EF4-FFF2-40B4-BE49-F238E27FC236}">
              <a16:creationId xmlns:a16="http://schemas.microsoft.com/office/drawing/2014/main" id="{5A1933A6-AD38-4DDD-AC59-E1FEB0641BDE}"/>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53300" y="261747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170</xdr:row>
      <xdr:rowOff>19050</xdr:rowOff>
    </xdr:from>
    <xdr:to>
      <xdr:col>24</xdr:col>
      <xdr:colOff>47625</xdr:colOff>
      <xdr:row>170</xdr:row>
      <xdr:rowOff>142875</xdr:rowOff>
    </xdr:to>
    <xdr:pic>
      <xdr:nvPicPr>
        <xdr:cNvPr id="1446"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269367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173</xdr:row>
      <xdr:rowOff>28575</xdr:rowOff>
    </xdr:from>
    <xdr:ext cx="342900" cy="104775"/>
    <xdr:pic>
      <xdr:nvPicPr>
        <xdr:cNvPr id="1466" name="272 Imagen" descr="nuevo icono.png">
          <a:extLst>
            <a:ext uri="{FF2B5EF4-FFF2-40B4-BE49-F238E27FC236}">
              <a16:creationId xmlns:a16="http://schemas.microsoft.com/office/drawing/2014/main" id="{43FCA153-6F88-4646-8CD4-020136CF3730}"/>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274034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173</xdr:row>
      <xdr:rowOff>19050</xdr:rowOff>
    </xdr:from>
    <xdr:to>
      <xdr:col>24</xdr:col>
      <xdr:colOff>47625</xdr:colOff>
      <xdr:row>173</xdr:row>
      <xdr:rowOff>142875</xdr:rowOff>
    </xdr:to>
    <xdr:pic>
      <xdr:nvPicPr>
        <xdr:cNvPr id="1467" name="798 Imagen" descr="laser un lado icono.png">
          <a:extLst>
            <a:ext uri="{FF2B5EF4-FFF2-40B4-BE49-F238E27FC236}">
              <a16:creationId xmlns:a16="http://schemas.microsoft.com/office/drawing/2014/main" id="{FEE13A0F-A7C3-4C88-B5E4-92FB9A0A5B63}"/>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7353300" y="273939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172</xdr:row>
      <xdr:rowOff>19050</xdr:rowOff>
    </xdr:from>
    <xdr:to>
      <xdr:col>24</xdr:col>
      <xdr:colOff>47625</xdr:colOff>
      <xdr:row>172</xdr:row>
      <xdr:rowOff>142875</xdr:rowOff>
    </xdr:to>
    <xdr:pic>
      <xdr:nvPicPr>
        <xdr:cNvPr id="1468" name="800 Imagen" descr="laser fibra icono.png">
          <a:extLst>
            <a:ext uri="{FF2B5EF4-FFF2-40B4-BE49-F238E27FC236}">
              <a16:creationId xmlns:a16="http://schemas.microsoft.com/office/drawing/2014/main" id="{0C26C14E-6138-4998-9C48-BA277F11FB23}"/>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53300" y="272415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169</xdr:row>
      <xdr:rowOff>19050</xdr:rowOff>
    </xdr:from>
    <xdr:to>
      <xdr:col>24</xdr:col>
      <xdr:colOff>47625</xdr:colOff>
      <xdr:row>169</xdr:row>
      <xdr:rowOff>142875</xdr:rowOff>
    </xdr:to>
    <xdr:pic>
      <xdr:nvPicPr>
        <xdr:cNvPr id="1469" name="800 Imagen" descr="laser fibra icono.png">
          <a:extLst>
            <a:ext uri="{FF2B5EF4-FFF2-40B4-BE49-F238E27FC236}">
              <a16:creationId xmlns:a16="http://schemas.microsoft.com/office/drawing/2014/main" id="{0C26C14E-6138-4998-9C48-BA277F11FB23}"/>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53300" y="26784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169</xdr:row>
      <xdr:rowOff>28575</xdr:rowOff>
    </xdr:from>
    <xdr:ext cx="342900" cy="104775"/>
    <xdr:pic>
      <xdr:nvPicPr>
        <xdr:cNvPr id="1470" name="272 Imagen" descr="nuevo icono.png">
          <a:extLst>
            <a:ext uri="{FF2B5EF4-FFF2-40B4-BE49-F238E27FC236}">
              <a16:creationId xmlns:a16="http://schemas.microsoft.com/office/drawing/2014/main" id="{43FCA153-6F88-4646-8CD4-020136CF3730}"/>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267938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363</xdr:row>
      <xdr:rowOff>19050</xdr:rowOff>
    </xdr:from>
    <xdr:to>
      <xdr:col>24</xdr:col>
      <xdr:colOff>47625</xdr:colOff>
      <xdr:row>363</xdr:row>
      <xdr:rowOff>142875</xdr:rowOff>
    </xdr:to>
    <xdr:pic>
      <xdr:nvPicPr>
        <xdr:cNvPr id="1323" name="359 Imagen" descr="tampo icono.png">
          <a:extLst>
            <a:ext uri="{FF2B5EF4-FFF2-40B4-BE49-F238E27FC236}">
              <a16:creationId xmlns:a16="http://schemas.microsoft.com/office/drawing/2014/main" id="{F3458D5E-333B-4B0A-8F3C-D2B9DFEE4E87}"/>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7353300" y="562832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66675</xdr:colOff>
      <xdr:row>363</xdr:row>
      <xdr:rowOff>19050</xdr:rowOff>
    </xdr:from>
    <xdr:to>
      <xdr:col>26</xdr:col>
      <xdr:colOff>9524</xdr:colOff>
      <xdr:row>363</xdr:row>
      <xdr:rowOff>142875</xdr:rowOff>
    </xdr:to>
    <xdr:pic>
      <xdr:nvPicPr>
        <xdr:cNvPr id="1463"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91500" y="562832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233</xdr:row>
      <xdr:rowOff>19050</xdr:rowOff>
    </xdr:from>
    <xdr:ext cx="819150" cy="123825"/>
    <xdr:pic>
      <xdr:nvPicPr>
        <xdr:cNvPr id="975" name="659 Imagen" descr="seri icono.png">
          <a:extLst>
            <a:ext uri="{FF2B5EF4-FFF2-40B4-BE49-F238E27FC236}">
              <a16:creationId xmlns:a16="http://schemas.microsoft.com/office/drawing/2014/main" id="{CFC55181-40DC-4BCF-8415-11762553DF18}"/>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53300" y="35928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57150</xdr:colOff>
      <xdr:row>233</xdr:row>
      <xdr:rowOff>19050</xdr:rowOff>
    </xdr:from>
    <xdr:ext cx="819150" cy="123825"/>
    <xdr:pic>
      <xdr:nvPicPr>
        <xdr:cNvPr id="1051"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81975" y="35928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231</xdr:row>
      <xdr:rowOff>19050</xdr:rowOff>
    </xdr:from>
    <xdr:ext cx="819150" cy="123825"/>
    <xdr:pic>
      <xdr:nvPicPr>
        <xdr:cNvPr id="1084" name="659 Imagen" descr="seri icono.png">
          <a:extLst>
            <a:ext uri="{FF2B5EF4-FFF2-40B4-BE49-F238E27FC236}">
              <a16:creationId xmlns:a16="http://schemas.microsoft.com/office/drawing/2014/main" id="{CFC55181-40DC-4BCF-8415-11762553DF18}"/>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53300" y="35928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57150</xdr:colOff>
      <xdr:row>231</xdr:row>
      <xdr:rowOff>19050</xdr:rowOff>
    </xdr:from>
    <xdr:ext cx="819150" cy="123825"/>
    <xdr:pic>
      <xdr:nvPicPr>
        <xdr:cNvPr id="1137"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81975" y="35928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553</xdr:row>
      <xdr:rowOff>19050</xdr:rowOff>
    </xdr:from>
    <xdr:ext cx="847346" cy="121920"/>
    <xdr:pic>
      <xdr:nvPicPr>
        <xdr:cNvPr id="1196" name="Imagen 1195"/>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53300" y="83905725"/>
          <a:ext cx="847346" cy="121920"/>
        </a:xfrm>
        <a:prstGeom prst="rect">
          <a:avLst/>
        </a:prstGeom>
      </xdr:spPr>
    </xdr:pic>
    <xdr:clientData/>
  </xdr:oneCellAnchor>
  <xdr:twoCellAnchor editAs="oneCell">
    <xdr:from>
      <xdr:col>6</xdr:col>
      <xdr:colOff>9525</xdr:colOff>
      <xdr:row>465</xdr:row>
      <xdr:rowOff>19050</xdr:rowOff>
    </xdr:from>
    <xdr:to>
      <xdr:col>10</xdr:col>
      <xdr:colOff>1</xdr:colOff>
      <xdr:row>465</xdr:row>
      <xdr:rowOff>142875</xdr:rowOff>
    </xdr:to>
    <xdr:pic>
      <xdr:nvPicPr>
        <xdr:cNvPr id="1276"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712565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451</xdr:row>
      <xdr:rowOff>19050</xdr:rowOff>
    </xdr:from>
    <xdr:to>
      <xdr:col>11</xdr:col>
      <xdr:colOff>0</xdr:colOff>
      <xdr:row>451</xdr:row>
      <xdr:rowOff>142875</xdr:rowOff>
    </xdr:to>
    <xdr:pic>
      <xdr:nvPicPr>
        <xdr:cNvPr id="1298"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4086225" y="691229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452</xdr:row>
      <xdr:rowOff>19050</xdr:rowOff>
    </xdr:from>
    <xdr:to>
      <xdr:col>11</xdr:col>
      <xdr:colOff>0</xdr:colOff>
      <xdr:row>452</xdr:row>
      <xdr:rowOff>142875</xdr:rowOff>
    </xdr:to>
    <xdr:pic>
      <xdr:nvPicPr>
        <xdr:cNvPr id="1324"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4086225" y="692753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453</xdr:row>
      <xdr:rowOff>19050</xdr:rowOff>
    </xdr:from>
    <xdr:to>
      <xdr:col>11</xdr:col>
      <xdr:colOff>0</xdr:colOff>
      <xdr:row>453</xdr:row>
      <xdr:rowOff>142875</xdr:rowOff>
    </xdr:to>
    <xdr:pic>
      <xdr:nvPicPr>
        <xdr:cNvPr id="1355"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4086225" y="694277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454</xdr:row>
      <xdr:rowOff>19050</xdr:rowOff>
    </xdr:from>
    <xdr:to>
      <xdr:col>11</xdr:col>
      <xdr:colOff>0</xdr:colOff>
      <xdr:row>454</xdr:row>
      <xdr:rowOff>142875</xdr:rowOff>
    </xdr:to>
    <xdr:pic>
      <xdr:nvPicPr>
        <xdr:cNvPr id="1382"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4086225" y="695801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455</xdr:row>
      <xdr:rowOff>19050</xdr:rowOff>
    </xdr:from>
    <xdr:to>
      <xdr:col>11</xdr:col>
      <xdr:colOff>0</xdr:colOff>
      <xdr:row>455</xdr:row>
      <xdr:rowOff>142875</xdr:rowOff>
    </xdr:to>
    <xdr:pic>
      <xdr:nvPicPr>
        <xdr:cNvPr id="1413"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4086225" y="697325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456</xdr:row>
      <xdr:rowOff>19050</xdr:rowOff>
    </xdr:from>
    <xdr:to>
      <xdr:col>11</xdr:col>
      <xdr:colOff>0</xdr:colOff>
      <xdr:row>456</xdr:row>
      <xdr:rowOff>142875</xdr:rowOff>
    </xdr:to>
    <xdr:pic>
      <xdr:nvPicPr>
        <xdr:cNvPr id="1414"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4086225" y="698849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232</xdr:row>
      <xdr:rowOff>19050</xdr:rowOff>
    </xdr:from>
    <xdr:ext cx="819150" cy="123825"/>
    <xdr:pic>
      <xdr:nvPicPr>
        <xdr:cNvPr id="1415" name="659 Imagen" descr="seri icono.png">
          <a:extLst>
            <a:ext uri="{FF2B5EF4-FFF2-40B4-BE49-F238E27FC236}">
              <a16:creationId xmlns:a16="http://schemas.microsoft.com/office/drawing/2014/main" id="{CFC55181-40DC-4BCF-8415-11762553DF18}"/>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53300" y="362235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57150</xdr:colOff>
      <xdr:row>232</xdr:row>
      <xdr:rowOff>19050</xdr:rowOff>
    </xdr:from>
    <xdr:ext cx="819150" cy="123825"/>
    <xdr:pic>
      <xdr:nvPicPr>
        <xdr:cNvPr id="1448"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81975" y="362235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250</xdr:row>
      <xdr:rowOff>19050</xdr:rowOff>
    </xdr:from>
    <xdr:ext cx="819150" cy="123825"/>
    <xdr:pic>
      <xdr:nvPicPr>
        <xdr:cNvPr id="1475" name="659 Imagen" descr="seri icono.png">
          <a:extLst>
            <a:ext uri="{FF2B5EF4-FFF2-40B4-BE49-F238E27FC236}">
              <a16:creationId xmlns:a16="http://schemas.microsoft.com/office/drawing/2014/main" id="{CFC55181-40DC-4BCF-8415-11762553DF18}"/>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53300" y="359187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57150</xdr:colOff>
      <xdr:row>250</xdr:row>
      <xdr:rowOff>19050</xdr:rowOff>
    </xdr:from>
    <xdr:ext cx="819150" cy="123825"/>
    <xdr:pic>
      <xdr:nvPicPr>
        <xdr:cNvPr id="1477"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81975" y="359187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229</xdr:row>
      <xdr:rowOff>19050</xdr:rowOff>
    </xdr:from>
    <xdr:ext cx="819150" cy="123825"/>
    <xdr:pic>
      <xdr:nvPicPr>
        <xdr:cNvPr id="1481" name="659 Imagen" descr="seri icono.png">
          <a:extLst>
            <a:ext uri="{FF2B5EF4-FFF2-40B4-BE49-F238E27FC236}">
              <a16:creationId xmlns:a16="http://schemas.microsoft.com/office/drawing/2014/main" id="{CFC55181-40DC-4BCF-8415-11762553DF18}"/>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53300" y="354615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57150</xdr:colOff>
      <xdr:row>229</xdr:row>
      <xdr:rowOff>19050</xdr:rowOff>
    </xdr:from>
    <xdr:ext cx="819150" cy="123825"/>
    <xdr:pic>
      <xdr:nvPicPr>
        <xdr:cNvPr id="1482"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81975" y="354615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530</xdr:row>
      <xdr:rowOff>19050</xdr:rowOff>
    </xdr:from>
    <xdr:ext cx="847346" cy="121920"/>
    <xdr:pic>
      <xdr:nvPicPr>
        <xdr:cNvPr id="1484" name="Imagen 1483"/>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6943725" y="83591400"/>
          <a:ext cx="847346" cy="121920"/>
        </a:xfrm>
        <a:prstGeom prst="rect">
          <a:avLst/>
        </a:prstGeom>
      </xdr:spPr>
    </xdr:pic>
    <xdr:clientData/>
  </xdr:oneCellAnchor>
  <xdr:oneCellAnchor>
    <xdr:from>
      <xdr:col>23</xdr:col>
      <xdr:colOff>9525</xdr:colOff>
      <xdr:row>531</xdr:row>
      <xdr:rowOff>19050</xdr:rowOff>
    </xdr:from>
    <xdr:ext cx="847346" cy="121920"/>
    <xdr:pic>
      <xdr:nvPicPr>
        <xdr:cNvPr id="964" name="Imagen 963"/>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6943725" y="80238600"/>
          <a:ext cx="847346" cy="121920"/>
        </a:xfrm>
        <a:prstGeom prst="rect">
          <a:avLst/>
        </a:prstGeom>
      </xdr:spPr>
    </xdr:pic>
    <xdr:clientData/>
  </xdr:oneCellAnchor>
  <xdr:oneCellAnchor>
    <xdr:from>
      <xdr:col>23</xdr:col>
      <xdr:colOff>9525</xdr:colOff>
      <xdr:row>532</xdr:row>
      <xdr:rowOff>19050</xdr:rowOff>
    </xdr:from>
    <xdr:ext cx="847346" cy="121920"/>
    <xdr:pic>
      <xdr:nvPicPr>
        <xdr:cNvPr id="1053" name="Imagen 1052"/>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6943725" y="80391000"/>
          <a:ext cx="847346" cy="121920"/>
        </a:xfrm>
        <a:prstGeom prst="rect">
          <a:avLst/>
        </a:prstGeom>
      </xdr:spPr>
    </xdr:pic>
    <xdr:clientData/>
  </xdr:oneCellAnchor>
  <xdr:oneCellAnchor>
    <xdr:from>
      <xdr:col>23</xdr:col>
      <xdr:colOff>9525</xdr:colOff>
      <xdr:row>195</xdr:row>
      <xdr:rowOff>19050</xdr:rowOff>
    </xdr:from>
    <xdr:ext cx="819150" cy="123825"/>
    <xdr:pic>
      <xdr:nvPicPr>
        <xdr:cNvPr id="1474"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6943725" y="305847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469</xdr:row>
      <xdr:rowOff>19050</xdr:rowOff>
    </xdr:from>
    <xdr:ext cx="847346" cy="121920"/>
    <xdr:pic>
      <xdr:nvPicPr>
        <xdr:cNvPr id="999" name="Imagen 998"/>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72475725"/>
          <a:ext cx="847346" cy="121920"/>
        </a:xfrm>
        <a:prstGeom prst="rect">
          <a:avLst/>
        </a:prstGeom>
      </xdr:spPr>
    </xdr:pic>
    <xdr:clientData/>
  </xdr:oneCellAnchor>
  <xdr:oneCellAnchor>
    <xdr:from>
      <xdr:col>23</xdr:col>
      <xdr:colOff>9525</xdr:colOff>
      <xdr:row>554</xdr:row>
      <xdr:rowOff>19050</xdr:rowOff>
    </xdr:from>
    <xdr:ext cx="847346" cy="121920"/>
    <xdr:pic>
      <xdr:nvPicPr>
        <xdr:cNvPr id="982" name="Imagen 981"/>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84048600"/>
          <a:ext cx="847346" cy="121920"/>
        </a:xfrm>
        <a:prstGeom prst="rect">
          <a:avLst/>
        </a:prstGeom>
      </xdr:spPr>
    </xdr:pic>
    <xdr:clientData/>
  </xdr:oneCellAnchor>
  <xdr:oneCellAnchor>
    <xdr:from>
      <xdr:col>23</xdr:col>
      <xdr:colOff>9525</xdr:colOff>
      <xdr:row>555</xdr:row>
      <xdr:rowOff>19050</xdr:rowOff>
    </xdr:from>
    <xdr:ext cx="847346" cy="121920"/>
    <xdr:pic>
      <xdr:nvPicPr>
        <xdr:cNvPr id="1076" name="Imagen 1075"/>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84201000"/>
          <a:ext cx="847346" cy="121920"/>
        </a:xfrm>
        <a:prstGeom prst="rect">
          <a:avLst/>
        </a:prstGeom>
      </xdr:spPr>
    </xdr:pic>
    <xdr:clientData/>
  </xdr:oneCellAnchor>
  <xdr:oneCellAnchor>
    <xdr:from>
      <xdr:col>0</xdr:col>
      <xdr:colOff>0</xdr:colOff>
      <xdr:row>487</xdr:row>
      <xdr:rowOff>28575</xdr:rowOff>
    </xdr:from>
    <xdr:ext cx="342900" cy="104775"/>
    <xdr:pic>
      <xdr:nvPicPr>
        <xdr:cNvPr id="1164" name="247 Imagen" descr="nuevo icono.png">
          <a:extLst>
            <a:ext uri="{FF2B5EF4-FFF2-40B4-BE49-F238E27FC236}">
              <a16:creationId xmlns:a16="http://schemas.microsoft.com/office/drawing/2014/main" id="{9C35268E-76DA-496E-BEEF-ECD5B7F6441F}"/>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7454265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487</xdr:row>
      <xdr:rowOff>19050</xdr:rowOff>
    </xdr:from>
    <xdr:ext cx="819150" cy="125505"/>
    <xdr:pic>
      <xdr:nvPicPr>
        <xdr:cNvPr id="1449" name="413 Imagen" descr="subli 4 g icono.png">
          <a:extLst>
            <a:ext uri="{FF2B5EF4-FFF2-40B4-BE49-F238E27FC236}">
              <a16:creationId xmlns:a16="http://schemas.microsoft.com/office/drawing/2014/main" id="{AC7C27E5-1860-4C58-91E4-3842F0D99D93}"/>
            </a:ext>
          </a:extLst>
        </xdr:cNvPr>
        <xdr:cNvPicPr>
          <a:picLocks noChangeAspect="1"/>
        </xdr:cNvPicPr>
      </xdr:nvPicPr>
      <xdr:blipFill>
        <a:blip xmlns:r="http://schemas.openxmlformats.org/officeDocument/2006/relationships" r:embed="rId60"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7343775" y="7453312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488</xdr:row>
      <xdr:rowOff>28575</xdr:rowOff>
    </xdr:from>
    <xdr:ext cx="342900" cy="104775"/>
    <xdr:pic>
      <xdr:nvPicPr>
        <xdr:cNvPr id="1472" name="247 Imagen" descr="nuevo icono.png">
          <a:extLst>
            <a:ext uri="{FF2B5EF4-FFF2-40B4-BE49-F238E27FC236}">
              <a16:creationId xmlns:a16="http://schemas.microsoft.com/office/drawing/2014/main" id="{9C35268E-76DA-496E-BEEF-ECD5B7F6441F}"/>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743807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488</xdr:row>
      <xdr:rowOff>19050</xdr:rowOff>
    </xdr:from>
    <xdr:ext cx="819914" cy="121920"/>
    <xdr:pic>
      <xdr:nvPicPr>
        <xdr:cNvPr id="1479" name="Imagen 1478"/>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7343775" y="74523600"/>
          <a:ext cx="819914" cy="121920"/>
        </a:xfrm>
        <a:prstGeom prst="rect">
          <a:avLst/>
        </a:prstGeom>
      </xdr:spPr>
    </xdr:pic>
    <xdr:clientData/>
  </xdr:oneCellAnchor>
  <xdr:oneCellAnchor>
    <xdr:from>
      <xdr:col>24</xdr:col>
      <xdr:colOff>57150</xdr:colOff>
      <xdr:row>488</xdr:row>
      <xdr:rowOff>19050</xdr:rowOff>
    </xdr:from>
    <xdr:ext cx="463297" cy="121920"/>
    <xdr:pic>
      <xdr:nvPicPr>
        <xdr:cNvPr id="1483" name="Imagen 1482"/>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8172450" y="74523600"/>
          <a:ext cx="463297" cy="121920"/>
        </a:xfrm>
        <a:prstGeom prst="rect">
          <a:avLst/>
        </a:prstGeom>
      </xdr:spPr>
    </xdr:pic>
    <xdr:clientData/>
  </xdr:oneCellAnchor>
  <xdr:oneCellAnchor>
    <xdr:from>
      <xdr:col>23</xdr:col>
      <xdr:colOff>9525</xdr:colOff>
      <xdr:row>493</xdr:row>
      <xdr:rowOff>19050</xdr:rowOff>
    </xdr:from>
    <xdr:ext cx="819914" cy="121920"/>
    <xdr:pic>
      <xdr:nvPicPr>
        <xdr:cNvPr id="1491" name="Imagen 1490"/>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7343775" y="74523600"/>
          <a:ext cx="819914" cy="121920"/>
        </a:xfrm>
        <a:prstGeom prst="rect">
          <a:avLst/>
        </a:prstGeom>
      </xdr:spPr>
    </xdr:pic>
    <xdr:clientData/>
  </xdr:oneCellAnchor>
  <xdr:twoCellAnchor editAs="absolute">
    <xdr:from>
      <xdr:col>6</xdr:col>
      <xdr:colOff>126310</xdr:colOff>
      <xdr:row>488</xdr:row>
      <xdr:rowOff>85725</xdr:rowOff>
    </xdr:from>
    <xdr:to>
      <xdr:col>14</xdr:col>
      <xdr:colOff>172693</xdr:colOff>
      <xdr:row>495</xdr:row>
      <xdr:rowOff>19050</xdr:rowOff>
    </xdr:to>
    <xdr:sp macro="" textlink="">
      <xdr:nvSpPr>
        <xdr:cNvPr id="11" name="Text Box 29" hidden="1"/>
        <xdr:cNvSpPr txBox="1">
          <a:spLocks noChangeArrowheads="1"/>
        </xdr:cNvSpPr>
      </xdr:nvSpPr>
      <xdr:spPr bwMode="auto">
        <a:xfrm>
          <a:off x="3390900" y="75171300"/>
          <a:ext cx="1714500" cy="100012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oneCellAnchor>
    <xdr:from>
      <xdr:col>23</xdr:col>
      <xdr:colOff>9525</xdr:colOff>
      <xdr:row>503</xdr:row>
      <xdr:rowOff>19050</xdr:rowOff>
    </xdr:from>
    <xdr:ext cx="819150" cy="125505"/>
    <xdr:pic>
      <xdr:nvPicPr>
        <xdr:cNvPr id="1478" name="413 Imagen" descr="subli 4 g icono.png">
          <a:extLst>
            <a:ext uri="{FF2B5EF4-FFF2-40B4-BE49-F238E27FC236}">
              <a16:creationId xmlns:a16="http://schemas.microsoft.com/office/drawing/2014/main" id="{AC7C27E5-1860-4C58-91E4-3842F0D99D93}"/>
            </a:ext>
          </a:extLst>
        </xdr:cNvPr>
        <xdr:cNvPicPr>
          <a:picLocks noChangeAspect="1"/>
        </xdr:cNvPicPr>
      </xdr:nvPicPr>
      <xdr:blipFill>
        <a:blip xmlns:r="http://schemas.openxmlformats.org/officeDocument/2006/relationships" r:embed="rId60"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6943725" y="76200000"/>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504</xdr:row>
      <xdr:rowOff>19050</xdr:rowOff>
    </xdr:from>
    <xdr:to>
      <xdr:col>24</xdr:col>
      <xdr:colOff>48389</xdr:colOff>
      <xdr:row>504</xdr:row>
      <xdr:rowOff>140970</xdr:rowOff>
    </xdr:to>
    <xdr:pic>
      <xdr:nvPicPr>
        <xdr:cNvPr id="1488" name="Imagen 1487"/>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6943725" y="76352400"/>
          <a:ext cx="819914" cy="121920"/>
        </a:xfrm>
        <a:prstGeom prst="rect">
          <a:avLst/>
        </a:prstGeom>
      </xdr:spPr>
    </xdr:pic>
    <xdr:clientData/>
  </xdr:twoCellAnchor>
  <xdr:twoCellAnchor editAs="oneCell">
    <xdr:from>
      <xdr:col>23</xdr:col>
      <xdr:colOff>9525</xdr:colOff>
      <xdr:row>385</xdr:row>
      <xdr:rowOff>19050</xdr:rowOff>
    </xdr:from>
    <xdr:to>
      <xdr:col>24</xdr:col>
      <xdr:colOff>47625</xdr:colOff>
      <xdr:row>385</xdr:row>
      <xdr:rowOff>142875</xdr:rowOff>
    </xdr:to>
    <xdr:pic>
      <xdr:nvPicPr>
        <xdr:cNvPr id="1506"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603885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369</xdr:row>
      <xdr:rowOff>19050</xdr:rowOff>
    </xdr:from>
    <xdr:to>
      <xdr:col>24</xdr:col>
      <xdr:colOff>47625</xdr:colOff>
      <xdr:row>369</xdr:row>
      <xdr:rowOff>142875</xdr:rowOff>
    </xdr:to>
    <xdr:pic>
      <xdr:nvPicPr>
        <xdr:cNvPr id="1507"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73405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370</xdr:row>
      <xdr:rowOff>19050</xdr:rowOff>
    </xdr:from>
    <xdr:to>
      <xdr:col>24</xdr:col>
      <xdr:colOff>47625</xdr:colOff>
      <xdr:row>370</xdr:row>
      <xdr:rowOff>142875</xdr:rowOff>
    </xdr:to>
    <xdr:pic>
      <xdr:nvPicPr>
        <xdr:cNvPr id="1508"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7645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371</xdr:row>
      <xdr:rowOff>19050</xdr:rowOff>
    </xdr:from>
    <xdr:to>
      <xdr:col>24</xdr:col>
      <xdr:colOff>47625</xdr:colOff>
      <xdr:row>371</xdr:row>
      <xdr:rowOff>142875</xdr:rowOff>
    </xdr:to>
    <xdr:pic>
      <xdr:nvPicPr>
        <xdr:cNvPr id="1509"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77977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329</xdr:row>
      <xdr:rowOff>19050</xdr:rowOff>
    </xdr:from>
    <xdr:to>
      <xdr:col>24</xdr:col>
      <xdr:colOff>47625</xdr:colOff>
      <xdr:row>329</xdr:row>
      <xdr:rowOff>142875</xdr:rowOff>
    </xdr:to>
    <xdr:pic>
      <xdr:nvPicPr>
        <xdr:cNvPr id="1516"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1549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326</xdr:row>
      <xdr:rowOff>19050</xdr:rowOff>
    </xdr:from>
    <xdr:to>
      <xdr:col>24</xdr:col>
      <xdr:colOff>47625</xdr:colOff>
      <xdr:row>326</xdr:row>
      <xdr:rowOff>142875</xdr:rowOff>
    </xdr:to>
    <xdr:pic>
      <xdr:nvPicPr>
        <xdr:cNvPr id="1517"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10921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327</xdr:row>
      <xdr:rowOff>19050</xdr:rowOff>
    </xdr:from>
    <xdr:to>
      <xdr:col>24</xdr:col>
      <xdr:colOff>47625</xdr:colOff>
      <xdr:row>327</xdr:row>
      <xdr:rowOff>142875</xdr:rowOff>
    </xdr:to>
    <xdr:pic>
      <xdr:nvPicPr>
        <xdr:cNvPr id="1518"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12445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328</xdr:row>
      <xdr:rowOff>19050</xdr:rowOff>
    </xdr:from>
    <xdr:to>
      <xdr:col>24</xdr:col>
      <xdr:colOff>47625</xdr:colOff>
      <xdr:row>328</xdr:row>
      <xdr:rowOff>142875</xdr:rowOff>
    </xdr:to>
    <xdr:pic>
      <xdr:nvPicPr>
        <xdr:cNvPr id="1519"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13969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330</xdr:row>
      <xdr:rowOff>19050</xdr:rowOff>
    </xdr:from>
    <xdr:to>
      <xdr:col>24</xdr:col>
      <xdr:colOff>47625</xdr:colOff>
      <xdr:row>330</xdr:row>
      <xdr:rowOff>142875</xdr:rowOff>
    </xdr:to>
    <xdr:pic>
      <xdr:nvPicPr>
        <xdr:cNvPr id="1520"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17017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331</xdr:row>
      <xdr:rowOff>19050</xdr:rowOff>
    </xdr:from>
    <xdr:to>
      <xdr:col>24</xdr:col>
      <xdr:colOff>47625</xdr:colOff>
      <xdr:row>331</xdr:row>
      <xdr:rowOff>142875</xdr:rowOff>
    </xdr:to>
    <xdr:pic>
      <xdr:nvPicPr>
        <xdr:cNvPr id="1521"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18541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324</xdr:row>
      <xdr:rowOff>19050</xdr:rowOff>
    </xdr:from>
    <xdr:to>
      <xdr:col>24</xdr:col>
      <xdr:colOff>47625</xdr:colOff>
      <xdr:row>324</xdr:row>
      <xdr:rowOff>142875</xdr:rowOff>
    </xdr:to>
    <xdr:pic>
      <xdr:nvPicPr>
        <xdr:cNvPr id="1522"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0787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325</xdr:row>
      <xdr:rowOff>19050</xdr:rowOff>
    </xdr:from>
    <xdr:to>
      <xdr:col>24</xdr:col>
      <xdr:colOff>47625</xdr:colOff>
      <xdr:row>325</xdr:row>
      <xdr:rowOff>142875</xdr:rowOff>
    </xdr:to>
    <xdr:pic>
      <xdr:nvPicPr>
        <xdr:cNvPr id="1523"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09397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338</xdr:row>
      <xdr:rowOff>19050</xdr:rowOff>
    </xdr:from>
    <xdr:to>
      <xdr:col>24</xdr:col>
      <xdr:colOff>47625</xdr:colOff>
      <xdr:row>338</xdr:row>
      <xdr:rowOff>142875</xdr:rowOff>
    </xdr:to>
    <xdr:pic>
      <xdr:nvPicPr>
        <xdr:cNvPr id="1524"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29209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339</xdr:row>
      <xdr:rowOff>19050</xdr:rowOff>
    </xdr:from>
    <xdr:to>
      <xdr:col>24</xdr:col>
      <xdr:colOff>47625</xdr:colOff>
      <xdr:row>339</xdr:row>
      <xdr:rowOff>142875</xdr:rowOff>
    </xdr:to>
    <xdr:pic>
      <xdr:nvPicPr>
        <xdr:cNvPr id="1525"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3073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340</xdr:row>
      <xdr:rowOff>19050</xdr:rowOff>
    </xdr:from>
    <xdr:to>
      <xdr:col>24</xdr:col>
      <xdr:colOff>47625</xdr:colOff>
      <xdr:row>340</xdr:row>
      <xdr:rowOff>142875</xdr:rowOff>
    </xdr:to>
    <xdr:pic>
      <xdr:nvPicPr>
        <xdr:cNvPr id="1526"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32257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341</xdr:row>
      <xdr:rowOff>19050</xdr:rowOff>
    </xdr:from>
    <xdr:to>
      <xdr:col>24</xdr:col>
      <xdr:colOff>47625</xdr:colOff>
      <xdr:row>341</xdr:row>
      <xdr:rowOff>142875</xdr:rowOff>
    </xdr:to>
    <xdr:pic>
      <xdr:nvPicPr>
        <xdr:cNvPr id="1527"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33781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357</xdr:row>
      <xdr:rowOff>19050</xdr:rowOff>
    </xdr:from>
    <xdr:to>
      <xdr:col>24</xdr:col>
      <xdr:colOff>47625</xdr:colOff>
      <xdr:row>357</xdr:row>
      <xdr:rowOff>142875</xdr:rowOff>
    </xdr:to>
    <xdr:pic>
      <xdr:nvPicPr>
        <xdr:cNvPr id="1529"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58165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354</xdr:row>
      <xdr:rowOff>19050</xdr:rowOff>
    </xdr:from>
    <xdr:to>
      <xdr:col>24</xdr:col>
      <xdr:colOff>47625</xdr:colOff>
      <xdr:row>354</xdr:row>
      <xdr:rowOff>142875</xdr:rowOff>
    </xdr:to>
    <xdr:pic>
      <xdr:nvPicPr>
        <xdr:cNvPr id="1530"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5359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355</xdr:row>
      <xdr:rowOff>19050</xdr:rowOff>
    </xdr:from>
    <xdr:to>
      <xdr:col>24</xdr:col>
      <xdr:colOff>47625</xdr:colOff>
      <xdr:row>355</xdr:row>
      <xdr:rowOff>142875</xdr:rowOff>
    </xdr:to>
    <xdr:pic>
      <xdr:nvPicPr>
        <xdr:cNvPr id="1531"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55117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356</xdr:row>
      <xdr:rowOff>19050</xdr:rowOff>
    </xdr:from>
    <xdr:to>
      <xdr:col>24</xdr:col>
      <xdr:colOff>47625</xdr:colOff>
      <xdr:row>356</xdr:row>
      <xdr:rowOff>142875</xdr:rowOff>
    </xdr:to>
    <xdr:pic>
      <xdr:nvPicPr>
        <xdr:cNvPr id="1532"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56641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358</xdr:row>
      <xdr:rowOff>19050</xdr:rowOff>
    </xdr:from>
    <xdr:to>
      <xdr:col>24</xdr:col>
      <xdr:colOff>47625</xdr:colOff>
      <xdr:row>358</xdr:row>
      <xdr:rowOff>142875</xdr:rowOff>
    </xdr:to>
    <xdr:pic>
      <xdr:nvPicPr>
        <xdr:cNvPr id="1533"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59689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359</xdr:row>
      <xdr:rowOff>19050</xdr:rowOff>
    </xdr:from>
    <xdr:to>
      <xdr:col>24</xdr:col>
      <xdr:colOff>47625</xdr:colOff>
      <xdr:row>359</xdr:row>
      <xdr:rowOff>142875</xdr:rowOff>
    </xdr:to>
    <xdr:pic>
      <xdr:nvPicPr>
        <xdr:cNvPr id="1534"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6121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382</xdr:row>
      <xdr:rowOff>19050</xdr:rowOff>
    </xdr:from>
    <xdr:to>
      <xdr:col>24</xdr:col>
      <xdr:colOff>47625</xdr:colOff>
      <xdr:row>382</xdr:row>
      <xdr:rowOff>142875</xdr:rowOff>
    </xdr:to>
    <xdr:pic>
      <xdr:nvPicPr>
        <xdr:cNvPr id="1025"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97789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383</xdr:row>
      <xdr:rowOff>19050</xdr:rowOff>
    </xdr:from>
    <xdr:to>
      <xdr:col>24</xdr:col>
      <xdr:colOff>47625</xdr:colOff>
      <xdr:row>383</xdr:row>
      <xdr:rowOff>142875</xdr:rowOff>
    </xdr:to>
    <xdr:pic>
      <xdr:nvPicPr>
        <xdr:cNvPr id="1034"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9931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306</xdr:row>
      <xdr:rowOff>19050</xdr:rowOff>
    </xdr:from>
    <xdr:ext cx="828675" cy="123825"/>
    <xdr:pic>
      <xdr:nvPicPr>
        <xdr:cNvPr id="933" name="589 Imagen" descr="laser fibra icono.png">
          <a:extLst>
            <a:ext uri="{FF2B5EF4-FFF2-40B4-BE49-F238E27FC236}">
              <a16:creationId xmlns:a16="http://schemas.microsoft.com/office/drawing/2014/main" id="{F93AC8A6-CC1B-40DD-A8E3-6CDEB7A13BCC}"/>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7343775" y="47386875"/>
          <a:ext cx="8286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76200</xdr:colOff>
      <xdr:row>306</xdr:row>
      <xdr:rowOff>19050</xdr:rowOff>
    </xdr:from>
    <xdr:ext cx="502920" cy="121920"/>
    <xdr:pic>
      <xdr:nvPicPr>
        <xdr:cNvPr id="935" name="Imagen 934"/>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91500" y="47386875"/>
          <a:ext cx="502920" cy="121920"/>
        </a:xfrm>
        <a:prstGeom prst="rect">
          <a:avLst/>
        </a:prstGeom>
      </xdr:spPr>
    </xdr:pic>
    <xdr:clientData/>
  </xdr:oneCellAnchor>
  <xdr:twoCellAnchor editAs="oneCell">
    <xdr:from>
      <xdr:col>23</xdr:col>
      <xdr:colOff>8283</xdr:colOff>
      <xdr:row>376</xdr:row>
      <xdr:rowOff>16566</xdr:rowOff>
    </xdr:from>
    <xdr:to>
      <xdr:col>24</xdr:col>
      <xdr:colOff>46383</xdr:colOff>
      <xdr:row>376</xdr:row>
      <xdr:rowOff>140391</xdr:rowOff>
    </xdr:to>
    <xdr:pic>
      <xdr:nvPicPr>
        <xdr:cNvPr id="924"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272131" y="57829175"/>
          <a:ext cx="81666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8283</xdr:colOff>
      <xdr:row>368</xdr:row>
      <xdr:rowOff>16566</xdr:rowOff>
    </xdr:from>
    <xdr:to>
      <xdr:col>24</xdr:col>
      <xdr:colOff>46383</xdr:colOff>
      <xdr:row>368</xdr:row>
      <xdr:rowOff>140391</xdr:rowOff>
    </xdr:to>
    <xdr:pic>
      <xdr:nvPicPr>
        <xdr:cNvPr id="927"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272131" y="56040131"/>
          <a:ext cx="81666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8283</xdr:colOff>
      <xdr:row>91</xdr:row>
      <xdr:rowOff>16566</xdr:rowOff>
    </xdr:from>
    <xdr:to>
      <xdr:col>10</xdr:col>
      <xdr:colOff>2173</xdr:colOff>
      <xdr:row>91</xdr:row>
      <xdr:rowOff>140391</xdr:rowOff>
    </xdr:to>
    <xdr:pic>
      <xdr:nvPicPr>
        <xdr:cNvPr id="1047" name="958 Imagen" descr="CONSULTAR ICONO.png">
          <a:extLst>
            <a:ext uri="{FF2B5EF4-FFF2-40B4-BE49-F238E27FC236}">
              <a16:creationId xmlns:a16="http://schemas.microsoft.com/office/drawing/2014/main" id="{29D468AD-F7E7-44B9-9EF6-C3162FD505CC}"/>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636066" y="14097001"/>
          <a:ext cx="813867"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8283</xdr:colOff>
      <xdr:row>92</xdr:row>
      <xdr:rowOff>16566</xdr:rowOff>
    </xdr:from>
    <xdr:to>
      <xdr:col>10</xdr:col>
      <xdr:colOff>2173</xdr:colOff>
      <xdr:row>92</xdr:row>
      <xdr:rowOff>140391</xdr:rowOff>
    </xdr:to>
    <xdr:pic>
      <xdr:nvPicPr>
        <xdr:cNvPr id="1048" name="958 Imagen" descr="CONSULTAR ICONO.png">
          <a:extLst>
            <a:ext uri="{FF2B5EF4-FFF2-40B4-BE49-F238E27FC236}">
              <a16:creationId xmlns:a16="http://schemas.microsoft.com/office/drawing/2014/main" id="{29D468AD-F7E7-44B9-9EF6-C3162FD505CC}"/>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636066" y="14246088"/>
          <a:ext cx="813867"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8283</xdr:colOff>
      <xdr:row>93</xdr:row>
      <xdr:rowOff>16566</xdr:rowOff>
    </xdr:from>
    <xdr:to>
      <xdr:col>10</xdr:col>
      <xdr:colOff>2173</xdr:colOff>
      <xdr:row>93</xdr:row>
      <xdr:rowOff>140391</xdr:rowOff>
    </xdr:to>
    <xdr:pic>
      <xdr:nvPicPr>
        <xdr:cNvPr id="1056" name="958 Imagen" descr="CONSULTAR ICONO.png">
          <a:extLst>
            <a:ext uri="{FF2B5EF4-FFF2-40B4-BE49-F238E27FC236}">
              <a16:creationId xmlns:a16="http://schemas.microsoft.com/office/drawing/2014/main" id="{29D468AD-F7E7-44B9-9EF6-C3162FD505CC}"/>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636066" y="14395175"/>
          <a:ext cx="813867"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8283</xdr:colOff>
      <xdr:row>94</xdr:row>
      <xdr:rowOff>16566</xdr:rowOff>
    </xdr:from>
    <xdr:to>
      <xdr:col>10</xdr:col>
      <xdr:colOff>2173</xdr:colOff>
      <xdr:row>94</xdr:row>
      <xdr:rowOff>140391</xdr:rowOff>
    </xdr:to>
    <xdr:pic>
      <xdr:nvPicPr>
        <xdr:cNvPr id="1128" name="958 Imagen" descr="CONSULTAR ICONO.png">
          <a:extLst>
            <a:ext uri="{FF2B5EF4-FFF2-40B4-BE49-F238E27FC236}">
              <a16:creationId xmlns:a16="http://schemas.microsoft.com/office/drawing/2014/main" id="{29D468AD-F7E7-44B9-9EF6-C3162FD505CC}"/>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636066" y="14544262"/>
          <a:ext cx="813867"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130</xdr:row>
      <xdr:rowOff>19050</xdr:rowOff>
    </xdr:from>
    <xdr:to>
      <xdr:col>10</xdr:col>
      <xdr:colOff>1</xdr:colOff>
      <xdr:row>130</xdr:row>
      <xdr:rowOff>142875</xdr:rowOff>
    </xdr:to>
    <xdr:pic>
      <xdr:nvPicPr>
        <xdr:cNvPr id="1185"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667125" y="200120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131</xdr:row>
      <xdr:rowOff>19050</xdr:rowOff>
    </xdr:from>
    <xdr:to>
      <xdr:col>10</xdr:col>
      <xdr:colOff>1</xdr:colOff>
      <xdr:row>131</xdr:row>
      <xdr:rowOff>142875</xdr:rowOff>
    </xdr:to>
    <xdr:pic>
      <xdr:nvPicPr>
        <xdr:cNvPr id="1188"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667125" y="201644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132</xdr:row>
      <xdr:rowOff>19050</xdr:rowOff>
    </xdr:from>
    <xdr:to>
      <xdr:col>10</xdr:col>
      <xdr:colOff>1</xdr:colOff>
      <xdr:row>132</xdr:row>
      <xdr:rowOff>142875</xdr:rowOff>
    </xdr:to>
    <xdr:pic>
      <xdr:nvPicPr>
        <xdr:cNvPr id="1192"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667125" y="203168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133</xdr:row>
      <xdr:rowOff>19050</xdr:rowOff>
    </xdr:from>
    <xdr:to>
      <xdr:col>10</xdr:col>
      <xdr:colOff>1</xdr:colOff>
      <xdr:row>133</xdr:row>
      <xdr:rowOff>142875</xdr:rowOff>
    </xdr:to>
    <xdr:pic>
      <xdr:nvPicPr>
        <xdr:cNvPr id="1203"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667125" y="204692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8283</xdr:colOff>
      <xdr:row>167</xdr:row>
      <xdr:rowOff>16566</xdr:rowOff>
    </xdr:from>
    <xdr:to>
      <xdr:col>9</xdr:col>
      <xdr:colOff>8284</xdr:colOff>
      <xdr:row>167</xdr:row>
      <xdr:rowOff>140391</xdr:rowOff>
    </xdr:to>
    <xdr:pic>
      <xdr:nvPicPr>
        <xdr:cNvPr id="1201" name="828 Imagen" descr="CONSULTAR ICONO.png">
          <a:extLst>
            <a:ext uri="{FF2B5EF4-FFF2-40B4-BE49-F238E27FC236}">
              <a16:creationId xmlns:a16="http://schemas.microsoft.com/office/drawing/2014/main" id="{7B8ECFAF-C2C7-436B-9BCE-51E420A1AD5B}"/>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660913" y="25808609"/>
          <a:ext cx="803414"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8283</xdr:colOff>
      <xdr:row>352</xdr:row>
      <xdr:rowOff>16566</xdr:rowOff>
    </xdr:from>
    <xdr:to>
      <xdr:col>24</xdr:col>
      <xdr:colOff>46383</xdr:colOff>
      <xdr:row>352</xdr:row>
      <xdr:rowOff>140391</xdr:rowOff>
    </xdr:to>
    <xdr:pic>
      <xdr:nvPicPr>
        <xdr:cNvPr id="1022"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21826" y="53803827"/>
          <a:ext cx="81666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8283</xdr:colOff>
      <xdr:row>500</xdr:row>
      <xdr:rowOff>16566</xdr:rowOff>
    </xdr:from>
    <xdr:ext cx="819914" cy="121920"/>
    <xdr:pic>
      <xdr:nvPicPr>
        <xdr:cNvPr id="1152" name="Imagen 1151"/>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7321826" y="74510349"/>
          <a:ext cx="819914" cy="121920"/>
        </a:xfrm>
        <a:prstGeom prst="rect">
          <a:avLst/>
        </a:prstGeom>
      </xdr:spPr>
    </xdr:pic>
    <xdr:clientData/>
  </xdr:oneCellAnchor>
  <xdr:oneCellAnchor>
    <xdr:from>
      <xdr:col>23</xdr:col>
      <xdr:colOff>8283</xdr:colOff>
      <xdr:row>281</xdr:row>
      <xdr:rowOff>16566</xdr:rowOff>
    </xdr:from>
    <xdr:ext cx="819150" cy="123825"/>
    <xdr:pic>
      <xdr:nvPicPr>
        <xdr:cNvPr id="1208" name="608 Imagen" descr="laser icono.png">
          <a:extLst>
            <a:ext uri="{FF2B5EF4-FFF2-40B4-BE49-F238E27FC236}">
              <a16:creationId xmlns:a16="http://schemas.microsoft.com/office/drawing/2014/main" id="{D3F68CA1-17C7-434F-BE29-631E9D88089B}"/>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21826" y="423986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24</xdr:col>
      <xdr:colOff>74958</xdr:colOff>
      <xdr:row>281</xdr:row>
      <xdr:rowOff>16566</xdr:rowOff>
    </xdr:from>
    <xdr:to>
      <xdr:col>25</xdr:col>
      <xdr:colOff>82577</xdr:colOff>
      <xdr:row>281</xdr:row>
      <xdr:rowOff>138486</xdr:rowOff>
    </xdr:to>
    <xdr:pic>
      <xdr:nvPicPr>
        <xdr:cNvPr id="1209" name="Imagen 1208"/>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67067" y="42398675"/>
          <a:ext cx="504576" cy="121920"/>
        </a:xfrm>
        <a:prstGeom prst="rect">
          <a:avLst/>
        </a:prstGeom>
      </xdr:spPr>
    </xdr:pic>
    <xdr:clientData/>
  </xdr:twoCellAnchor>
  <xdr:twoCellAnchor editAs="oneCell">
    <xdr:from>
      <xdr:col>10</xdr:col>
      <xdr:colOff>9525</xdr:colOff>
      <xdr:row>49</xdr:row>
      <xdr:rowOff>19050</xdr:rowOff>
    </xdr:from>
    <xdr:to>
      <xdr:col>13</xdr:col>
      <xdr:colOff>9524</xdr:colOff>
      <xdr:row>49</xdr:row>
      <xdr:rowOff>142875</xdr:rowOff>
    </xdr:to>
    <xdr:pic>
      <xdr:nvPicPr>
        <xdr:cNvPr id="916"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4105275" y="8077200"/>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xdr:colOff>
      <xdr:row>50</xdr:row>
      <xdr:rowOff>19050</xdr:rowOff>
    </xdr:from>
    <xdr:to>
      <xdr:col>13</xdr:col>
      <xdr:colOff>9524</xdr:colOff>
      <xdr:row>50</xdr:row>
      <xdr:rowOff>142875</xdr:rowOff>
    </xdr:to>
    <xdr:pic>
      <xdr:nvPicPr>
        <xdr:cNvPr id="919"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4105275" y="8229600"/>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xdr:colOff>
      <xdr:row>51</xdr:row>
      <xdr:rowOff>19050</xdr:rowOff>
    </xdr:from>
    <xdr:to>
      <xdr:col>13</xdr:col>
      <xdr:colOff>9524</xdr:colOff>
      <xdr:row>51</xdr:row>
      <xdr:rowOff>142875</xdr:rowOff>
    </xdr:to>
    <xdr:pic>
      <xdr:nvPicPr>
        <xdr:cNvPr id="920"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4105275" y="8382000"/>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336</xdr:row>
      <xdr:rowOff>19050</xdr:rowOff>
    </xdr:from>
    <xdr:to>
      <xdr:col>24</xdr:col>
      <xdr:colOff>47625</xdr:colOff>
      <xdr:row>336</xdr:row>
      <xdr:rowOff>142875</xdr:rowOff>
    </xdr:to>
    <xdr:pic>
      <xdr:nvPicPr>
        <xdr:cNvPr id="932"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27685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337</xdr:row>
      <xdr:rowOff>19050</xdr:rowOff>
    </xdr:from>
    <xdr:to>
      <xdr:col>24</xdr:col>
      <xdr:colOff>47625</xdr:colOff>
      <xdr:row>337</xdr:row>
      <xdr:rowOff>142875</xdr:rowOff>
    </xdr:to>
    <xdr:pic>
      <xdr:nvPicPr>
        <xdr:cNvPr id="950"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29209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336</xdr:row>
      <xdr:rowOff>28575</xdr:rowOff>
    </xdr:from>
    <xdr:ext cx="342900" cy="104775"/>
    <xdr:pic>
      <xdr:nvPicPr>
        <xdr:cNvPr id="953" name="258 Imagen" descr="nuevo icono.png">
          <a:extLst>
            <a:ext uri="{FF2B5EF4-FFF2-40B4-BE49-F238E27FC236}">
              <a16:creationId xmlns:a16="http://schemas.microsoft.com/office/drawing/2014/main" id="{3C2A2AD4-685E-42C3-B5B0-480D96EABE62}"/>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526256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335</xdr:row>
      <xdr:rowOff>19050</xdr:rowOff>
    </xdr:from>
    <xdr:to>
      <xdr:col>24</xdr:col>
      <xdr:colOff>47625</xdr:colOff>
      <xdr:row>335</xdr:row>
      <xdr:rowOff>142875</xdr:rowOff>
    </xdr:to>
    <xdr:pic>
      <xdr:nvPicPr>
        <xdr:cNvPr id="956"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53300" y="524637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147</xdr:row>
      <xdr:rowOff>19050</xdr:rowOff>
    </xdr:from>
    <xdr:to>
      <xdr:col>24</xdr:col>
      <xdr:colOff>47625</xdr:colOff>
      <xdr:row>147</xdr:row>
      <xdr:rowOff>142875</xdr:rowOff>
    </xdr:to>
    <xdr:pic>
      <xdr:nvPicPr>
        <xdr:cNvPr id="996"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6943725" y="230600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657</xdr:row>
      <xdr:rowOff>19050</xdr:rowOff>
    </xdr:from>
    <xdr:to>
      <xdr:col>13</xdr:col>
      <xdr:colOff>1</xdr:colOff>
      <xdr:row>657</xdr:row>
      <xdr:rowOff>142875</xdr:rowOff>
    </xdr:to>
    <xdr:pic>
      <xdr:nvPicPr>
        <xdr:cNvPr id="1011"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4095750" y="100536375"/>
          <a:ext cx="819151"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658</xdr:row>
      <xdr:rowOff>19050</xdr:rowOff>
    </xdr:from>
    <xdr:to>
      <xdr:col>13</xdr:col>
      <xdr:colOff>1</xdr:colOff>
      <xdr:row>658</xdr:row>
      <xdr:rowOff>142875</xdr:rowOff>
    </xdr:to>
    <xdr:pic>
      <xdr:nvPicPr>
        <xdr:cNvPr id="1040"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4095750" y="100688775"/>
          <a:ext cx="819151"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659</xdr:row>
      <xdr:rowOff>19050</xdr:rowOff>
    </xdr:from>
    <xdr:to>
      <xdr:col>13</xdr:col>
      <xdr:colOff>1</xdr:colOff>
      <xdr:row>659</xdr:row>
      <xdr:rowOff>142875</xdr:rowOff>
    </xdr:to>
    <xdr:pic>
      <xdr:nvPicPr>
        <xdr:cNvPr id="1045"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4095750" y="100841175"/>
          <a:ext cx="819151"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361</xdr:row>
      <xdr:rowOff>19050</xdr:rowOff>
    </xdr:from>
    <xdr:ext cx="819149" cy="123825"/>
    <xdr:pic>
      <xdr:nvPicPr>
        <xdr:cNvPr id="1086"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56273700"/>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449</xdr:row>
      <xdr:rowOff>19050</xdr:rowOff>
    </xdr:from>
    <xdr:ext cx="819150" cy="123825"/>
    <xdr:pic>
      <xdr:nvPicPr>
        <xdr:cNvPr id="1172" name="365 Imagen" descr="laser fibra icono.png">
          <a:extLst>
            <a:ext uri="{FF2B5EF4-FFF2-40B4-BE49-F238E27FC236}">
              <a16:creationId xmlns:a16="http://schemas.microsoft.com/office/drawing/2014/main" id="{6239FBFC-C360-4BB2-83CA-3710A8BAD1E4}"/>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43775" y="675989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621</xdr:row>
      <xdr:rowOff>28575</xdr:rowOff>
    </xdr:from>
    <xdr:to>
      <xdr:col>1</xdr:col>
      <xdr:colOff>0</xdr:colOff>
      <xdr:row>621</xdr:row>
      <xdr:rowOff>133350</xdr:rowOff>
    </xdr:to>
    <xdr:pic>
      <xdr:nvPicPr>
        <xdr:cNvPr id="1080" name="247 Imagen" descr="nuevo icono.png">
          <a:extLst>
            <a:ext uri="{FF2B5EF4-FFF2-40B4-BE49-F238E27FC236}">
              <a16:creationId xmlns:a16="http://schemas.microsoft.com/office/drawing/2014/main" id="{9C35268E-76DA-496E-BEEF-ECD5B7F6441F}"/>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9380220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432</xdr:row>
      <xdr:rowOff>19050</xdr:rowOff>
    </xdr:from>
    <xdr:ext cx="819150" cy="123825"/>
    <xdr:pic>
      <xdr:nvPicPr>
        <xdr:cNvPr id="1204" name="365 Imagen" descr="laser fibra icono.png">
          <a:extLst>
            <a:ext uri="{FF2B5EF4-FFF2-40B4-BE49-F238E27FC236}">
              <a16:creationId xmlns:a16="http://schemas.microsoft.com/office/drawing/2014/main" id="{6239FBFC-C360-4BB2-83CA-3710A8BAD1E4}"/>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43775" y="691229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431</xdr:row>
      <xdr:rowOff>19050</xdr:rowOff>
    </xdr:from>
    <xdr:ext cx="819150" cy="123825"/>
    <xdr:pic>
      <xdr:nvPicPr>
        <xdr:cNvPr id="1213" name="365 Imagen" descr="laser fibra icono.png">
          <a:extLst>
            <a:ext uri="{FF2B5EF4-FFF2-40B4-BE49-F238E27FC236}">
              <a16:creationId xmlns:a16="http://schemas.microsoft.com/office/drawing/2014/main" id="{6239FBFC-C360-4BB2-83CA-3710A8BAD1E4}"/>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43775" y="689705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426</xdr:row>
      <xdr:rowOff>19050</xdr:rowOff>
    </xdr:from>
    <xdr:to>
      <xdr:col>24</xdr:col>
      <xdr:colOff>47625</xdr:colOff>
      <xdr:row>426</xdr:row>
      <xdr:rowOff>144555</xdr:rowOff>
    </xdr:to>
    <xdr:pic>
      <xdr:nvPicPr>
        <xdr:cNvPr id="1216" name="307 Imagen" descr="laser icono.png">
          <a:extLst>
            <a:ext uri="{FF2B5EF4-FFF2-40B4-BE49-F238E27FC236}">
              <a16:creationId xmlns:a16="http://schemas.microsoft.com/office/drawing/2014/main" id="{B46A3E30-272A-4AF5-A52A-8526A0158758}"/>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43775" y="6820852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427</xdr:row>
      <xdr:rowOff>19050</xdr:rowOff>
    </xdr:from>
    <xdr:to>
      <xdr:col>24</xdr:col>
      <xdr:colOff>47625</xdr:colOff>
      <xdr:row>427</xdr:row>
      <xdr:rowOff>144555</xdr:rowOff>
    </xdr:to>
    <xdr:pic>
      <xdr:nvPicPr>
        <xdr:cNvPr id="1217" name="307 Imagen" descr="laser icono.png">
          <a:extLst>
            <a:ext uri="{FF2B5EF4-FFF2-40B4-BE49-F238E27FC236}">
              <a16:creationId xmlns:a16="http://schemas.microsoft.com/office/drawing/2014/main" id="{B46A3E30-272A-4AF5-A52A-8526A0158758}"/>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43775" y="6836092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428</xdr:row>
      <xdr:rowOff>19050</xdr:rowOff>
    </xdr:from>
    <xdr:to>
      <xdr:col>24</xdr:col>
      <xdr:colOff>47625</xdr:colOff>
      <xdr:row>428</xdr:row>
      <xdr:rowOff>144555</xdr:rowOff>
    </xdr:to>
    <xdr:pic>
      <xdr:nvPicPr>
        <xdr:cNvPr id="1219" name="307 Imagen" descr="laser icono.png">
          <a:extLst>
            <a:ext uri="{FF2B5EF4-FFF2-40B4-BE49-F238E27FC236}">
              <a16:creationId xmlns:a16="http://schemas.microsoft.com/office/drawing/2014/main" id="{B46A3E30-272A-4AF5-A52A-8526A0158758}"/>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43775" y="6851332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429</xdr:row>
      <xdr:rowOff>19050</xdr:rowOff>
    </xdr:from>
    <xdr:to>
      <xdr:col>24</xdr:col>
      <xdr:colOff>47625</xdr:colOff>
      <xdr:row>429</xdr:row>
      <xdr:rowOff>144555</xdr:rowOff>
    </xdr:to>
    <xdr:pic>
      <xdr:nvPicPr>
        <xdr:cNvPr id="1220" name="307 Imagen" descr="laser icono.png">
          <a:extLst>
            <a:ext uri="{FF2B5EF4-FFF2-40B4-BE49-F238E27FC236}">
              <a16:creationId xmlns:a16="http://schemas.microsoft.com/office/drawing/2014/main" id="{B46A3E30-272A-4AF5-A52A-8526A0158758}"/>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43775" y="6866572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146</xdr:row>
      <xdr:rowOff>19050</xdr:rowOff>
    </xdr:from>
    <xdr:ext cx="819150" cy="123825"/>
    <xdr:pic>
      <xdr:nvPicPr>
        <xdr:cNvPr id="1079" name="835 Imagen" descr="laser fibra icono.png">
          <a:extLst>
            <a:ext uri="{FF2B5EF4-FFF2-40B4-BE49-F238E27FC236}">
              <a16:creationId xmlns:a16="http://schemas.microsoft.com/office/drawing/2014/main" id="{D2AD4819-374C-4587-8991-34EFDF126D89}"/>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24725" y="222980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146</xdr:row>
      <xdr:rowOff>28575</xdr:rowOff>
    </xdr:from>
    <xdr:ext cx="342900" cy="104775"/>
    <xdr:pic>
      <xdr:nvPicPr>
        <xdr:cNvPr id="1113" name="272 Imagen" descr="nuevo icono.png">
          <a:extLst>
            <a:ext uri="{FF2B5EF4-FFF2-40B4-BE49-F238E27FC236}">
              <a16:creationId xmlns:a16="http://schemas.microsoft.com/office/drawing/2014/main" id="{43FCA153-6F88-4646-8CD4-020136CF3730}"/>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2261235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100</xdr:row>
      <xdr:rowOff>19050</xdr:rowOff>
    </xdr:from>
    <xdr:ext cx="819150" cy="123825"/>
    <xdr:pic>
      <xdr:nvPicPr>
        <xdr:cNvPr id="1221"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24725" y="163544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551</xdr:row>
      <xdr:rowOff>19050</xdr:rowOff>
    </xdr:from>
    <xdr:ext cx="847346" cy="121920"/>
    <xdr:pic>
      <xdr:nvPicPr>
        <xdr:cNvPr id="1222" name="Imagen 1221"/>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24725" y="84353400"/>
          <a:ext cx="847346" cy="121920"/>
        </a:xfrm>
        <a:prstGeom prst="rect">
          <a:avLst/>
        </a:prstGeom>
      </xdr:spPr>
    </xdr:pic>
    <xdr:clientData/>
  </xdr:oneCellAnchor>
  <xdr:twoCellAnchor editAs="oneCell">
    <xdr:from>
      <xdr:col>23</xdr:col>
      <xdr:colOff>9525</xdr:colOff>
      <xdr:row>522</xdr:row>
      <xdr:rowOff>19050</xdr:rowOff>
    </xdr:from>
    <xdr:to>
      <xdr:col>24</xdr:col>
      <xdr:colOff>75821</xdr:colOff>
      <xdr:row>522</xdr:row>
      <xdr:rowOff>140970</xdr:rowOff>
    </xdr:to>
    <xdr:pic>
      <xdr:nvPicPr>
        <xdr:cNvPr id="1223" name="Imagen 1222"/>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24725" y="80086200"/>
          <a:ext cx="847346" cy="121920"/>
        </a:xfrm>
        <a:prstGeom prst="rect">
          <a:avLst/>
        </a:prstGeom>
      </xdr:spPr>
    </xdr:pic>
    <xdr:clientData/>
  </xdr:twoCellAnchor>
  <xdr:oneCellAnchor>
    <xdr:from>
      <xdr:col>0</xdr:col>
      <xdr:colOff>0</xdr:colOff>
      <xdr:row>622</xdr:row>
      <xdr:rowOff>28575</xdr:rowOff>
    </xdr:from>
    <xdr:ext cx="342900" cy="104775"/>
    <xdr:pic>
      <xdr:nvPicPr>
        <xdr:cNvPr id="1224" name="247 Imagen" descr="nuevo icono.png">
          <a:extLst>
            <a:ext uri="{FF2B5EF4-FFF2-40B4-BE49-F238E27FC236}">
              <a16:creationId xmlns:a16="http://schemas.microsoft.com/office/drawing/2014/main" id="{9C35268E-76DA-496E-BEEF-ECD5B7F6441F}"/>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9410700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360</xdr:row>
      <xdr:rowOff>19050</xdr:rowOff>
    </xdr:from>
    <xdr:ext cx="819149" cy="123825"/>
    <xdr:pic>
      <xdr:nvPicPr>
        <xdr:cNvPr id="968"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6943725" y="56121300"/>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364</xdr:row>
      <xdr:rowOff>19050</xdr:rowOff>
    </xdr:from>
    <xdr:ext cx="819150" cy="123825"/>
    <xdr:pic>
      <xdr:nvPicPr>
        <xdr:cNvPr id="1125" name="359 Imagen" descr="tampo icono.png">
          <a:extLst>
            <a:ext uri="{FF2B5EF4-FFF2-40B4-BE49-F238E27FC236}">
              <a16:creationId xmlns:a16="http://schemas.microsoft.com/office/drawing/2014/main" id="{F3458D5E-333B-4B0A-8F3C-D2B9DFEE4E87}"/>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6943725" y="56121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66675</xdr:colOff>
      <xdr:row>364</xdr:row>
      <xdr:rowOff>19050</xdr:rowOff>
    </xdr:from>
    <xdr:ext cx="819149" cy="123825"/>
    <xdr:pic>
      <xdr:nvPicPr>
        <xdr:cNvPr id="1134"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781925" y="56121300"/>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362</xdr:row>
      <xdr:rowOff>28575</xdr:rowOff>
    </xdr:from>
    <xdr:ext cx="342900" cy="104775"/>
    <xdr:pic>
      <xdr:nvPicPr>
        <xdr:cNvPr id="1057" name="258 Imagen" descr="nuevo icono.png">
          <a:extLst>
            <a:ext uri="{FF2B5EF4-FFF2-40B4-BE49-F238E27FC236}">
              <a16:creationId xmlns:a16="http://schemas.microsoft.com/office/drawing/2014/main" id="{3C2A2AD4-685E-42C3-B5B0-480D96EABE62}"/>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562832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362</xdr:row>
      <xdr:rowOff>19050</xdr:rowOff>
    </xdr:from>
    <xdr:ext cx="819150" cy="123825"/>
    <xdr:pic>
      <xdr:nvPicPr>
        <xdr:cNvPr id="1158" name="359 Imagen" descr="tampo icono.png">
          <a:extLst>
            <a:ext uri="{FF2B5EF4-FFF2-40B4-BE49-F238E27FC236}">
              <a16:creationId xmlns:a16="http://schemas.microsoft.com/office/drawing/2014/main" id="{F3458D5E-333B-4B0A-8F3C-D2B9DFEE4E87}"/>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6943725" y="562737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66675</xdr:colOff>
      <xdr:row>362</xdr:row>
      <xdr:rowOff>19050</xdr:rowOff>
    </xdr:from>
    <xdr:ext cx="819149" cy="123825"/>
    <xdr:pic>
      <xdr:nvPicPr>
        <xdr:cNvPr id="1167"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781925" y="56273700"/>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486</xdr:row>
      <xdr:rowOff>19050</xdr:rowOff>
    </xdr:from>
    <xdr:ext cx="819914" cy="121920"/>
    <xdr:pic>
      <xdr:nvPicPr>
        <xdr:cNvPr id="1233" name="Imagen 1232"/>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6943725" y="74380725"/>
          <a:ext cx="819914" cy="121920"/>
        </a:xfrm>
        <a:prstGeom prst="rect">
          <a:avLst/>
        </a:prstGeom>
      </xdr:spPr>
    </xdr:pic>
    <xdr:clientData/>
  </xdr:oneCellAnchor>
  <xdr:oneCellAnchor>
    <xdr:from>
      <xdr:col>24</xdr:col>
      <xdr:colOff>57150</xdr:colOff>
      <xdr:row>486</xdr:row>
      <xdr:rowOff>19050</xdr:rowOff>
    </xdr:from>
    <xdr:ext cx="463297" cy="121920"/>
    <xdr:pic>
      <xdr:nvPicPr>
        <xdr:cNvPr id="1234" name="Imagen 1233"/>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7772400" y="74380725"/>
          <a:ext cx="463297" cy="121920"/>
        </a:xfrm>
        <a:prstGeom prst="rect">
          <a:avLst/>
        </a:prstGeom>
      </xdr:spPr>
    </xdr:pic>
    <xdr:clientData/>
  </xdr:oneCellAnchor>
  <xdr:oneCellAnchor>
    <xdr:from>
      <xdr:col>23</xdr:col>
      <xdr:colOff>9525</xdr:colOff>
      <xdr:row>539</xdr:row>
      <xdr:rowOff>19050</xdr:rowOff>
    </xdr:from>
    <xdr:ext cx="847346" cy="121920"/>
    <xdr:pic>
      <xdr:nvPicPr>
        <xdr:cNvPr id="1237" name="Imagen 1236"/>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24725" y="82067400"/>
          <a:ext cx="847346" cy="121920"/>
        </a:xfrm>
        <a:prstGeom prst="rect">
          <a:avLst/>
        </a:prstGeom>
      </xdr:spPr>
    </xdr:pic>
    <xdr:clientData/>
  </xdr:oneCellAnchor>
  <xdr:oneCellAnchor>
    <xdr:from>
      <xdr:col>0</xdr:col>
      <xdr:colOff>0</xdr:colOff>
      <xdr:row>539</xdr:row>
      <xdr:rowOff>28575</xdr:rowOff>
    </xdr:from>
    <xdr:ext cx="342900" cy="104775"/>
    <xdr:pic>
      <xdr:nvPicPr>
        <xdr:cNvPr id="1238" name="247 Imagen" descr="nuevo icono.png">
          <a:extLst>
            <a:ext uri="{FF2B5EF4-FFF2-40B4-BE49-F238E27FC236}">
              <a16:creationId xmlns:a16="http://schemas.microsoft.com/office/drawing/2014/main" id="{9C35268E-76DA-496E-BEEF-ECD5B7F6441F}"/>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823817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410</xdr:row>
      <xdr:rowOff>19050</xdr:rowOff>
    </xdr:from>
    <xdr:ext cx="819150" cy="123825"/>
    <xdr:pic>
      <xdr:nvPicPr>
        <xdr:cNvPr id="903"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6943725" y="628745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6</xdr:col>
      <xdr:colOff>9525</xdr:colOff>
      <xdr:row>23</xdr:row>
      <xdr:rowOff>19050</xdr:rowOff>
    </xdr:from>
    <xdr:to>
      <xdr:col>9</xdr:col>
      <xdr:colOff>12838</xdr:colOff>
      <xdr:row>23</xdr:row>
      <xdr:rowOff>142875</xdr:rowOff>
    </xdr:to>
    <xdr:pic>
      <xdr:nvPicPr>
        <xdr:cNvPr id="1058"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3962400"/>
          <a:ext cx="812938"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498</xdr:row>
      <xdr:rowOff>19050</xdr:rowOff>
    </xdr:from>
    <xdr:ext cx="819914" cy="121920"/>
    <xdr:pic>
      <xdr:nvPicPr>
        <xdr:cNvPr id="1087" name="Imagen 1086"/>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6943725" y="75742800"/>
          <a:ext cx="819914" cy="121920"/>
        </a:xfrm>
        <a:prstGeom prst="rect">
          <a:avLst/>
        </a:prstGeom>
      </xdr:spPr>
    </xdr:pic>
    <xdr:clientData/>
  </xdr:oneCellAnchor>
  <xdr:twoCellAnchor editAs="oneCell">
    <xdr:from>
      <xdr:col>23</xdr:col>
      <xdr:colOff>9525</xdr:colOff>
      <xdr:row>497</xdr:row>
      <xdr:rowOff>19050</xdr:rowOff>
    </xdr:from>
    <xdr:to>
      <xdr:col>24</xdr:col>
      <xdr:colOff>47625</xdr:colOff>
      <xdr:row>497</xdr:row>
      <xdr:rowOff>144555</xdr:rowOff>
    </xdr:to>
    <xdr:pic>
      <xdr:nvPicPr>
        <xdr:cNvPr id="1094" name="413 Imagen" descr="subli 4 g icono.png">
          <a:extLst>
            <a:ext uri="{FF2B5EF4-FFF2-40B4-BE49-F238E27FC236}">
              <a16:creationId xmlns:a16="http://schemas.microsoft.com/office/drawing/2014/main" id="{AC7C27E5-1860-4C58-91E4-3842F0D99D93}"/>
            </a:ext>
          </a:extLst>
        </xdr:cNvPr>
        <xdr:cNvPicPr>
          <a:picLocks noChangeAspect="1"/>
        </xdr:cNvPicPr>
      </xdr:nvPicPr>
      <xdr:blipFill>
        <a:blip xmlns:r="http://schemas.openxmlformats.org/officeDocument/2006/relationships" r:embed="rId60"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6943725" y="75742800"/>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407</xdr:row>
      <xdr:rowOff>19050</xdr:rowOff>
    </xdr:from>
    <xdr:ext cx="819150" cy="125505"/>
    <xdr:pic>
      <xdr:nvPicPr>
        <xdr:cNvPr id="895" name="518 Imagen" descr="laser fibra icono.png">
          <a:extLst>
            <a:ext uri="{FF2B5EF4-FFF2-40B4-BE49-F238E27FC236}">
              <a16:creationId xmlns:a16="http://schemas.microsoft.com/office/drawing/2014/main" id="{C58AC47F-3796-4DCF-A9B1-365E2E449AB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6943725" y="6256972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407</xdr:row>
      <xdr:rowOff>28575</xdr:rowOff>
    </xdr:from>
    <xdr:ext cx="342900" cy="104775"/>
    <xdr:pic>
      <xdr:nvPicPr>
        <xdr:cNvPr id="995" name="247 Imagen" descr="nuevo icono.png">
          <a:extLst>
            <a:ext uri="{FF2B5EF4-FFF2-40B4-BE49-F238E27FC236}">
              <a16:creationId xmlns:a16="http://schemas.microsoft.com/office/drawing/2014/main" id="{D18BE403-B8EC-4ED4-ADAB-3FF1224643EA}"/>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9525" y="6273165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96</xdr:row>
      <xdr:rowOff>19050</xdr:rowOff>
    </xdr:from>
    <xdr:ext cx="819150" cy="123825"/>
    <xdr:pic>
      <xdr:nvPicPr>
        <xdr:cNvPr id="1089"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149828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97</xdr:row>
      <xdr:rowOff>19050</xdr:rowOff>
    </xdr:from>
    <xdr:ext cx="819150" cy="123825"/>
    <xdr:pic>
      <xdr:nvPicPr>
        <xdr:cNvPr id="1108"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151352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28</xdr:row>
      <xdr:rowOff>19050</xdr:rowOff>
    </xdr:from>
    <xdr:ext cx="819149" cy="123825"/>
    <xdr:pic>
      <xdr:nvPicPr>
        <xdr:cNvPr id="1132"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6943725" y="4876800"/>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153</xdr:row>
      <xdr:rowOff>19050</xdr:rowOff>
    </xdr:from>
    <xdr:to>
      <xdr:col>24</xdr:col>
      <xdr:colOff>47625</xdr:colOff>
      <xdr:row>153</xdr:row>
      <xdr:rowOff>142875</xdr:rowOff>
    </xdr:to>
    <xdr:pic>
      <xdr:nvPicPr>
        <xdr:cNvPr id="1140"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238220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322</xdr:row>
      <xdr:rowOff>19050</xdr:rowOff>
    </xdr:from>
    <xdr:to>
      <xdr:col>24</xdr:col>
      <xdr:colOff>47625</xdr:colOff>
      <xdr:row>322</xdr:row>
      <xdr:rowOff>142875</xdr:rowOff>
    </xdr:to>
    <xdr:pic>
      <xdr:nvPicPr>
        <xdr:cNvPr id="1199"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50025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414</xdr:row>
      <xdr:rowOff>19050</xdr:rowOff>
    </xdr:from>
    <xdr:ext cx="819150" cy="123825"/>
    <xdr:pic>
      <xdr:nvPicPr>
        <xdr:cNvPr id="892"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6943725" y="637889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414</xdr:row>
      <xdr:rowOff>28575</xdr:rowOff>
    </xdr:from>
    <xdr:ext cx="342900" cy="104775"/>
    <xdr:pic>
      <xdr:nvPicPr>
        <xdr:cNvPr id="893" name="247 Imagen" descr="nuevo icono.png">
          <a:extLst>
            <a:ext uri="{FF2B5EF4-FFF2-40B4-BE49-F238E27FC236}">
              <a16:creationId xmlns:a16="http://schemas.microsoft.com/office/drawing/2014/main" id="{D18BE403-B8EC-4ED4-ADAB-3FF1224643EA}"/>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6334125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6</xdr:col>
      <xdr:colOff>9525</xdr:colOff>
      <xdr:row>462</xdr:row>
      <xdr:rowOff>19050</xdr:rowOff>
    </xdr:from>
    <xdr:to>
      <xdr:col>10</xdr:col>
      <xdr:colOff>1</xdr:colOff>
      <xdr:row>462</xdr:row>
      <xdr:rowOff>142875</xdr:rowOff>
    </xdr:to>
    <xdr:pic>
      <xdr:nvPicPr>
        <xdr:cNvPr id="1020"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667125" y="70494525"/>
          <a:ext cx="819151"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430</xdr:row>
      <xdr:rowOff>19050</xdr:rowOff>
    </xdr:from>
    <xdr:to>
      <xdr:col>8</xdr:col>
      <xdr:colOff>181170</xdr:colOff>
      <xdr:row>430</xdr:row>
      <xdr:rowOff>142875</xdr:rowOff>
    </xdr:to>
    <xdr:pic>
      <xdr:nvPicPr>
        <xdr:cNvPr id="1130" name="1079 Imagen" descr="AGOTADO ICONO.png">
          <a:extLst>
            <a:ext uri="{FF2B5EF4-FFF2-40B4-BE49-F238E27FC236}">
              <a16:creationId xmlns:a16="http://schemas.microsoft.com/office/drawing/2014/main" id="{E5B61E32-B63D-4D21-86D5-907D2E6D5227}"/>
            </a:ext>
          </a:extLst>
        </xdr:cNvPr>
        <xdr:cNvPicPr>
          <a:picLocks noChangeAspect="1"/>
        </xdr:cNvPicPr>
      </xdr:nvPicPr>
      <xdr:blipFill>
        <a:blip xmlns:r="http://schemas.openxmlformats.org/officeDocument/2006/relationships" r:embed="rId70" cstate="print">
          <a:extLst>
            <a:ext uri="{28A0092B-C50C-407E-A947-70E740481C1C}">
              <a14:useLocalDpi xmlns:a14="http://schemas.microsoft.com/office/drawing/2010/main" val="0"/>
            </a:ext>
          </a:extLst>
        </a:blip>
        <a:srcRect/>
        <a:stretch>
          <a:fillRect/>
        </a:stretch>
      </xdr:blipFill>
      <xdr:spPr bwMode="auto">
        <a:xfrm>
          <a:off x="3276600" y="68513325"/>
          <a:ext cx="58122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408</xdr:row>
      <xdr:rowOff>19050</xdr:rowOff>
    </xdr:from>
    <xdr:ext cx="819150" cy="125505"/>
    <xdr:pic>
      <xdr:nvPicPr>
        <xdr:cNvPr id="1169" name="518 Imagen" descr="laser fibra icono.png">
          <a:extLst>
            <a:ext uri="{FF2B5EF4-FFF2-40B4-BE49-F238E27FC236}">
              <a16:creationId xmlns:a16="http://schemas.microsoft.com/office/drawing/2014/main" id="{C58AC47F-3796-4DCF-A9B1-365E2E449AB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34250" y="6256972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408</xdr:row>
      <xdr:rowOff>28575</xdr:rowOff>
    </xdr:from>
    <xdr:ext cx="342900" cy="104775"/>
    <xdr:pic>
      <xdr:nvPicPr>
        <xdr:cNvPr id="1269" name="247 Imagen" descr="nuevo icono.png">
          <a:extLst>
            <a:ext uri="{FF2B5EF4-FFF2-40B4-BE49-F238E27FC236}">
              <a16:creationId xmlns:a16="http://schemas.microsoft.com/office/drawing/2014/main" id="{D18BE403-B8EC-4ED4-ADAB-3FF1224643EA}"/>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9525" y="6257925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383</xdr:row>
      <xdr:rowOff>28575</xdr:rowOff>
    </xdr:from>
    <xdr:to>
      <xdr:col>1</xdr:col>
      <xdr:colOff>0</xdr:colOff>
      <xdr:row>383</xdr:row>
      <xdr:rowOff>133350</xdr:rowOff>
    </xdr:to>
    <xdr:pic>
      <xdr:nvPicPr>
        <xdr:cNvPr id="1270" name="222 Imagen" descr="oferta icono.png">
          <a:extLst>
            <a:ext uri="{FF2B5EF4-FFF2-40B4-BE49-F238E27FC236}">
              <a16:creationId xmlns:a16="http://schemas.microsoft.com/office/drawing/2014/main" id="{3E96CCA1-0FD5-4D0A-BD9D-85B022678771}"/>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591788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287</xdr:row>
      <xdr:rowOff>19050</xdr:rowOff>
    </xdr:from>
    <xdr:to>
      <xdr:col>24</xdr:col>
      <xdr:colOff>47624</xdr:colOff>
      <xdr:row>287</xdr:row>
      <xdr:rowOff>142875</xdr:rowOff>
    </xdr:to>
    <xdr:pic>
      <xdr:nvPicPr>
        <xdr:cNvPr id="1282"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44034075"/>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24</xdr:col>
      <xdr:colOff>74958</xdr:colOff>
      <xdr:row>280</xdr:row>
      <xdr:rowOff>16566</xdr:rowOff>
    </xdr:from>
    <xdr:ext cx="502919" cy="121920"/>
    <xdr:pic>
      <xdr:nvPicPr>
        <xdr:cNvPr id="1288" name="Imagen 1287"/>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80733" y="42964791"/>
          <a:ext cx="502919" cy="121920"/>
        </a:xfrm>
        <a:prstGeom prst="rect">
          <a:avLst/>
        </a:prstGeom>
      </xdr:spPr>
    </xdr:pic>
    <xdr:clientData/>
  </xdr:oneCellAnchor>
  <xdr:twoCellAnchor editAs="oneCell">
    <xdr:from>
      <xdr:col>23</xdr:col>
      <xdr:colOff>9525</xdr:colOff>
      <xdr:row>282</xdr:row>
      <xdr:rowOff>19050</xdr:rowOff>
    </xdr:from>
    <xdr:to>
      <xdr:col>24</xdr:col>
      <xdr:colOff>47624</xdr:colOff>
      <xdr:row>282</xdr:row>
      <xdr:rowOff>142875</xdr:rowOff>
    </xdr:to>
    <xdr:pic>
      <xdr:nvPicPr>
        <xdr:cNvPr id="1291"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43119675"/>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283</xdr:row>
      <xdr:rowOff>19050</xdr:rowOff>
    </xdr:from>
    <xdr:to>
      <xdr:col>24</xdr:col>
      <xdr:colOff>47624</xdr:colOff>
      <xdr:row>283</xdr:row>
      <xdr:rowOff>142875</xdr:rowOff>
    </xdr:to>
    <xdr:pic>
      <xdr:nvPicPr>
        <xdr:cNvPr id="1296"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43272075"/>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284</xdr:row>
      <xdr:rowOff>19050</xdr:rowOff>
    </xdr:from>
    <xdr:to>
      <xdr:col>24</xdr:col>
      <xdr:colOff>47624</xdr:colOff>
      <xdr:row>284</xdr:row>
      <xdr:rowOff>142875</xdr:rowOff>
    </xdr:to>
    <xdr:pic>
      <xdr:nvPicPr>
        <xdr:cNvPr id="1299"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43424475"/>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280</xdr:row>
      <xdr:rowOff>19050</xdr:rowOff>
    </xdr:from>
    <xdr:to>
      <xdr:col>24</xdr:col>
      <xdr:colOff>47624</xdr:colOff>
      <xdr:row>280</xdr:row>
      <xdr:rowOff>142875</xdr:rowOff>
    </xdr:to>
    <xdr:pic>
      <xdr:nvPicPr>
        <xdr:cNvPr id="1300"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42814875"/>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301</xdr:row>
      <xdr:rowOff>19050</xdr:rowOff>
    </xdr:from>
    <xdr:to>
      <xdr:col>24</xdr:col>
      <xdr:colOff>47624</xdr:colOff>
      <xdr:row>301</xdr:row>
      <xdr:rowOff>142875</xdr:rowOff>
    </xdr:to>
    <xdr:pic>
      <xdr:nvPicPr>
        <xdr:cNvPr id="1319"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46320075"/>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313</xdr:row>
      <xdr:rowOff>19050</xdr:rowOff>
    </xdr:from>
    <xdr:to>
      <xdr:col>24</xdr:col>
      <xdr:colOff>47625</xdr:colOff>
      <xdr:row>313</xdr:row>
      <xdr:rowOff>142875</xdr:rowOff>
    </xdr:to>
    <xdr:pic>
      <xdr:nvPicPr>
        <xdr:cNvPr id="1325"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49263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314</xdr:row>
      <xdr:rowOff>19050</xdr:rowOff>
    </xdr:from>
    <xdr:to>
      <xdr:col>24</xdr:col>
      <xdr:colOff>47625</xdr:colOff>
      <xdr:row>314</xdr:row>
      <xdr:rowOff>142875</xdr:rowOff>
    </xdr:to>
    <xdr:pic>
      <xdr:nvPicPr>
        <xdr:cNvPr id="1326"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494157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288</xdr:row>
      <xdr:rowOff>19050</xdr:rowOff>
    </xdr:from>
    <xdr:ext cx="828675" cy="123825"/>
    <xdr:pic>
      <xdr:nvPicPr>
        <xdr:cNvPr id="1327" name="589 Imagen" descr="laser fibra icono.png">
          <a:extLst>
            <a:ext uri="{FF2B5EF4-FFF2-40B4-BE49-F238E27FC236}">
              <a16:creationId xmlns:a16="http://schemas.microsoft.com/office/drawing/2014/main" id="{F93AC8A6-CC1B-40DD-A8E3-6CDEB7A13BCC}"/>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7334250" y="44338875"/>
          <a:ext cx="8286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289</xdr:row>
      <xdr:rowOff>19050</xdr:rowOff>
    </xdr:from>
    <xdr:ext cx="828675" cy="123825"/>
    <xdr:pic>
      <xdr:nvPicPr>
        <xdr:cNvPr id="1328" name="589 Imagen" descr="laser fibra icono.png">
          <a:extLst>
            <a:ext uri="{FF2B5EF4-FFF2-40B4-BE49-F238E27FC236}">
              <a16:creationId xmlns:a16="http://schemas.microsoft.com/office/drawing/2014/main" id="{F93AC8A6-CC1B-40DD-A8E3-6CDEB7A13BCC}"/>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7334250" y="44491275"/>
          <a:ext cx="8286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309</xdr:row>
      <xdr:rowOff>19050</xdr:rowOff>
    </xdr:from>
    <xdr:to>
      <xdr:col>24</xdr:col>
      <xdr:colOff>47625</xdr:colOff>
      <xdr:row>309</xdr:row>
      <xdr:rowOff>142875</xdr:rowOff>
    </xdr:to>
    <xdr:pic>
      <xdr:nvPicPr>
        <xdr:cNvPr id="1333"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476916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162</xdr:row>
      <xdr:rowOff>19050</xdr:rowOff>
    </xdr:from>
    <xdr:to>
      <xdr:col>24</xdr:col>
      <xdr:colOff>47625</xdr:colOff>
      <xdr:row>162</xdr:row>
      <xdr:rowOff>142875</xdr:rowOff>
    </xdr:to>
    <xdr:pic>
      <xdr:nvPicPr>
        <xdr:cNvPr id="1334"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252507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163</xdr:row>
      <xdr:rowOff>19050</xdr:rowOff>
    </xdr:from>
    <xdr:to>
      <xdr:col>24</xdr:col>
      <xdr:colOff>47625</xdr:colOff>
      <xdr:row>163</xdr:row>
      <xdr:rowOff>142875</xdr:rowOff>
    </xdr:to>
    <xdr:pic>
      <xdr:nvPicPr>
        <xdr:cNvPr id="1339"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254031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196</xdr:row>
      <xdr:rowOff>19050</xdr:rowOff>
    </xdr:from>
    <xdr:to>
      <xdr:col>24</xdr:col>
      <xdr:colOff>47625</xdr:colOff>
      <xdr:row>196</xdr:row>
      <xdr:rowOff>142875</xdr:rowOff>
    </xdr:to>
    <xdr:pic>
      <xdr:nvPicPr>
        <xdr:cNvPr id="1340" name="783 Imagen" descr="tampo icono.png">
          <a:extLst>
            <a:ext uri="{FF2B5EF4-FFF2-40B4-BE49-F238E27FC236}">
              <a16:creationId xmlns:a16="http://schemas.microsoft.com/office/drawing/2014/main" id="{388F74A9-B543-475C-B70E-8B712B0582CC}"/>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7334250" y="304323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533</xdr:row>
      <xdr:rowOff>19050</xdr:rowOff>
    </xdr:from>
    <xdr:ext cx="847346" cy="121920"/>
    <xdr:pic>
      <xdr:nvPicPr>
        <xdr:cNvPr id="1008" name="Imagen 1007"/>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34250" y="81610200"/>
          <a:ext cx="847346" cy="121920"/>
        </a:xfrm>
        <a:prstGeom prst="rect">
          <a:avLst/>
        </a:prstGeom>
      </xdr:spPr>
    </xdr:pic>
    <xdr:clientData/>
  </xdr:oneCellAnchor>
  <xdr:oneCellAnchor>
    <xdr:from>
      <xdr:col>23</xdr:col>
      <xdr:colOff>9525</xdr:colOff>
      <xdr:row>534</xdr:row>
      <xdr:rowOff>19050</xdr:rowOff>
    </xdr:from>
    <xdr:ext cx="847346" cy="121920"/>
    <xdr:pic>
      <xdr:nvPicPr>
        <xdr:cNvPr id="1016" name="Imagen 1015"/>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34250" y="81762600"/>
          <a:ext cx="847346" cy="121920"/>
        </a:xfrm>
        <a:prstGeom prst="rect">
          <a:avLst/>
        </a:prstGeom>
      </xdr:spPr>
    </xdr:pic>
    <xdr:clientData/>
  </xdr:oneCellAnchor>
  <xdr:oneCellAnchor>
    <xdr:from>
      <xdr:col>23</xdr:col>
      <xdr:colOff>9525</xdr:colOff>
      <xdr:row>518</xdr:row>
      <xdr:rowOff>19050</xdr:rowOff>
    </xdr:from>
    <xdr:ext cx="847346" cy="121920"/>
    <xdr:pic>
      <xdr:nvPicPr>
        <xdr:cNvPr id="1033" name="Imagen 1032"/>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34250" y="79476600"/>
          <a:ext cx="847346" cy="121920"/>
        </a:xfrm>
        <a:prstGeom prst="rect">
          <a:avLst/>
        </a:prstGeom>
      </xdr:spPr>
    </xdr:pic>
    <xdr:clientData/>
  </xdr:oneCellAnchor>
  <xdr:oneCellAnchor>
    <xdr:from>
      <xdr:col>23</xdr:col>
      <xdr:colOff>9525</xdr:colOff>
      <xdr:row>520</xdr:row>
      <xdr:rowOff>19050</xdr:rowOff>
    </xdr:from>
    <xdr:ext cx="847346" cy="121920"/>
    <xdr:pic>
      <xdr:nvPicPr>
        <xdr:cNvPr id="1065" name="Imagen 1064"/>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34250" y="79629000"/>
          <a:ext cx="847346" cy="121920"/>
        </a:xfrm>
        <a:prstGeom prst="rect">
          <a:avLst/>
        </a:prstGeom>
      </xdr:spPr>
    </xdr:pic>
    <xdr:clientData/>
  </xdr:oneCellAnchor>
  <xdr:oneCellAnchor>
    <xdr:from>
      <xdr:col>23</xdr:col>
      <xdr:colOff>9525</xdr:colOff>
      <xdr:row>471</xdr:row>
      <xdr:rowOff>19050</xdr:rowOff>
    </xdr:from>
    <xdr:ext cx="847346" cy="121920"/>
    <xdr:pic>
      <xdr:nvPicPr>
        <xdr:cNvPr id="930" name="Imagen 929"/>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6943725" y="72018525"/>
          <a:ext cx="847346" cy="121920"/>
        </a:xfrm>
        <a:prstGeom prst="rect">
          <a:avLst/>
        </a:prstGeom>
      </xdr:spPr>
    </xdr:pic>
    <xdr:clientData/>
  </xdr:oneCellAnchor>
  <xdr:oneCellAnchor>
    <xdr:from>
      <xdr:col>23</xdr:col>
      <xdr:colOff>9525</xdr:colOff>
      <xdr:row>377</xdr:row>
      <xdr:rowOff>19050</xdr:rowOff>
    </xdr:from>
    <xdr:ext cx="819150" cy="123825"/>
    <xdr:pic>
      <xdr:nvPicPr>
        <xdr:cNvPr id="1044"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585597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377</xdr:row>
      <xdr:rowOff>28575</xdr:rowOff>
    </xdr:from>
    <xdr:ext cx="342900" cy="104775"/>
    <xdr:pic>
      <xdr:nvPicPr>
        <xdr:cNvPr id="1066" name="258 Imagen" descr="nuevo icono.png">
          <a:extLst>
            <a:ext uri="{FF2B5EF4-FFF2-40B4-BE49-F238E27FC236}">
              <a16:creationId xmlns:a16="http://schemas.microsoft.com/office/drawing/2014/main" id="{3C2A2AD4-685E-42C3-B5B0-480D96EABE62}"/>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584168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344</xdr:row>
      <xdr:rowOff>19050</xdr:rowOff>
    </xdr:from>
    <xdr:ext cx="819150" cy="123825"/>
    <xdr:pic>
      <xdr:nvPicPr>
        <xdr:cNvPr id="1075"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58407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344</xdr:row>
      <xdr:rowOff>28575</xdr:rowOff>
    </xdr:from>
    <xdr:ext cx="342900" cy="104775"/>
    <xdr:pic>
      <xdr:nvPicPr>
        <xdr:cNvPr id="1077" name="258 Imagen" descr="nuevo icono.png">
          <a:extLst>
            <a:ext uri="{FF2B5EF4-FFF2-40B4-BE49-F238E27FC236}">
              <a16:creationId xmlns:a16="http://schemas.microsoft.com/office/drawing/2014/main" id="{3C2A2AD4-685E-42C3-B5B0-480D96EABE62}"/>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584168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228</xdr:row>
      <xdr:rowOff>19050</xdr:rowOff>
    </xdr:from>
    <xdr:ext cx="819150" cy="123825"/>
    <xdr:pic>
      <xdr:nvPicPr>
        <xdr:cNvPr id="1154" name="659 Imagen" descr="seri icono.png">
          <a:extLst>
            <a:ext uri="{FF2B5EF4-FFF2-40B4-BE49-F238E27FC236}">
              <a16:creationId xmlns:a16="http://schemas.microsoft.com/office/drawing/2014/main" id="{CFC55181-40DC-4BCF-8415-11762553DF18}"/>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34250" y="362235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66675</xdr:colOff>
      <xdr:row>228</xdr:row>
      <xdr:rowOff>28575</xdr:rowOff>
    </xdr:from>
    <xdr:ext cx="819149" cy="123825"/>
    <xdr:pic>
      <xdr:nvPicPr>
        <xdr:cNvPr id="1183"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72450" y="36233100"/>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227</xdr:row>
      <xdr:rowOff>19050</xdr:rowOff>
    </xdr:from>
    <xdr:ext cx="819150" cy="123825"/>
    <xdr:pic>
      <xdr:nvPicPr>
        <xdr:cNvPr id="1264" name="659 Imagen" descr="seri icono.png">
          <a:extLst>
            <a:ext uri="{FF2B5EF4-FFF2-40B4-BE49-F238E27FC236}">
              <a16:creationId xmlns:a16="http://schemas.microsoft.com/office/drawing/2014/main" id="{CFC55181-40DC-4BCF-8415-11762553DF18}"/>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34250" y="354615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66675</xdr:colOff>
      <xdr:row>227</xdr:row>
      <xdr:rowOff>28575</xdr:rowOff>
    </xdr:from>
    <xdr:ext cx="819149" cy="123825"/>
    <xdr:pic>
      <xdr:nvPicPr>
        <xdr:cNvPr id="1272"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72450" y="35471100"/>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9</xdr:row>
      <xdr:rowOff>19050</xdr:rowOff>
    </xdr:from>
    <xdr:to>
      <xdr:col>24</xdr:col>
      <xdr:colOff>47624</xdr:colOff>
      <xdr:row>9</xdr:row>
      <xdr:rowOff>142875</xdr:rowOff>
    </xdr:to>
    <xdr:pic>
      <xdr:nvPicPr>
        <xdr:cNvPr id="1343"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1828800"/>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10</xdr:row>
      <xdr:rowOff>19050</xdr:rowOff>
    </xdr:from>
    <xdr:to>
      <xdr:col>24</xdr:col>
      <xdr:colOff>47624</xdr:colOff>
      <xdr:row>10</xdr:row>
      <xdr:rowOff>142875</xdr:rowOff>
    </xdr:to>
    <xdr:pic>
      <xdr:nvPicPr>
        <xdr:cNvPr id="1346"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1981200"/>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225</xdr:row>
      <xdr:rowOff>19050</xdr:rowOff>
    </xdr:from>
    <xdr:ext cx="819150" cy="123825"/>
    <xdr:pic>
      <xdr:nvPicPr>
        <xdr:cNvPr id="1359"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351567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402</xdr:row>
      <xdr:rowOff>19050</xdr:rowOff>
    </xdr:from>
    <xdr:ext cx="819150" cy="125505"/>
    <xdr:pic>
      <xdr:nvPicPr>
        <xdr:cNvPr id="1374" name="518 Imagen" descr="laser fibra icono.png">
          <a:extLst>
            <a:ext uri="{FF2B5EF4-FFF2-40B4-BE49-F238E27FC236}">
              <a16:creationId xmlns:a16="http://schemas.microsoft.com/office/drawing/2014/main" id="{C58AC47F-3796-4DCF-A9B1-365E2E449AB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34250" y="6241732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401</xdr:row>
      <xdr:rowOff>19050</xdr:rowOff>
    </xdr:from>
    <xdr:ext cx="819150" cy="125505"/>
    <xdr:pic>
      <xdr:nvPicPr>
        <xdr:cNvPr id="1380" name="518 Imagen" descr="laser fibra icono.png">
          <a:extLst>
            <a:ext uri="{FF2B5EF4-FFF2-40B4-BE49-F238E27FC236}">
              <a16:creationId xmlns:a16="http://schemas.microsoft.com/office/drawing/2014/main" id="{C58AC47F-3796-4DCF-A9B1-365E2E449AB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34250" y="6211252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404</xdr:row>
      <xdr:rowOff>19050</xdr:rowOff>
    </xdr:from>
    <xdr:ext cx="819150" cy="125505"/>
    <xdr:pic>
      <xdr:nvPicPr>
        <xdr:cNvPr id="1387" name="518 Imagen" descr="laser fibra icono.png">
          <a:extLst>
            <a:ext uri="{FF2B5EF4-FFF2-40B4-BE49-F238E27FC236}">
              <a16:creationId xmlns:a16="http://schemas.microsoft.com/office/drawing/2014/main" id="{C58AC47F-3796-4DCF-A9B1-365E2E449AB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34250" y="6196012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403</xdr:row>
      <xdr:rowOff>19050</xdr:rowOff>
    </xdr:from>
    <xdr:ext cx="819150" cy="125505"/>
    <xdr:pic>
      <xdr:nvPicPr>
        <xdr:cNvPr id="1395" name="518 Imagen" descr="laser fibra icono.png">
          <a:extLst>
            <a:ext uri="{FF2B5EF4-FFF2-40B4-BE49-F238E27FC236}">
              <a16:creationId xmlns:a16="http://schemas.microsoft.com/office/drawing/2014/main" id="{C58AC47F-3796-4DCF-A9B1-365E2E449AB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34250" y="6241732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345</xdr:row>
      <xdr:rowOff>19050</xdr:rowOff>
    </xdr:from>
    <xdr:ext cx="819150" cy="123825"/>
    <xdr:pic>
      <xdr:nvPicPr>
        <xdr:cNvPr id="965"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6943725" y="533781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345</xdr:row>
      <xdr:rowOff>28575</xdr:rowOff>
    </xdr:from>
    <xdr:ext cx="342900" cy="104775"/>
    <xdr:pic>
      <xdr:nvPicPr>
        <xdr:cNvPr id="992" name="258 Imagen" descr="nuevo icono.png">
          <a:extLst>
            <a:ext uri="{FF2B5EF4-FFF2-40B4-BE49-F238E27FC236}">
              <a16:creationId xmlns:a16="http://schemas.microsoft.com/office/drawing/2014/main" id="{3C2A2AD4-685E-42C3-B5B0-480D96EABE62}"/>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533876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346</xdr:row>
      <xdr:rowOff>19050</xdr:rowOff>
    </xdr:from>
    <xdr:ext cx="819150" cy="123825"/>
    <xdr:pic>
      <xdr:nvPicPr>
        <xdr:cNvPr id="1026"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535305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346</xdr:row>
      <xdr:rowOff>28575</xdr:rowOff>
    </xdr:from>
    <xdr:ext cx="342900" cy="104775"/>
    <xdr:pic>
      <xdr:nvPicPr>
        <xdr:cNvPr id="1150" name="258 Imagen" descr="nuevo icono.png">
          <a:extLst>
            <a:ext uri="{FF2B5EF4-FFF2-40B4-BE49-F238E27FC236}">
              <a16:creationId xmlns:a16="http://schemas.microsoft.com/office/drawing/2014/main" id="{3C2A2AD4-685E-42C3-B5B0-480D96EABE62}"/>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535400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308</xdr:row>
      <xdr:rowOff>19050</xdr:rowOff>
    </xdr:from>
    <xdr:to>
      <xdr:col>24</xdr:col>
      <xdr:colOff>47625</xdr:colOff>
      <xdr:row>308</xdr:row>
      <xdr:rowOff>142875</xdr:rowOff>
    </xdr:to>
    <xdr:pic>
      <xdr:nvPicPr>
        <xdr:cNvPr id="1236"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475392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556</xdr:row>
      <xdr:rowOff>19050</xdr:rowOff>
    </xdr:from>
    <xdr:ext cx="847346" cy="121920"/>
    <xdr:pic>
      <xdr:nvPicPr>
        <xdr:cNvPr id="1242" name="Imagen 1241"/>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84963000"/>
          <a:ext cx="847346" cy="121920"/>
        </a:xfrm>
        <a:prstGeom prst="rect">
          <a:avLst/>
        </a:prstGeom>
      </xdr:spPr>
    </xdr:pic>
    <xdr:clientData/>
  </xdr:oneCellAnchor>
  <xdr:oneCellAnchor>
    <xdr:from>
      <xdr:col>0</xdr:col>
      <xdr:colOff>0</xdr:colOff>
      <xdr:row>556</xdr:row>
      <xdr:rowOff>28575</xdr:rowOff>
    </xdr:from>
    <xdr:ext cx="342900" cy="104775"/>
    <xdr:pic>
      <xdr:nvPicPr>
        <xdr:cNvPr id="1297" name="247 Imagen" descr="nuevo icono.png">
          <a:extLst>
            <a:ext uri="{FF2B5EF4-FFF2-40B4-BE49-F238E27FC236}">
              <a16:creationId xmlns:a16="http://schemas.microsoft.com/office/drawing/2014/main" id="{9C35268E-76DA-496E-BEEF-ECD5B7F6441F}"/>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849725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484</xdr:row>
      <xdr:rowOff>19050</xdr:rowOff>
    </xdr:from>
    <xdr:ext cx="819150" cy="125505"/>
    <xdr:pic>
      <xdr:nvPicPr>
        <xdr:cNvPr id="1332" name="413 Imagen" descr="subli 4 g icono.png">
          <a:extLst>
            <a:ext uri="{FF2B5EF4-FFF2-40B4-BE49-F238E27FC236}">
              <a16:creationId xmlns:a16="http://schemas.microsoft.com/office/drawing/2014/main" id="{AC7C27E5-1860-4C58-91E4-3842F0D99D93}"/>
            </a:ext>
          </a:extLst>
        </xdr:cNvPr>
        <xdr:cNvPicPr>
          <a:picLocks noChangeAspect="1"/>
        </xdr:cNvPicPr>
      </xdr:nvPicPr>
      <xdr:blipFill>
        <a:blip xmlns:r="http://schemas.openxmlformats.org/officeDocument/2006/relationships" r:embed="rId60"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6943725" y="74218800"/>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485</xdr:row>
      <xdr:rowOff>19050</xdr:rowOff>
    </xdr:from>
    <xdr:ext cx="819914" cy="121920"/>
    <xdr:pic>
      <xdr:nvPicPr>
        <xdr:cNvPr id="1399" name="Imagen 1398"/>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6943725" y="74371200"/>
          <a:ext cx="819914" cy="121920"/>
        </a:xfrm>
        <a:prstGeom prst="rect">
          <a:avLst/>
        </a:prstGeom>
      </xdr:spPr>
    </xdr:pic>
    <xdr:clientData/>
  </xdr:oneCellAnchor>
  <xdr:oneCellAnchor>
    <xdr:from>
      <xdr:col>24</xdr:col>
      <xdr:colOff>57150</xdr:colOff>
      <xdr:row>485</xdr:row>
      <xdr:rowOff>19050</xdr:rowOff>
    </xdr:from>
    <xdr:ext cx="463297" cy="121920"/>
    <xdr:pic>
      <xdr:nvPicPr>
        <xdr:cNvPr id="1400" name="Imagen 1399"/>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7772400" y="74371200"/>
          <a:ext cx="463297" cy="121920"/>
        </a:xfrm>
        <a:prstGeom prst="rect">
          <a:avLst/>
        </a:prstGeom>
      </xdr:spPr>
    </xdr:pic>
    <xdr:clientData/>
  </xdr:oneCellAnchor>
  <xdr:oneCellAnchor>
    <xdr:from>
      <xdr:col>23</xdr:col>
      <xdr:colOff>9525</xdr:colOff>
      <xdr:row>380</xdr:row>
      <xdr:rowOff>19050</xdr:rowOff>
    </xdr:from>
    <xdr:ext cx="819150" cy="123825"/>
    <xdr:pic>
      <xdr:nvPicPr>
        <xdr:cNvPr id="1243"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62825" y="59169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483</xdr:row>
      <xdr:rowOff>19050</xdr:rowOff>
    </xdr:from>
    <xdr:ext cx="819914" cy="121920"/>
    <xdr:pic>
      <xdr:nvPicPr>
        <xdr:cNvPr id="1375" name="Imagen 1374"/>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7362825" y="74533125"/>
          <a:ext cx="819914" cy="121920"/>
        </a:xfrm>
        <a:prstGeom prst="rect">
          <a:avLst/>
        </a:prstGeom>
      </xdr:spPr>
    </xdr:pic>
    <xdr:clientData/>
  </xdr:oneCellAnchor>
  <xdr:oneCellAnchor>
    <xdr:from>
      <xdr:col>24</xdr:col>
      <xdr:colOff>57150</xdr:colOff>
      <xdr:row>483</xdr:row>
      <xdr:rowOff>19050</xdr:rowOff>
    </xdr:from>
    <xdr:ext cx="463297" cy="121920"/>
    <xdr:pic>
      <xdr:nvPicPr>
        <xdr:cNvPr id="1392" name="Imagen 1391"/>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8191500" y="74533125"/>
          <a:ext cx="463297" cy="121920"/>
        </a:xfrm>
        <a:prstGeom prst="rect">
          <a:avLst/>
        </a:prstGeom>
      </xdr:spPr>
    </xdr:pic>
    <xdr:clientData/>
  </xdr:oneCellAnchor>
  <xdr:oneCellAnchor>
    <xdr:from>
      <xdr:col>0</xdr:col>
      <xdr:colOff>0</xdr:colOff>
      <xdr:row>483</xdr:row>
      <xdr:rowOff>28575</xdr:rowOff>
    </xdr:from>
    <xdr:ext cx="342900" cy="104775"/>
    <xdr:pic>
      <xdr:nvPicPr>
        <xdr:cNvPr id="1394" name="247 Imagen" descr="nuevo icono.png">
          <a:extLst>
            <a:ext uri="{FF2B5EF4-FFF2-40B4-BE49-F238E27FC236}">
              <a16:creationId xmlns:a16="http://schemas.microsoft.com/office/drawing/2014/main" id="{9C35268E-76DA-496E-BEEF-ECD5B7F6441F}"/>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742283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389</xdr:row>
      <xdr:rowOff>19050</xdr:rowOff>
    </xdr:from>
    <xdr:ext cx="819150" cy="123825"/>
    <xdr:pic>
      <xdr:nvPicPr>
        <xdr:cNvPr id="1403" name="306 Imagen" descr="laser icono.png">
          <a:extLst>
            <a:ext uri="{FF2B5EF4-FFF2-40B4-BE49-F238E27FC236}">
              <a16:creationId xmlns:a16="http://schemas.microsoft.com/office/drawing/2014/main" id="{154362FE-74D2-4FE9-BCA8-1BFDFA4EB7AA}"/>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62825" y="60693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389</xdr:row>
      <xdr:rowOff>19050</xdr:rowOff>
    </xdr:from>
    <xdr:ext cx="342900" cy="104775"/>
    <xdr:pic>
      <xdr:nvPicPr>
        <xdr:cNvPr id="1404" name="258 Imagen" descr="nuevo icono.png">
          <a:extLst>
            <a:ext uri="{FF2B5EF4-FFF2-40B4-BE49-F238E27FC236}">
              <a16:creationId xmlns:a16="http://schemas.microsoft.com/office/drawing/2014/main" id="{3C2A2AD4-685E-42C3-B5B0-480D96EABE62}"/>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6054090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13</xdr:row>
      <xdr:rowOff>19050</xdr:rowOff>
    </xdr:from>
    <xdr:ext cx="819150" cy="123825"/>
    <xdr:pic>
      <xdr:nvPicPr>
        <xdr:cNvPr id="1050" name="1043 Imagen" descr="laser un lado icono.png">
          <a:extLst>
            <a:ext uri="{FF2B5EF4-FFF2-40B4-BE49-F238E27FC236}">
              <a16:creationId xmlns:a16="http://schemas.microsoft.com/office/drawing/2014/main" id="{0508D9DB-36AF-46F0-BBE6-08EBC09F4D6E}"/>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7343775" y="35052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13</xdr:row>
      <xdr:rowOff>28575</xdr:rowOff>
    </xdr:from>
    <xdr:ext cx="342900" cy="104775"/>
    <xdr:pic>
      <xdr:nvPicPr>
        <xdr:cNvPr id="1068" name="272 Imagen" descr="nuevo icono.png">
          <a:extLst>
            <a:ext uri="{FF2B5EF4-FFF2-40B4-BE49-F238E27FC236}">
              <a16:creationId xmlns:a16="http://schemas.microsoft.com/office/drawing/2014/main" id="{43FCA153-6F88-4646-8CD4-020136CF3730}"/>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26003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213</xdr:row>
      <xdr:rowOff>19050</xdr:rowOff>
    </xdr:from>
    <xdr:ext cx="819150" cy="123825"/>
    <xdr:pic>
      <xdr:nvPicPr>
        <xdr:cNvPr id="981"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333279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215</xdr:row>
      <xdr:rowOff>19050</xdr:rowOff>
    </xdr:from>
    <xdr:ext cx="819150" cy="123825"/>
    <xdr:pic>
      <xdr:nvPicPr>
        <xdr:cNvPr id="1039"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336327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219</xdr:row>
      <xdr:rowOff>19050</xdr:rowOff>
    </xdr:from>
    <xdr:ext cx="819150" cy="123825"/>
    <xdr:pic>
      <xdr:nvPicPr>
        <xdr:cNvPr id="1109"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342423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220</xdr:row>
      <xdr:rowOff>19050</xdr:rowOff>
    </xdr:from>
    <xdr:ext cx="819150" cy="123825"/>
    <xdr:pic>
      <xdr:nvPicPr>
        <xdr:cNvPr id="1111"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343947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353</xdr:row>
      <xdr:rowOff>19050</xdr:rowOff>
    </xdr:from>
    <xdr:to>
      <xdr:col>24</xdr:col>
      <xdr:colOff>47625</xdr:colOff>
      <xdr:row>353</xdr:row>
      <xdr:rowOff>142875</xdr:rowOff>
    </xdr:to>
    <xdr:pic>
      <xdr:nvPicPr>
        <xdr:cNvPr id="1260"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43775" y="549021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601</xdr:row>
      <xdr:rowOff>28575</xdr:rowOff>
    </xdr:from>
    <xdr:ext cx="342900" cy="104775"/>
    <xdr:pic>
      <xdr:nvPicPr>
        <xdr:cNvPr id="1406" name="247 Imagen" descr="nuevo icono.png">
          <a:extLst>
            <a:ext uri="{FF2B5EF4-FFF2-40B4-BE49-F238E27FC236}">
              <a16:creationId xmlns:a16="http://schemas.microsoft.com/office/drawing/2014/main" id="{9C35268E-76DA-496E-BEEF-ECD5B7F6441F}"/>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9409747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602</xdr:row>
      <xdr:rowOff>28575</xdr:rowOff>
    </xdr:from>
    <xdr:ext cx="342900" cy="104775"/>
    <xdr:pic>
      <xdr:nvPicPr>
        <xdr:cNvPr id="1408" name="247 Imagen" descr="nuevo icono.png">
          <a:extLst>
            <a:ext uri="{FF2B5EF4-FFF2-40B4-BE49-F238E27FC236}">
              <a16:creationId xmlns:a16="http://schemas.microsoft.com/office/drawing/2014/main" id="{9C35268E-76DA-496E-BEEF-ECD5B7F6441F}"/>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9196387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603</xdr:row>
      <xdr:rowOff>28575</xdr:rowOff>
    </xdr:from>
    <xdr:ext cx="342900" cy="104775"/>
    <xdr:pic>
      <xdr:nvPicPr>
        <xdr:cNvPr id="1410" name="247 Imagen" descr="nuevo icono.png">
          <a:extLst>
            <a:ext uri="{FF2B5EF4-FFF2-40B4-BE49-F238E27FC236}">
              <a16:creationId xmlns:a16="http://schemas.microsoft.com/office/drawing/2014/main" id="{9C35268E-76DA-496E-BEEF-ECD5B7F6441F}"/>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9211627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251</xdr:row>
      <xdr:rowOff>28575</xdr:rowOff>
    </xdr:from>
    <xdr:ext cx="342900" cy="104775"/>
    <xdr:pic>
      <xdr:nvPicPr>
        <xdr:cNvPr id="944" name="261 Imagen" descr="nuevo icono.png">
          <a:extLst>
            <a:ext uri="{FF2B5EF4-FFF2-40B4-BE49-F238E27FC236}">
              <a16:creationId xmlns:a16="http://schemas.microsoft.com/office/drawing/2014/main" id="{204D8D91-A921-45D4-8F26-5DB5B202BC85}"/>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3870960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249</xdr:row>
      <xdr:rowOff>19050</xdr:rowOff>
    </xdr:from>
    <xdr:to>
      <xdr:col>24</xdr:col>
      <xdr:colOff>47625</xdr:colOff>
      <xdr:row>249</xdr:row>
      <xdr:rowOff>142875</xdr:rowOff>
    </xdr:to>
    <xdr:pic>
      <xdr:nvPicPr>
        <xdr:cNvPr id="945"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6943725" y="383952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251</xdr:row>
      <xdr:rowOff>19050</xdr:rowOff>
    </xdr:from>
    <xdr:to>
      <xdr:col>24</xdr:col>
      <xdr:colOff>47625</xdr:colOff>
      <xdr:row>251</xdr:row>
      <xdr:rowOff>142875</xdr:rowOff>
    </xdr:to>
    <xdr:pic>
      <xdr:nvPicPr>
        <xdr:cNvPr id="1000"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6943725" y="387000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612</xdr:row>
      <xdr:rowOff>28575</xdr:rowOff>
    </xdr:from>
    <xdr:ext cx="342900" cy="104775"/>
    <xdr:pic>
      <xdr:nvPicPr>
        <xdr:cNvPr id="925" name="247 Imagen" descr="nuevo icono.png">
          <a:extLst>
            <a:ext uri="{FF2B5EF4-FFF2-40B4-BE49-F238E27FC236}">
              <a16:creationId xmlns:a16="http://schemas.microsoft.com/office/drawing/2014/main" id="{9C35268E-76DA-496E-BEEF-ECD5B7F6441F}"/>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9226867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613</xdr:row>
      <xdr:rowOff>28575</xdr:rowOff>
    </xdr:from>
    <xdr:ext cx="342900" cy="104775"/>
    <xdr:pic>
      <xdr:nvPicPr>
        <xdr:cNvPr id="1043" name="247 Imagen" descr="nuevo icono.png">
          <a:extLst>
            <a:ext uri="{FF2B5EF4-FFF2-40B4-BE49-F238E27FC236}">
              <a16:creationId xmlns:a16="http://schemas.microsoft.com/office/drawing/2014/main" id="{9C35268E-76DA-496E-BEEF-ECD5B7F6441F}"/>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9379267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614</xdr:row>
      <xdr:rowOff>28575</xdr:rowOff>
    </xdr:from>
    <xdr:ext cx="342900" cy="104775"/>
    <xdr:pic>
      <xdr:nvPicPr>
        <xdr:cNvPr id="1351" name="247 Imagen" descr="nuevo icono.png">
          <a:extLst>
            <a:ext uri="{FF2B5EF4-FFF2-40B4-BE49-F238E27FC236}">
              <a16:creationId xmlns:a16="http://schemas.microsoft.com/office/drawing/2014/main" id="{9C35268E-76DA-496E-BEEF-ECD5B7F6441F}"/>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9394507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607</xdr:row>
      <xdr:rowOff>19050</xdr:rowOff>
    </xdr:from>
    <xdr:to>
      <xdr:col>24</xdr:col>
      <xdr:colOff>49180</xdr:colOff>
      <xdr:row>607</xdr:row>
      <xdr:rowOff>142875</xdr:rowOff>
    </xdr:to>
    <xdr:pic>
      <xdr:nvPicPr>
        <xdr:cNvPr id="1357" name="460 Imagen" descr="laser icono.png">
          <a:extLst>
            <a:ext uri="{FF2B5EF4-FFF2-40B4-BE49-F238E27FC236}">
              <a16:creationId xmlns:a16="http://schemas.microsoft.com/office/drawing/2014/main" id="{34062402-60C4-4264-83DF-06D194737DDF}"/>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43725" y="92868750"/>
          <a:ext cx="82070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598</xdr:row>
      <xdr:rowOff>19050</xdr:rowOff>
    </xdr:from>
    <xdr:to>
      <xdr:col>24</xdr:col>
      <xdr:colOff>49180</xdr:colOff>
      <xdr:row>598</xdr:row>
      <xdr:rowOff>142875</xdr:rowOff>
    </xdr:to>
    <xdr:pic>
      <xdr:nvPicPr>
        <xdr:cNvPr id="1405" name="467 Imagen" descr="laser icono.png">
          <a:extLst>
            <a:ext uri="{FF2B5EF4-FFF2-40B4-BE49-F238E27FC236}">
              <a16:creationId xmlns:a16="http://schemas.microsoft.com/office/drawing/2014/main" id="{87776050-3BAD-414A-AFDE-79ADAF2A73D8}"/>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43725" y="91497150"/>
          <a:ext cx="82070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597</xdr:row>
      <xdr:rowOff>19050</xdr:rowOff>
    </xdr:from>
    <xdr:to>
      <xdr:col>24</xdr:col>
      <xdr:colOff>49180</xdr:colOff>
      <xdr:row>597</xdr:row>
      <xdr:rowOff>144555</xdr:rowOff>
    </xdr:to>
    <xdr:pic>
      <xdr:nvPicPr>
        <xdr:cNvPr id="1412" name="468 Imagen" descr="laser icono.png">
          <a:extLst>
            <a:ext uri="{FF2B5EF4-FFF2-40B4-BE49-F238E27FC236}">
              <a16:creationId xmlns:a16="http://schemas.microsoft.com/office/drawing/2014/main" id="{29C45E98-1996-4C17-8DF5-F3E43F0F9444}"/>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43725" y="91344750"/>
          <a:ext cx="820705"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596</xdr:row>
      <xdr:rowOff>19050</xdr:rowOff>
    </xdr:from>
    <xdr:to>
      <xdr:col>24</xdr:col>
      <xdr:colOff>49180</xdr:colOff>
      <xdr:row>596</xdr:row>
      <xdr:rowOff>142875</xdr:rowOff>
    </xdr:to>
    <xdr:pic>
      <xdr:nvPicPr>
        <xdr:cNvPr id="1417" name="469 Imagen" descr="laser icono.png">
          <a:extLst>
            <a:ext uri="{FF2B5EF4-FFF2-40B4-BE49-F238E27FC236}">
              <a16:creationId xmlns:a16="http://schemas.microsoft.com/office/drawing/2014/main" id="{E5ADB0AD-CD7D-479C-8ECC-9FA29D2E2405}"/>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43725" y="91192350"/>
          <a:ext cx="82070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595</xdr:row>
      <xdr:rowOff>19050</xdr:rowOff>
    </xdr:from>
    <xdr:to>
      <xdr:col>24</xdr:col>
      <xdr:colOff>49180</xdr:colOff>
      <xdr:row>595</xdr:row>
      <xdr:rowOff>142875</xdr:rowOff>
    </xdr:to>
    <xdr:pic>
      <xdr:nvPicPr>
        <xdr:cNvPr id="1418" name="470 Imagen" descr="laser icono.png">
          <a:extLst>
            <a:ext uri="{FF2B5EF4-FFF2-40B4-BE49-F238E27FC236}">
              <a16:creationId xmlns:a16="http://schemas.microsoft.com/office/drawing/2014/main" id="{3F9E0820-9928-493B-BE68-2308B35B040C}"/>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43725" y="91039950"/>
          <a:ext cx="82070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594</xdr:row>
      <xdr:rowOff>19050</xdr:rowOff>
    </xdr:from>
    <xdr:to>
      <xdr:col>24</xdr:col>
      <xdr:colOff>49180</xdr:colOff>
      <xdr:row>594</xdr:row>
      <xdr:rowOff>139561</xdr:rowOff>
    </xdr:to>
    <xdr:pic>
      <xdr:nvPicPr>
        <xdr:cNvPr id="1419" name="472 Imagen" descr="laser icono.png">
          <a:extLst>
            <a:ext uri="{FF2B5EF4-FFF2-40B4-BE49-F238E27FC236}">
              <a16:creationId xmlns:a16="http://schemas.microsoft.com/office/drawing/2014/main" id="{C96DD2BB-A78F-40C3-86BB-CCDFBED9EF4A}"/>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43725" y="90887550"/>
          <a:ext cx="820705" cy="12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593</xdr:row>
      <xdr:rowOff>19050</xdr:rowOff>
    </xdr:from>
    <xdr:to>
      <xdr:col>24</xdr:col>
      <xdr:colOff>49180</xdr:colOff>
      <xdr:row>593</xdr:row>
      <xdr:rowOff>142875</xdr:rowOff>
    </xdr:to>
    <xdr:pic>
      <xdr:nvPicPr>
        <xdr:cNvPr id="1423" name="473 Imagen" descr="laser icono.png">
          <a:extLst>
            <a:ext uri="{FF2B5EF4-FFF2-40B4-BE49-F238E27FC236}">
              <a16:creationId xmlns:a16="http://schemas.microsoft.com/office/drawing/2014/main" id="{315AB62A-0BA3-482E-B343-D529A1C05EBD}"/>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43725" y="90735150"/>
          <a:ext cx="82070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606</xdr:row>
      <xdr:rowOff>19050</xdr:rowOff>
    </xdr:from>
    <xdr:to>
      <xdr:col>24</xdr:col>
      <xdr:colOff>49180</xdr:colOff>
      <xdr:row>606</xdr:row>
      <xdr:rowOff>144555</xdr:rowOff>
    </xdr:to>
    <xdr:pic>
      <xdr:nvPicPr>
        <xdr:cNvPr id="1435" name="475 Imagen" descr="HOT STAMPING ICONO.png">
          <a:extLst>
            <a:ext uri="{FF2B5EF4-FFF2-40B4-BE49-F238E27FC236}">
              <a16:creationId xmlns:a16="http://schemas.microsoft.com/office/drawing/2014/main" id="{C982D6CA-5441-40AF-8C66-F6537D33E266}"/>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6943725" y="92716350"/>
          <a:ext cx="820705"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599</xdr:row>
      <xdr:rowOff>19050</xdr:rowOff>
    </xdr:from>
    <xdr:to>
      <xdr:col>24</xdr:col>
      <xdr:colOff>49180</xdr:colOff>
      <xdr:row>599</xdr:row>
      <xdr:rowOff>142875</xdr:rowOff>
    </xdr:to>
    <xdr:pic>
      <xdr:nvPicPr>
        <xdr:cNvPr id="1439" name="476 Imagen" descr="seri icono.png">
          <a:extLst>
            <a:ext uri="{FF2B5EF4-FFF2-40B4-BE49-F238E27FC236}">
              <a16:creationId xmlns:a16="http://schemas.microsoft.com/office/drawing/2014/main" id="{AECC5547-E6CB-46D0-9D00-32AA1BA8D3DC}"/>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6943725" y="91649550"/>
          <a:ext cx="82070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605</xdr:row>
      <xdr:rowOff>19050</xdr:rowOff>
    </xdr:from>
    <xdr:to>
      <xdr:col>24</xdr:col>
      <xdr:colOff>49180</xdr:colOff>
      <xdr:row>605</xdr:row>
      <xdr:rowOff>142875</xdr:rowOff>
    </xdr:to>
    <xdr:pic>
      <xdr:nvPicPr>
        <xdr:cNvPr id="1440" name="479 Imagen" descr="HOT STAMPING ICONO.png">
          <a:extLst>
            <a:ext uri="{FF2B5EF4-FFF2-40B4-BE49-F238E27FC236}">
              <a16:creationId xmlns:a16="http://schemas.microsoft.com/office/drawing/2014/main" id="{50419B07-E952-4FE3-9E51-6A03D9ACB572}"/>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6943725" y="92563950"/>
          <a:ext cx="82070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604</xdr:row>
      <xdr:rowOff>19050</xdr:rowOff>
    </xdr:from>
    <xdr:to>
      <xdr:col>24</xdr:col>
      <xdr:colOff>49180</xdr:colOff>
      <xdr:row>604</xdr:row>
      <xdr:rowOff>142875</xdr:rowOff>
    </xdr:to>
    <xdr:pic>
      <xdr:nvPicPr>
        <xdr:cNvPr id="1441" name="480 Imagen" descr="HOT STAMPING ICONO.png">
          <a:extLst>
            <a:ext uri="{FF2B5EF4-FFF2-40B4-BE49-F238E27FC236}">
              <a16:creationId xmlns:a16="http://schemas.microsoft.com/office/drawing/2014/main" id="{F93AA4E3-DE7E-4876-8A16-6F3BD6974F6F}"/>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6943725" y="92411550"/>
          <a:ext cx="82070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600</xdr:row>
      <xdr:rowOff>19050</xdr:rowOff>
    </xdr:from>
    <xdr:to>
      <xdr:col>24</xdr:col>
      <xdr:colOff>49180</xdr:colOff>
      <xdr:row>600</xdr:row>
      <xdr:rowOff>142875</xdr:rowOff>
    </xdr:to>
    <xdr:pic>
      <xdr:nvPicPr>
        <xdr:cNvPr id="1442" name="477 Imagen" descr="seri icono.png">
          <a:extLst>
            <a:ext uri="{FF2B5EF4-FFF2-40B4-BE49-F238E27FC236}">
              <a16:creationId xmlns:a16="http://schemas.microsoft.com/office/drawing/2014/main" id="{1AE8A730-658B-4896-8EE8-000B90DA7DFF}"/>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6943725" y="91801950"/>
          <a:ext cx="82070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601</xdr:row>
      <xdr:rowOff>19050</xdr:rowOff>
    </xdr:from>
    <xdr:ext cx="820705" cy="123825"/>
    <xdr:pic>
      <xdr:nvPicPr>
        <xdr:cNvPr id="1445" name="499 Imagen" descr="laser icono.png">
          <a:extLst>
            <a:ext uri="{FF2B5EF4-FFF2-40B4-BE49-F238E27FC236}">
              <a16:creationId xmlns:a16="http://schemas.microsoft.com/office/drawing/2014/main" id="{FFE59351-35B8-415B-8FBD-8F67F3DBA36E}"/>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43725" y="91954350"/>
          <a:ext cx="82070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603</xdr:row>
      <xdr:rowOff>19050</xdr:rowOff>
    </xdr:from>
    <xdr:ext cx="820705" cy="123825"/>
    <xdr:pic>
      <xdr:nvPicPr>
        <xdr:cNvPr id="1447" name="499 Imagen" descr="laser icono.png">
          <a:extLst>
            <a:ext uri="{FF2B5EF4-FFF2-40B4-BE49-F238E27FC236}">
              <a16:creationId xmlns:a16="http://schemas.microsoft.com/office/drawing/2014/main" id="{FFE59351-35B8-415B-8FBD-8F67F3DBA36E}"/>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43725" y="92259150"/>
          <a:ext cx="82070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602</xdr:row>
      <xdr:rowOff>19050</xdr:rowOff>
    </xdr:from>
    <xdr:to>
      <xdr:col>24</xdr:col>
      <xdr:colOff>47625</xdr:colOff>
      <xdr:row>602</xdr:row>
      <xdr:rowOff>142875</xdr:rowOff>
    </xdr:to>
    <xdr:pic>
      <xdr:nvPicPr>
        <xdr:cNvPr id="1450" name="488 Imagen" descr="laser fibra icono.png">
          <a:extLst>
            <a:ext uri="{FF2B5EF4-FFF2-40B4-BE49-F238E27FC236}">
              <a16:creationId xmlns:a16="http://schemas.microsoft.com/office/drawing/2014/main" id="{4557523D-76BE-4B3D-A708-8950DE944321}"/>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6943725" y="9210675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608</xdr:row>
      <xdr:rowOff>19050</xdr:rowOff>
    </xdr:from>
    <xdr:to>
      <xdr:col>24</xdr:col>
      <xdr:colOff>49180</xdr:colOff>
      <xdr:row>608</xdr:row>
      <xdr:rowOff>142875</xdr:rowOff>
    </xdr:to>
    <xdr:pic>
      <xdr:nvPicPr>
        <xdr:cNvPr id="1451" name="462 Imagen" descr="laser icono.png">
          <a:extLst>
            <a:ext uri="{FF2B5EF4-FFF2-40B4-BE49-F238E27FC236}">
              <a16:creationId xmlns:a16="http://schemas.microsoft.com/office/drawing/2014/main" id="{3B0E3935-0053-49D5-92C5-9499DC96CAA8}"/>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43725" y="93021150"/>
          <a:ext cx="82070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609</xdr:row>
      <xdr:rowOff>19050</xdr:rowOff>
    </xdr:from>
    <xdr:to>
      <xdr:col>24</xdr:col>
      <xdr:colOff>49180</xdr:colOff>
      <xdr:row>609</xdr:row>
      <xdr:rowOff>142875</xdr:rowOff>
    </xdr:to>
    <xdr:pic>
      <xdr:nvPicPr>
        <xdr:cNvPr id="1456" name="463 Imagen" descr="laser icono.png">
          <a:extLst>
            <a:ext uri="{FF2B5EF4-FFF2-40B4-BE49-F238E27FC236}">
              <a16:creationId xmlns:a16="http://schemas.microsoft.com/office/drawing/2014/main" id="{673CE3A0-C912-473F-B5A9-D9E028DE45A9}"/>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43725" y="93173550"/>
          <a:ext cx="82070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610</xdr:row>
      <xdr:rowOff>19050</xdr:rowOff>
    </xdr:from>
    <xdr:to>
      <xdr:col>24</xdr:col>
      <xdr:colOff>49180</xdr:colOff>
      <xdr:row>610</xdr:row>
      <xdr:rowOff>144555</xdr:rowOff>
    </xdr:to>
    <xdr:pic>
      <xdr:nvPicPr>
        <xdr:cNvPr id="1471" name="481 Imagen" descr="laser icono.png">
          <a:extLst>
            <a:ext uri="{FF2B5EF4-FFF2-40B4-BE49-F238E27FC236}">
              <a16:creationId xmlns:a16="http://schemas.microsoft.com/office/drawing/2014/main" id="{A945F8C7-E544-46DB-B0E3-974616E03526}"/>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43725" y="93630750"/>
          <a:ext cx="820705"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623</xdr:row>
      <xdr:rowOff>19050</xdr:rowOff>
    </xdr:from>
    <xdr:to>
      <xdr:col>24</xdr:col>
      <xdr:colOff>47625</xdr:colOff>
      <xdr:row>623</xdr:row>
      <xdr:rowOff>142875</xdr:rowOff>
    </xdr:to>
    <xdr:pic>
      <xdr:nvPicPr>
        <xdr:cNvPr id="1473" name="488 Imagen" descr="laser fibra icono.png">
          <a:extLst>
            <a:ext uri="{FF2B5EF4-FFF2-40B4-BE49-F238E27FC236}">
              <a16:creationId xmlns:a16="http://schemas.microsoft.com/office/drawing/2014/main" id="{4557523D-76BE-4B3D-A708-8950DE944321}"/>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6943725" y="9530715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620</xdr:row>
      <xdr:rowOff>19050</xdr:rowOff>
    </xdr:from>
    <xdr:to>
      <xdr:col>24</xdr:col>
      <xdr:colOff>49180</xdr:colOff>
      <xdr:row>620</xdr:row>
      <xdr:rowOff>142875</xdr:rowOff>
    </xdr:to>
    <xdr:pic>
      <xdr:nvPicPr>
        <xdr:cNvPr id="1476" name="499 Imagen" descr="laser icono.png">
          <a:extLst>
            <a:ext uri="{FF2B5EF4-FFF2-40B4-BE49-F238E27FC236}">
              <a16:creationId xmlns:a16="http://schemas.microsoft.com/office/drawing/2014/main" id="{FFE59351-35B8-415B-8FBD-8F67F3DBA36E}"/>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43725" y="94849950"/>
          <a:ext cx="82070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617</xdr:row>
      <xdr:rowOff>19050</xdr:rowOff>
    </xdr:from>
    <xdr:ext cx="819150" cy="123825"/>
    <xdr:pic>
      <xdr:nvPicPr>
        <xdr:cNvPr id="1480" name="499 Imagen" descr="laser icono.png">
          <a:extLst>
            <a:ext uri="{FF2B5EF4-FFF2-40B4-BE49-F238E27FC236}">
              <a16:creationId xmlns:a16="http://schemas.microsoft.com/office/drawing/2014/main" id="{FFE59351-35B8-415B-8FBD-8F67F3DBA36E}"/>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43775" y="9439275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618</xdr:row>
      <xdr:rowOff>19050</xdr:rowOff>
    </xdr:from>
    <xdr:ext cx="819150" cy="123825"/>
    <xdr:pic>
      <xdr:nvPicPr>
        <xdr:cNvPr id="1485" name="499 Imagen" descr="laser icono.png">
          <a:extLst>
            <a:ext uri="{FF2B5EF4-FFF2-40B4-BE49-F238E27FC236}">
              <a16:creationId xmlns:a16="http://schemas.microsoft.com/office/drawing/2014/main" id="{FFE59351-35B8-415B-8FBD-8F67F3DBA36E}"/>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43725" y="9454515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619</xdr:row>
      <xdr:rowOff>19050</xdr:rowOff>
    </xdr:from>
    <xdr:ext cx="819150" cy="123825"/>
    <xdr:pic>
      <xdr:nvPicPr>
        <xdr:cNvPr id="1486" name="499 Imagen" descr="laser icono.png">
          <a:extLst>
            <a:ext uri="{FF2B5EF4-FFF2-40B4-BE49-F238E27FC236}">
              <a16:creationId xmlns:a16="http://schemas.microsoft.com/office/drawing/2014/main" id="{FFE59351-35B8-415B-8FBD-8F67F3DBA36E}"/>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43725" y="9469755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625</xdr:row>
      <xdr:rowOff>19050</xdr:rowOff>
    </xdr:from>
    <xdr:to>
      <xdr:col>24</xdr:col>
      <xdr:colOff>49180</xdr:colOff>
      <xdr:row>625</xdr:row>
      <xdr:rowOff>142875</xdr:rowOff>
    </xdr:to>
    <xdr:pic>
      <xdr:nvPicPr>
        <xdr:cNvPr id="1487" name="287 Imagen" descr="tampo icono.png">
          <a:extLst>
            <a:ext uri="{FF2B5EF4-FFF2-40B4-BE49-F238E27FC236}">
              <a16:creationId xmlns:a16="http://schemas.microsoft.com/office/drawing/2014/main" id="{CA6F964E-E275-4CA3-9C45-9833E21F1D5A}"/>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6943725" y="95611950"/>
          <a:ext cx="82070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628</xdr:row>
      <xdr:rowOff>19050</xdr:rowOff>
    </xdr:from>
    <xdr:to>
      <xdr:col>24</xdr:col>
      <xdr:colOff>49180</xdr:colOff>
      <xdr:row>628</xdr:row>
      <xdr:rowOff>142875</xdr:rowOff>
    </xdr:to>
    <xdr:pic>
      <xdr:nvPicPr>
        <xdr:cNvPr id="1489" name="496 Imagen" descr="laser icono.png">
          <a:extLst>
            <a:ext uri="{FF2B5EF4-FFF2-40B4-BE49-F238E27FC236}">
              <a16:creationId xmlns:a16="http://schemas.microsoft.com/office/drawing/2014/main" id="{9D757133-9CD0-4278-B1D5-68080BAAC856}"/>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43725" y="96069150"/>
          <a:ext cx="82070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626</xdr:row>
      <xdr:rowOff>19050</xdr:rowOff>
    </xdr:from>
    <xdr:to>
      <xdr:col>24</xdr:col>
      <xdr:colOff>49180</xdr:colOff>
      <xdr:row>626</xdr:row>
      <xdr:rowOff>142875</xdr:rowOff>
    </xdr:to>
    <xdr:pic>
      <xdr:nvPicPr>
        <xdr:cNvPr id="1490" name="496 Imagen" descr="laser icono.png">
          <a:extLst>
            <a:ext uri="{FF2B5EF4-FFF2-40B4-BE49-F238E27FC236}">
              <a16:creationId xmlns:a16="http://schemas.microsoft.com/office/drawing/2014/main" id="{9D757133-9CD0-4278-B1D5-68080BAAC856}"/>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43725" y="95764350"/>
          <a:ext cx="82070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629</xdr:row>
      <xdr:rowOff>19050</xdr:rowOff>
    </xdr:from>
    <xdr:ext cx="820705" cy="123825"/>
    <xdr:pic>
      <xdr:nvPicPr>
        <xdr:cNvPr id="1492" name="496 Imagen" descr="laser icono.png">
          <a:extLst>
            <a:ext uri="{FF2B5EF4-FFF2-40B4-BE49-F238E27FC236}">
              <a16:creationId xmlns:a16="http://schemas.microsoft.com/office/drawing/2014/main" id="{9D757133-9CD0-4278-B1D5-68080BAAC856}"/>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43725" y="96221550"/>
          <a:ext cx="82070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627</xdr:row>
      <xdr:rowOff>19050</xdr:rowOff>
    </xdr:from>
    <xdr:ext cx="847346" cy="121920"/>
    <xdr:pic>
      <xdr:nvPicPr>
        <xdr:cNvPr id="1493" name="Imagen 1492"/>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6943725" y="95916750"/>
          <a:ext cx="847346" cy="121920"/>
        </a:xfrm>
        <a:prstGeom prst="rect">
          <a:avLst/>
        </a:prstGeom>
      </xdr:spPr>
    </xdr:pic>
    <xdr:clientData/>
  </xdr:oneCellAnchor>
  <xdr:twoCellAnchor editAs="oneCell">
    <xdr:from>
      <xdr:col>23</xdr:col>
      <xdr:colOff>9525</xdr:colOff>
      <xdr:row>621</xdr:row>
      <xdr:rowOff>19050</xdr:rowOff>
    </xdr:from>
    <xdr:to>
      <xdr:col>24</xdr:col>
      <xdr:colOff>49180</xdr:colOff>
      <xdr:row>621</xdr:row>
      <xdr:rowOff>142875</xdr:rowOff>
    </xdr:to>
    <xdr:pic>
      <xdr:nvPicPr>
        <xdr:cNvPr id="1494" name="499 Imagen" descr="laser icono.png">
          <a:extLst>
            <a:ext uri="{FF2B5EF4-FFF2-40B4-BE49-F238E27FC236}">
              <a16:creationId xmlns:a16="http://schemas.microsoft.com/office/drawing/2014/main" id="{FFE59351-35B8-415B-8FBD-8F67F3DBA36E}"/>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43725" y="95002350"/>
          <a:ext cx="82070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622</xdr:row>
      <xdr:rowOff>19050</xdr:rowOff>
    </xdr:from>
    <xdr:ext cx="820705" cy="123825"/>
    <xdr:pic>
      <xdr:nvPicPr>
        <xdr:cNvPr id="1495" name="499 Imagen" descr="laser icono.png">
          <a:extLst>
            <a:ext uri="{FF2B5EF4-FFF2-40B4-BE49-F238E27FC236}">
              <a16:creationId xmlns:a16="http://schemas.microsoft.com/office/drawing/2014/main" id="{FFE59351-35B8-415B-8FBD-8F67F3DBA36E}"/>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43725" y="95154750"/>
          <a:ext cx="82070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624</xdr:row>
      <xdr:rowOff>19050</xdr:rowOff>
    </xdr:from>
    <xdr:to>
      <xdr:col>24</xdr:col>
      <xdr:colOff>47624</xdr:colOff>
      <xdr:row>624</xdr:row>
      <xdr:rowOff>142875</xdr:rowOff>
    </xdr:to>
    <xdr:pic>
      <xdr:nvPicPr>
        <xdr:cNvPr id="1496"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6943725" y="95459550"/>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612</xdr:row>
      <xdr:rowOff>19050</xdr:rowOff>
    </xdr:from>
    <xdr:to>
      <xdr:col>24</xdr:col>
      <xdr:colOff>47625</xdr:colOff>
      <xdr:row>612</xdr:row>
      <xdr:rowOff>142875</xdr:rowOff>
    </xdr:to>
    <xdr:pic>
      <xdr:nvPicPr>
        <xdr:cNvPr id="1497" name="488 Imagen" descr="laser fibra icono.png">
          <a:extLst>
            <a:ext uri="{FF2B5EF4-FFF2-40B4-BE49-F238E27FC236}">
              <a16:creationId xmlns:a16="http://schemas.microsoft.com/office/drawing/2014/main" id="{4557523D-76BE-4B3D-A708-8950DE944321}"/>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43775" y="9393555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613</xdr:row>
      <xdr:rowOff>19050</xdr:rowOff>
    </xdr:from>
    <xdr:to>
      <xdr:col>24</xdr:col>
      <xdr:colOff>47625</xdr:colOff>
      <xdr:row>613</xdr:row>
      <xdr:rowOff>142875</xdr:rowOff>
    </xdr:to>
    <xdr:pic>
      <xdr:nvPicPr>
        <xdr:cNvPr id="1498" name="488 Imagen" descr="laser fibra icono.png">
          <a:extLst>
            <a:ext uri="{FF2B5EF4-FFF2-40B4-BE49-F238E27FC236}">
              <a16:creationId xmlns:a16="http://schemas.microsoft.com/office/drawing/2014/main" id="{4557523D-76BE-4B3D-A708-8950DE944321}"/>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43775" y="9408795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614</xdr:row>
      <xdr:rowOff>19050</xdr:rowOff>
    </xdr:from>
    <xdr:ext cx="819150" cy="123825"/>
    <xdr:pic>
      <xdr:nvPicPr>
        <xdr:cNvPr id="1499" name="488 Imagen" descr="laser fibra icono.png">
          <a:extLst>
            <a:ext uri="{FF2B5EF4-FFF2-40B4-BE49-F238E27FC236}">
              <a16:creationId xmlns:a16="http://schemas.microsoft.com/office/drawing/2014/main" id="{4557523D-76BE-4B3D-A708-8950DE944321}"/>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43775" y="9424035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631</xdr:row>
      <xdr:rowOff>19050</xdr:rowOff>
    </xdr:from>
    <xdr:ext cx="847346" cy="121920"/>
    <xdr:pic>
      <xdr:nvPicPr>
        <xdr:cNvPr id="1500" name="Imagen 1499"/>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6943725" y="96373950"/>
          <a:ext cx="847346" cy="121920"/>
        </a:xfrm>
        <a:prstGeom prst="rect">
          <a:avLst/>
        </a:prstGeom>
      </xdr:spPr>
    </xdr:pic>
    <xdr:clientData/>
  </xdr:oneCellAnchor>
  <xdr:oneCellAnchor>
    <xdr:from>
      <xdr:col>23</xdr:col>
      <xdr:colOff>9525</xdr:colOff>
      <xdr:row>632</xdr:row>
      <xdr:rowOff>19050</xdr:rowOff>
    </xdr:from>
    <xdr:ext cx="847346" cy="121920"/>
    <xdr:pic>
      <xdr:nvPicPr>
        <xdr:cNvPr id="1501" name="Imagen 1500"/>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6943725" y="96526350"/>
          <a:ext cx="847346" cy="121920"/>
        </a:xfrm>
        <a:prstGeom prst="rect">
          <a:avLst/>
        </a:prstGeom>
      </xdr:spPr>
    </xdr:pic>
    <xdr:clientData/>
  </xdr:oneCellAnchor>
  <xdr:oneCellAnchor>
    <xdr:from>
      <xdr:col>23</xdr:col>
      <xdr:colOff>9525</xdr:colOff>
      <xdr:row>633</xdr:row>
      <xdr:rowOff>19050</xdr:rowOff>
    </xdr:from>
    <xdr:ext cx="847346" cy="121920"/>
    <xdr:pic>
      <xdr:nvPicPr>
        <xdr:cNvPr id="1503" name="Imagen 1502"/>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6943725" y="96678750"/>
          <a:ext cx="847346" cy="121920"/>
        </a:xfrm>
        <a:prstGeom prst="rect">
          <a:avLst/>
        </a:prstGeom>
      </xdr:spPr>
    </xdr:pic>
    <xdr:clientData/>
  </xdr:oneCellAnchor>
  <xdr:oneCellAnchor>
    <xdr:from>
      <xdr:col>23</xdr:col>
      <xdr:colOff>9525</xdr:colOff>
      <xdr:row>635</xdr:row>
      <xdr:rowOff>19050</xdr:rowOff>
    </xdr:from>
    <xdr:ext cx="847346" cy="121920"/>
    <xdr:pic>
      <xdr:nvPicPr>
        <xdr:cNvPr id="1504" name="Imagen 1503"/>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6943725" y="96983550"/>
          <a:ext cx="847346" cy="121920"/>
        </a:xfrm>
        <a:prstGeom prst="rect">
          <a:avLst/>
        </a:prstGeom>
      </xdr:spPr>
    </xdr:pic>
    <xdr:clientData/>
  </xdr:oneCellAnchor>
  <xdr:oneCellAnchor>
    <xdr:from>
      <xdr:col>23</xdr:col>
      <xdr:colOff>9525</xdr:colOff>
      <xdr:row>634</xdr:row>
      <xdr:rowOff>19050</xdr:rowOff>
    </xdr:from>
    <xdr:ext cx="847346" cy="121920"/>
    <xdr:pic>
      <xdr:nvPicPr>
        <xdr:cNvPr id="1505" name="Imagen 1504"/>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6943725" y="96831150"/>
          <a:ext cx="847346" cy="121920"/>
        </a:xfrm>
        <a:prstGeom prst="rect">
          <a:avLst/>
        </a:prstGeom>
      </xdr:spPr>
    </xdr:pic>
    <xdr:clientData/>
  </xdr:oneCellAnchor>
  <xdr:oneCellAnchor>
    <xdr:from>
      <xdr:col>0</xdr:col>
      <xdr:colOff>0</xdr:colOff>
      <xdr:row>611</xdr:row>
      <xdr:rowOff>28575</xdr:rowOff>
    </xdr:from>
    <xdr:ext cx="342900" cy="104775"/>
    <xdr:pic>
      <xdr:nvPicPr>
        <xdr:cNvPr id="1510" name="247 Imagen" descr="nuevo icono.png">
          <a:extLst>
            <a:ext uri="{FF2B5EF4-FFF2-40B4-BE49-F238E27FC236}">
              <a16:creationId xmlns:a16="http://schemas.microsoft.com/office/drawing/2014/main" id="{9C35268E-76DA-496E-BEEF-ECD5B7F6441F}"/>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9394507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611</xdr:row>
      <xdr:rowOff>19050</xdr:rowOff>
    </xdr:from>
    <xdr:ext cx="847346" cy="121920"/>
    <xdr:pic>
      <xdr:nvPicPr>
        <xdr:cNvPr id="1512" name="Imagen 1511"/>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6943725" y="93783150"/>
          <a:ext cx="847346" cy="121920"/>
        </a:xfrm>
        <a:prstGeom prst="rect">
          <a:avLst/>
        </a:prstGeom>
      </xdr:spPr>
    </xdr:pic>
    <xdr:clientData/>
  </xdr:oneCellAnchor>
  <xdr:oneCellAnchor>
    <xdr:from>
      <xdr:col>23</xdr:col>
      <xdr:colOff>9525</xdr:colOff>
      <xdr:row>552</xdr:row>
      <xdr:rowOff>19050</xdr:rowOff>
    </xdr:from>
    <xdr:ext cx="847346" cy="121920"/>
    <xdr:pic>
      <xdr:nvPicPr>
        <xdr:cNvPr id="928" name="Imagen 927"/>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6943725" y="84353400"/>
          <a:ext cx="847346" cy="121920"/>
        </a:xfrm>
        <a:prstGeom prst="rect">
          <a:avLst/>
        </a:prstGeom>
      </xdr:spPr>
    </xdr:pic>
    <xdr:clientData/>
  </xdr:oneCellAnchor>
  <xdr:oneCellAnchor>
    <xdr:from>
      <xdr:col>23</xdr:col>
      <xdr:colOff>9525</xdr:colOff>
      <xdr:row>548</xdr:row>
      <xdr:rowOff>19050</xdr:rowOff>
    </xdr:from>
    <xdr:ext cx="847346" cy="121920"/>
    <xdr:pic>
      <xdr:nvPicPr>
        <xdr:cNvPr id="931" name="Imagen 930"/>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82829400"/>
          <a:ext cx="847346" cy="121920"/>
        </a:xfrm>
        <a:prstGeom prst="rect">
          <a:avLst/>
        </a:prstGeom>
      </xdr:spPr>
    </xdr:pic>
    <xdr:clientData/>
  </xdr:oneCellAnchor>
  <xdr:oneCellAnchor>
    <xdr:from>
      <xdr:col>0</xdr:col>
      <xdr:colOff>0</xdr:colOff>
      <xdr:row>548</xdr:row>
      <xdr:rowOff>28575</xdr:rowOff>
    </xdr:from>
    <xdr:ext cx="342900" cy="104775"/>
    <xdr:pic>
      <xdr:nvPicPr>
        <xdr:cNvPr id="937" name="247 Imagen" descr="nuevo icono.png">
          <a:extLst>
            <a:ext uri="{FF2B5EF4-FFF2-40B4-BE49-F238E27FC236}">
              <a16:creationId xmlns:a16="http://schemas.microsoft.com/office/drawing/2014/main" id="{9C35268E-76DA-496E-BEEF-ECD5B7F6441F}"/>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828389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6</xdr:col>
      <xdr:colOff>9525</xdr:colOff>
      <xdr:row>433</xdr:row>
      <xdr:rowOff>19050</xdr:rowOff>
    </xdr:from>
    <xdr:to>
      <xdr:col>8</xdr:col>
      <xdr:colOff>181170</xdr:colOff>
      <xdr:row>433</xdr:row>
      <xdr:rowOff>142875</xdr:rowOff>
    </xdr:to>
    <xdr:pic>
      <xdr:nvPicPr>
        <xdr:cNvPr id="1052" name="1079 Imagen" descr="AGOTADO ICONO.png">
          <a:extLst>
            <a:ext uri="{FF2B5EF4-FFF2-40B4-BE49-F238E27FC236}">
              <a16:creationId xmlns:a16="http://schemas.microsoft.com/office/drawing/2014/main" id="{E5B61E32-B63D-4D21-86D5-907D2E6D5227}"/>
            </a:ext>
          </a:extLst>
        </xdr:cNvPr>
        <xdr:cNvPicPr>
          <a:picLocks noChangeAspect="1"/>
        </xdr:cNvPicPr>
      </xdr:nvPicPr>
      <xdr:blipFill>
        <a:blip xmlns:r="http://schemas.openxmlformats.org/officeDocument/2006/relationships" r:embed="rId70" cstate="print">
          <a:extLst>
            <a:ext uri="{28A0092B-C50C-407E-A947-70E740481C1C}">
              <a14:useLocalDpi xmlns:a14="http://schemas.microsoft.com/office/drawing/2010/main" val="0"/>
            </a:ext>
          </a:extLst>
        </a:blip>
        <a:srcRect/>
        <a:stretch>
          <a:fillRect/>
        </a:stretch>
      </xdr:blipFill>
      <xdr:spPr bwMode="auto">
        <a:xfrm>
          <a:off x="3676650" y="69122925"/>
          <a:ext cx="58122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549</xdr:row>
      <xdr:rowOff>19050</xdr:rowOff>
    </xdr:from>
    <xdr:ext cx="847346" cy="121920"/>
    <xdr:pic>
      <xdr:nvPicPr>
        <xdr:cNvPr id="1095" name="Imagen 1094"/>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83743800"/>
          <a:ext cx="847346" cy="121920"/>
        </a:xfrm>
        <a:prstGeom prst="rect">
          <a:avLst/>
        </a:prstGeom>
      </xdr:spPr>
    </xdr:pic>
    <xdr:clientData/>
  </xdr:oneCellAnchor>
  <xdr:oneCellAnchor>
    <xdr:from>
      <xdr:col>0</xdr:col>
      <xdr:colOff>0</xdr:colOff>
      <xdr:row>549</xdr:row>
      <xdr:rowOff>28575</xdr:rowOff>
    </xdr:from>
    <xdr:ext cx="342900" cy="104775"/>
    <xdr:pic>
      <xdr:nvPicPr>
        <xdr:cNvPr id="1097" name="247 Imagen" descr="nuevo icono.png">
          <a:extLst>
            <a:ext uri="{FF2B5EF4-FFF2-40B4-BE49-F238E27FC236}">
              <a16:creationId xmlns:a16="http://schemas.microsoft.com/office/drawing/2014/main" id="{9C35268E-76DA-496E-BEEF-ECD5B7F6441F}"/>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837533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550</xdr:row>
      <xdr:rowOff>19050</xdr:rowOff>
    </xdr:from>
    <xdr:ext cx="847346" cy="121920"/>
    <xdr:pic>
      <xdr:nvPicPr>
        <xdr:cNvPr id="1225" name="Imagen 1224"/>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83896200"/>
          <a:ext cx="847346" cy="121920"/>
        </a:xfrm>
        <a:prstGeom prst="rect">
          <a:avLst/>
        </a:prstGeom>
      </xdr:spPr>
    </xdr:pic>
    <xdr:clientData/>
  </xdr:oneCellAnchor>
  <xdr:oneCellAnchor>
    <xdr:from>
      <xdr:col>0</xdr:col>
      <xdr:colOff>0</xdr:colOff>
      <xdr:row>550</xdr:row>
      <xdr:rowOff>28575</xdr:rowOff>
    </xdr:from>
    <xdr:ext cx="342900" cy="104775"/>
    <xdr:pic>
      <xdr:nvPicPr>
        <xdr:cNvPr id="1226" name="247 Imagen" descr="nuevo icono.png">
          <a:extLst>
            <a:ext uri="{FF2B5EF4-FFF2-40B4-BE49-F238E27FC236}">
              <a16:creationId xmlns:a16="http://schemas.microsoft.com/office/drawing/2014/main" id="{9C35268E-76DA-496E-BEEF-ECD5B7F6441F}"/>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839057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526</xdr:row>
      <xdr:rowOff>19050</xdr:rowOff>
    </xdr:from>
    <xdr:ext cx="847346" cy="121920"/>
    <xdr:pic>
      <xdr:nvPicPr>
        <xdr:cNvPr id="955" name="Imagen 954"/>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84201000"/>
          <a:ext cx="847346" cy="121920"/>
        </a:xfrm>
        <a:prstGeom prst="rect">
          <a:avLst/>
        </a:prstGeom>
      </xdr:spPr>
    </xdr:pic>
    <xdr:clientData/>
  </xdr:oneCellAnchor>
  <xdr:oneCellAnchor>
    <xdr:from>
      <xdr:col>0</xdr:col>
      <xdr:colOff>0</xdr:colOff>
      <xdr:row>526</xdr:row>
      <xdr:rowOff>28575</xdr:rowOff>
    </xdr:from>
    <xdr:ext cx="342900" cy="104775"/>
    <xdr:pic>
      <xdr:nvPicPr>
        <xdr:cNvPr id="1074" name="247 Imagen" descr="nuevo icono.png">
          <a:extLst>
            <a:ext uri="{FF2B5EF4-FFF2-40B4-BE49-F238E27FC236}">
              <a16:creationId xmlns:a16="http://schemas.microsoft.com/office/drawing/2014/main" id="{9C35268E-76DA-496E-BEEF-ECD5B7F6441F}"/>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842105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481</xdr:row>
      <xdr:rowOff>28575</xdr:rowOff>
    </xdr:from>
    <xdr:ext cx="342900" cy="104775"/>
    <xdr:pic>
      <xdr:nvPicPr>
        <xdr:cNvPr id="1227" name="247 Imagen" descr="nuevo icono.png">
          <a:extLst>
            <a:ext uri="{FF2B5EF4-FFF2-40B4-BE49-F238E27FC236}">
              <a16:creationId xmlns:a16="http://schemas.microsoft.com/office/drawing/2014/main" id="{9C35268E-76DA-496E-BEEF-ECD5B7F6441F}"/>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7423785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482</xdr:row>
      <xdr:rowOff>19050</xdr:rowOff>
    </xdr:from>
    <xdr:ext cx="819914" cy="121920"/>
    <xdr:pic>
      <xdr:nvPicPr>
        <xdr:cNvPr id="1252" name="Imagen 1251"/>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7324725" y="74066400"/>
          <a:ext cx="819914" cy="121920"/>
        </a:xfrm>
        <a:prstGeom prst="rect">
          <a:avLst/>
        </a:prstGeom>
      </xdr:spPr>
    </xdr:pic>
    <xdr:clientData/>
  </xdr:oneCellAnchor>
  <xdr:oneCellAnchor>
    <xdr:from>
      <xdr:col>24</xdr:col>
      <xdr:colOff>57150</xdr:colOff>
      <xdr:row>482</xdr:row>
      <xdr:rowOff>19050</xdr:rowOff>
    </xdr:from>
    <xdr:ext cx="463297" cy="121920"/>
    <xdr:pic>
      <xdr:nvPicPr>
        <xdr:cNvPr id="1263" name="Imagen 1262"/>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8153400" y="74066400"/>
          <a:ext cx="463297" cy="121920"/>
        </a:xfrm>
        <a:prstGeom prst="rect">
          <a:avLst/>
        </a:prstGeom>
      </xdr:spPr>
    </xdr:pic>
    <xdr:clientData/>
  </xdr:oneCellAnchor>
  <xdr:oneCellAnchor>
    <xdr:from>
      <xdr:col>0</xdr:col>
      <xdr:colOff>0</xdr:colOff>
      <xdr:row>482</xdr:row>
      <xdr:rowOff>28575</xdr:rowOff>
    </xdr:from>
    <xdr:ext cx="342900" cy="104775"/>
    <xdr:pic>
      <xdr:nvPicPr>
        <xdr:cNvPr id="1281" name="247 Imagen" descr="nuevo icono.png">
          <a:extLst>
            <a:ext uri="{FF2B5EF4-FFF2-40B4-BE49-F238E27FC236}">
              <a16:creationId xmlns:a16="http://schemas.microsoft.com/office/drawing/2014/main" id="{9C35268E-76DA-496E-BEEF-ECD5B7F6441F}"/>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740759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481</xdr:row>
      <xdr:rowOff>19050</xdr:rowOff>
    </xdr:from>
    <xdr:ext cx="819150" cy="125505"/>
    <xdr:pic>
      <xdr:nvPicPr>
        <xdr:cNvPr id="1290" name="413 Imagen" descr="subli 4 g icono.png">
          <a:extLst>
            <a:ext uri="{FF2B5EF4-FFF2-40B4-BE49-F238E27FC236}">
              <a16:creationId xmlns:a16="http://schemas.microsoft.com/office/drawing/2014/main" id="{AC7C27E5-1860-4C58-91E4-3842F0D99D93}"/>
            </a:ext>
          </a:extLst>
        </xdr:cNvPr>
        <xdr:cNvPicPr>
          <a:picLocks noChangeAspect="1"/>
        </xdr:cNvPicPr>
      </xdr:nvPicPr>
      <xdr:blipFill>
        <a:blip xmlns:r="http://schemas.openxmlformats.org/officeDocument/2006/relationships" r:embed="rId60"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7324725" y="74066400"/>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592</xdr:row>
      <xdr:rowOff>28575</xdr:rowOff>
    </xdr:from>
    <xdr:ext cx="342900" cy="104775"/>
    <xdr:pic>
      <xdr:nvPicPr>
        <xdr:cNvPr id="1214" name="247 Imagen" descr="nuevo icono.png">
          <a:extLst>
            <a:ext uri="{FF2B5EF4-FFF2-40B4-BE49-F238E27FC236}">
              <a16:creationId xmlns:a16="http://schemas.microsoft.com/office/drawing/2014/main" id="{9C35268E-76DA-496E-BEEF-ECD5B7F6441F}"/>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9242107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592</xdr:row>
      <xdr:rowOff>19050</xdr:rowOff>
    </xdr:from>
    <xdr:ext cx="820705" cy="123825"/>
    <xdr:pic>
      <xdr:nvPicPr>
        <xdr:cNvPr id="1273" name="499 Imagen" descr="laser icono.png">
          <a:extLst>
            <a:ext uri="{FF2B5EF4-FFF2-40B4-BE49-F238E27FC236}">
              <a16:creationId xmlns:a16="http://schemas.microsoft.com/office/drawing/2014/main" id="{FFE59351-35B8-415B-8FBD-8F67F3DBA36E}"/>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24725" y="92411550"/>
          <a:ext cx="82070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76200</xdr:colOff>
      <xdr:row>592</xdr:row>
      <xdr:rowOff>19050</xdr:rowOff>
    </xdr:from>
    <xdr:ext cx="819150" cy="123825"/>
    <xdr:pic>
      <xdr:nvPicPr>
        <xdr:cNvPr id="1307"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8172450" y="9103995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527</xdr:row>
      <xdr:rowOff>19050</xdr:rowOff>
    </xdr:from>
    <xdr:ext cx="847346" cy="121920"/>
    <xdr:pic>
      <xdr:nvPicPr>
        <xdr:cNvPr id="1253" name="Imagen 1252"/>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24725" y="81305400"/>
          <a:ext cx="847346" cy="121920"/>
        </a:xfrm>
        <a:prstGeom prst="rect">
          <a:avLst/>
        </a:prstGeom>
      </xdr:spPr>
    </xdr:pic>
    <xdr:clientData/>
  </xdr:oneCellAnchor>
  <xdr:twoCellAnchor editAs="oneCell">
    <xdr:from>
      <xdr:col>0</xdr:col>
      <xdr:colOff>0</xdr:colOff>
      <xdr:row>632</xdr:row>
      <xdr:rowOff>28575</xdr:rowOff>
    </xdr:from>
    <xdr:to>
      <xdr:col>1</xdr:col>
      <xdr:colOff>0</xdr:colOff>
      <xdr:row>632</xdr:row>
      <xdr:rowOff>133350</xdr:rowOff>
    </xdr:to>
    <xdr:pic>
      <xdr:nvPicPr>
        <xdr:cNvPr id="1322" name="242 Imagen" descr="oferta icono.png">
          <a:extLst>
            <a:ext uri="{FF2B5EF4-FFF2-40B4-BE49-F238E27FC236}">
              <a16:creationId xmlns:a16="http://schemas.microsoft.com/office/drawing/2014/main" id="{B37EF289-0EB0-46E9-8712-F617F536AAA8}"/>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9691687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519</xdr:row>
      <xdr:rowOff>19050</xdr:rowOff>
    </xdr:from>
    <xdr:ext cx="847346" cy="121920"/>
    <xdr:pic>
      <xdr:nvPicPr>
        <xdr:cNvPr id="1329" name="Imagen 1328"/>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43775" y="79705200"/>
          <a:ext cx="847346" cy="121920"/>
        </a:xfrm>
        <a:prstGeom prst="rect">
          <a:avLst/>
        </a:prstGeom>
      </xdr:spPr>
    </xdr:pic>
    <xdr:clientData/>
  </xdr:oneCellAnchor>
  <xdr:oneCellAnchor>
    <xdr:from>
      <xdr:col>0</xdr:col>
      <xdr:colOff>0</xdr:colOff>
      <xdr:row>519</xdr:row>
      <xdr:rowOff>28575</xdr:rowOff>
    </xdr:from>
    <xdr:ext cx="342900" cy="104775"/>
    <xdr:pic>
      <xdr:nvPicPr>
        <xdr:cNvPr id="1331" name="247 Imagen" descr="nuevo icono.png">
          <a:extLst>
            <a:ext uri="{FF2B5EF4-FFF2-40B4-BE49-F238E27FC236}">
              <a16:creationId xmlns:a16="http://schemas.microsoft.com/office/drawing/2014/main" id="{9C35268E-76DA-496E-BEEF-ECD5B7F6441F}"/>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798671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630</xdr:row>
      <xdr:rowOff>19050</xdr:rowOff>
    </xdr:from>
    <xdr:ext cx="820705" cy="123825"/>
    <xdr:pic>
      <xdr:nvPicPr>
        <xdr:cNvPr id="943" name="496 Imagen" descr="laser icono.png">
          <a:extLst>
            <a:ext uri="{FF2B5EF4-FFF2-40B4-BE49-F238E27FC236}">
              <a16:creationId xmlns:a16="http://schemas.microsoft.com/office/drawing/2014/main" id="{9D757133-9CD0-4278-B1D5-68080BAAC856}"/>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43775" y="96602550"/>
          <a:ext cx="82070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630</xdr:row>
      <xdr:rowOff>28575</xdr:rowOff>
    </xdr:from>
    <xdr:ext cx="342900" cy="104775"/>
    <xdr:pic>
      <xdr:nvPicPr>
        <xdr:cNvPr id="1352" name="247 Imagen" descr="nuevo icono.png">
          <a:extLst>
            <a:ext uri="{FF2B5EF4-FFF2-40B4-BE49-F238E27FC236}">
              <a16:creationId xmlns:a16="http://schemas.microsoft.com/office/drawing/2014/main" id="{9C35268E-76DA-496E-BEEF-ECD5B7F6441F}"/>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9691687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14</xdr:col>
      <xdr:colOff>9525</xdr:colOff>
      <xdr:row>278</xdr:row>
      <xdr:rowOff>19050</xdr:rowOff>
    </xdr:from>
    <xdr:to>
      <xdr:col>18</xdr:col>
      <xdr:colOff>9526</xdr:colOff>
      <xdr:row>278</xdr:row>
      <xdr:rowOff>142875</xdr:rowOff>
    </xdr:to>
    <xdr:pic>
      <xdr:nvPicPr>
        <xdr:cNvPr id="1354" name="739 Imagen" descr="CONSULTAR ICONO.png">
          <a:extLst>
            <a:ext uri="{FF2B5EF4-FFF2-40B4-BE49-F238E27FC236}">
              <a16:creationId xmlns:a16="http://schemas.microsoft.com/office/drawing/2014/main" id="{C255D5C9-44EB-4885-88E1-E908F7A2C0F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5343525" y="42662475"/>
          <a:ext cx="819151"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405</xdr:row>
      <xdr:rowOff>19050</xdr:rowOff>
    </xdr:from>
    <xdr:ext cx="819150" cy="125505"/>
    <xdr:pic>
      <xdr:nvPicPr>
        <xdr:cNvPr id="1369" name="518 Imagen" descr="laser fibra icono.png">
          <a:extLst>
            <a:ext uri="{FF2B5EF4-FFF2-40B4-BE49-F238E27FC236}">
              <a16:creationId xmlns:a16="http://schemas.microsoft.com/office/drawing/2014/main" id="{C58AC47F-3796-4DCF-A9B1-365E2E449AB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43775" y="6256972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405</xdr:row>
      <xdr:rowOff>28575</xdr:rowOff>
    </xdr:from>
    <xdr:ext cx="342900" cy="104775"/>
    <xdr:pic>
      <xdr:nvPicPr>
        <xdr:cNvPr id="1370" name="247 Imagen" descr="nuevo icono.png">
          <a:extLst>
            <a:ext uri="{FF2B5EF4-FFF2-40B4-BE49-F238E27FC236}">
              <a16:creationId xmlns:a16="http://schemas.microsoft.com/office/drawing/2014/main" id="{D18BE403-B8EC-4ED4-ADAB-3FF1224643EA}"/>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6257925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495</xdr:row>
      <xdr:rowOff>19050</xdr:rowOff>
    </xdr:from>
    <xdr:to>
      <xdr:col>24</xdr:col>
      <xdr:colOff>47625</xdr:colOff>
      <xdr:row>495</xdr:row>
      <xdr:rowOff>144555</xdr:rowOff>
    </xdr:to>
    <xdr:pic>
      <xdr:nvPicPr>
        <xdr:cNvPr id="958" name="413 Imagen" descr="subli 4 g icono.png">
          <a:extLst>
            <a:ext uri="{FF2B5EF4-FFF2-40B4-BE49-F238E27FC236}">
              <a16:creationId xmlns:a16="http://schemas.microsoft.com/office/drawing/2014/main" id="{AC7C27E5-1860-4C58-91E4-3842F0D99D93}"/>
            </a:ext>
          </a:extLst>
        </xdr:cNvPr>
        <xdr:cNvPicPr>
          <a:picLocks noChangeAspect="1"/>
        </xdr:cNvPicPr>
      </xdr:nvPicPr>
      <xdr:blipFill>
        <a:blip xmlns:r="http://schemas.openxmlformats.org/officeDocument/2006/relationships" r:embed="rId60"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6943725" y="76171425"/>
          <a:ext cx="819150" cy="125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496</xdr:row>
      <xdr:rowOff>19050</xdr:rowOff>
    </xdr:from>
    <xdr:ext cx="819914" cy="121920"/>
    <xdr:pic>
      <xdr:nvPicPr>
        <xdr:cNvPr id="1250" name="Imagen 1249"/>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6943725" y="76323825"/>
          <a:ext cx="819914" cy="121920"/>
        </a:xfrm>
        <a:prstGeom prst="rect">
          <a:avLst/>
        </a:prstGeom>
      </xdr:spPr>
    </xdr:pic>
    <xdr:clientData/>
  </xdr:oneCellAnchor>
  <xdr:oneCellAnchor>
    <xdr:from>
      <xdr:col>23</xdr:col>
      <xdr:colOff>9525</xdr:colOff>
      <xdr:row>540</xdr:row>
      <xdr:rowOff>19050</xdr:rowOff>
    </xdr:from>
    <xdr:ext cx="847346" cy="121920"/>
    <xdr:pic>
      <xdr:nvPicPr>
        <xdr:cNvPr id="1078" name="Imagen 1077"/>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6943725" y="82905600"/>
          <a:ext cx="847346" cy="121920"/>
        </a:xfrm>
        <a:prstGeom prst="rect">
          <a:avLst/>
        </a:prstGeom>
      </xdr:spPr>
    </xdr:pic>
    <xdr:clientData/>
  </xdr:oneCellAnchor>
  <xdr:oneCellAnchor>
    <xdr:from>
      <xdr:col>0</xdr:col>
      <xdr:colOff>0</xdr:colOff>
      <xdr:row>540</xdr:row>
      <xdr:rowOff>28575</xdr:rowOff>
    </xdr:from>
    <xdr:ext cx="342900" cy="104775"/>
    <xdr:pic>
      <xdr:nvPicPr>
        <xdr:cNvPr id="1170" name="247 Imagen" descr="nuevo icono.png">
          <a:extLst>
            <a:ext uri="{FF2B5EF4-FFF2-40B4-BE49-F238E27FC236}">
              <a16:creationId xmlns:a16="http://schemas.microsoft.com/office/drawing/2014/main" id="{9C35268E-76DA-496E-BEEF-ECD5B7F6441F}"/>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829151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74958</xdr:colOff>
      <xdr:row>279</xdr:row>
      <xdr:rowOff>16566</xdr:rowOff>
    </xdr:from>
    <xdr:ext cx="502919" cy="121920"/>
    <xdr:pic>
      <xdr:nvPicPr>
        <xdr:cNvPr id="1202" name="Imagen 1201"/>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7790208" y="42964791"/>
          <a:ext cx="502919" cy="121920"/>
        </a:xfrm>
        <a:prstGeom prst="rect">
          <a:avLst/>
        </a:prstGeom>
      </xdr:spPr>
    </xdr:pic>
    <xdr:clientData/>
  </xdr:oneCellAnchor>
  <xdr:oneCellAnchor>
    <xdr:from>
      <xdr:col>23</xdr:col>
      <xdr:colOff>9525</xdr:colOff>
      <xdr:row>279</xdr:row>
      <xdr:rowOff>19050</xdr:rowOff>
    </xdr:from>
    <xdr:ext cx="819149" cy="123825"/>
    <xdr:pic>
      <xdr:nvPicPr>
        <xdr:cNvPr id="1262"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6943725" y="42967275"/>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279</xdr:row>
      <xdr:rowOff>28575</xdr:rowOff>
    </xdr:from>
    <xdr:ext cx="342900" cy="104775"/>
    <xdr:pic>
      <xdr:nvPicPr>
        <xdr:cNvPr id="1267" name="261 Imagen" descr="nuevo icono.png">
          <a:extLst>
            <a:ext uri="{FF2B5EF4-FFF2-40B4-BE49-F238E27FC236}">
              <a16:creationId xmlns:a16="http://schemas.microsoft.com/office/drawing/2014/main" id="{204D8D91-A921-45D4-8F26-5DB5B202BC85}"/>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4282440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6</xdr:col>
      <xdr:colOff>9525</xdr:colOff>
      <xdr:row>425</xdr:row>
      <xdr:rowOff>19050</xdr:rowOff>
    </xdr:from>
    <xdr:to>
      <xdr:col>8</xdr:col>
      <xdr:colOff>181170</xdr:colOff>
      <xdr:row>425</xdr:row>
      <xdr:rowOff>142875</xdr:rowOff>
    </xdr:to>
    <xdr:pic>
      <xdr:nvPicPr>
        <xdr:cNvPr id="1308" name="1079 Imagen" descr="AGOTADO ICONO.png">
          <a:extLst>
            <a:ext uri="{FF2B5EF4-FFF2-40B4-BE49-F238E27FC236}">
              <a16:creationId xmlns:a16="http://schemas.microsoft.com/office/drawing/2014/main" id="{E5B61E32-B63D-4D21-86D5-907D2E6D5227}"/>
            </a:ext>
          </a:extLst>
        </xdr:cNvPr>
        <xdr:cNvPicPr>
          <a:picLocks noChangeAspect="1"/>
        </xdr:cNvPicPr>
      </xdr:nvPicPr>
      <xdr:blipFill>
        <a:blip xmlns:r="http://schemas.openxmlformats.org/officeDocument/2006/relationships" r:embed="rId70" cstate="print">
          <a:extLst>
            <a:ext uri="{28A0092B-C50C-407E-A947-70E740481C1C}">
              <a14:useLocalDpi xmlns:a14="http://schemas.microsoft.com/office/drawing/2010/main" val="0"/>
            </a:ext>
          </a:extLst>
        </a:blip>
        <a:srcRect/>
        <a:stretch>
          <a:fillRect/>
        </a:stretch>
      </xdr:blipFill>
      <xdr:spPr bwMode="auto">
        <a:xfrm>
          <a:off x="3276600" y="67751325"/>
          <a:ext cx="58122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61</xdr:row>
      <xdr:rowOff>19050</xdr:rowOff>
    </xdr:from>
    <xdr:ext cx="819150" cy="123825"/>
    <xdr:pic>
      <xdr:nvPicPr>
        <xdr:cNvPr id="1116" name="923 Imagen" descr="seri icono.png">
          <a:extLst>
            <a:ext uri="{FF2B5EF4-FFF2-40B4-BE49-F238E27FC236}">
              <a16:creationId xmlns:a16="http://schemas.microsoft.com/office/drawing/2014/main" id="{C3A9516D-C078-4003-B87E-2EAA6E62EB8D}"/>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34250" y="97536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61</xdr:row>
      <xdr:rowOff>19050</xdr:rowOff>
    </xdr:from>
    <xdr:ext cx="819150" cy="123825"/>
    <xdr:pic>
      <xdr:nvPicPr>
        <xdr:cNvPr id="1133" name="924 Imagen" descr="seri icono.png">
          <a:extLst>
            <a:ext uri="{FF2B5EF4-FFF2-40B4-BE49-F238E27FC236}">
              <a16:creationId xmlns:a16="http://schemas.microsoft.com/office/drawing/2014/main" id="{D9C0E8C5-2563-4D54-94CE-0BAFABFDD8C3}"/>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334250" y="97536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28575</xdr:rowOff>
    </xdr:from>
    <xdr:ext cx="342900" cy="104775"/>
    <xdr:pic>
      <xdr:nvPicPr>
        <xdr:cNvPr id="1136" name="272 Imagen" descr="nuevo icono.png">
          <a:extLst>
            <a:ext uri="{FF2B5EF4-FFF2-40B4-BE49-F238E27FC236}">
              <a16:creationId xmlns:a16="http://schemas.microsoft.com/office/drawing/2014/main" id="{43FCA153-6F88-4646-8CD4-020136CF3730}"/>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99155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294</xdr:row>
      <xdr:rowOff>19050</xdr:rowOff>
    </xdr:from>
    <xdr:ext cx="819150" cy="123825"/>
    <xdr:pic>
      <xdr:nvPicPr>
        <xdr:cNvPr id="1147" name="594 Imagen" descr="laser fibra icono.png">
          <a:extLst>
            <a:ext uri="{FF2B5EF4-FFF2-40B4-BE49-F238E27FC236}">
              <a16:creationId xmlns:a16="http://schemas.microsoft.com/office/drawing/2014/main" id="{94254448-E95B-4D55-94D6-FFC50B0E8B6D}"/>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34250" y="473868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66675</xdr:colOff>
      <xdr:row>294</xdr:row>
      <xdr:rowOff>19050</xdr:rowOff>
    </xdr:from>
    <xdr:ext cx="502919" cy="121920"/>
    <xdr:pic>
      <xdr:nvPicPr>
        <xdr:cNvPr id="1171" name="Imagen 1170"/>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72450" y="47386875"/>
          <a:ext cx="502919" cy="121920"/>
        </a:xfrm>
        <a:prstGeom prst="rect">
          <a:avLst/>
        </a:prstGeom>
      </xdr:spPr>
    </xdr:pic>
    <xdr:clientData/>
  </xdr:oneCellAnchor>
  <xdr:oneCellAnchor>
    <xdr:from>
      <xdr:col>0</xdr:col>
      <xdr:colOff>0</xdr:colOff>
      <xdr:row>294</xdr:row>
      <xdr:rowOff>28575</xdr:rowOff>
    </xdr:from>
    <xdr:ext cx="342900" cy="104775"/>
    <xdr:pic>
      <xdr:nvPicPr>
        <xdr:cNvPr id="1180" name="261 Imagen" descr="nuevo icono.png">
          <a:extLst>
            <a:ext uri="{FF2B5EF4-FFF2-40B4-BE49-F238E27FC236}">
              <a16:creationId xmlns:a16="http://schemas.microsoft.com/office/drawing/2014/main" id="{204D8D91-A921-45D4-8F26-5DB5B202BC85}"/>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4495800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293</xdr:row>
      <xdr:rowOff>19050</xdr:rowOff>
    </xdr:from>
    <xdr:ext cx="819150" cy="123825"/>
    <xdr:pic>
      <xdr:nvPicPr>
        <xdr:cNvPr id="1190" name="594 Imagen" descr="laser fibra icono.png">
          <a:extLst>
            <a:ext uri="{FF2B5EF4-FFF2-40B4-BE49-F238E27FC236}">
              <a16:creationId xmlns:a16="http://schemas.microsoft.com/office/drawing/2014/main" id="{94254448-E95B-4D55-94D6-FFC50B0E8B6D}"/>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334250" y="451008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66675</xdr:colOff>
      <xdr:row>293</xdr:row>
      <xdr:rowOff>19050</xdr:rowOff>
    </xdr:from>
    <xdr:ext cx="502919" cy="121920"/>
    <xdr:pic>
      <xdr:nvPicPr>
        <xdr:cNvPr id="1215" name="Imagen 1214"/>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172450" y="45100875"/>
          <a:ext cx="502919" cy="121920"/>
        </a:xfrm>
        <a:prstGeom prst="rect">
          <a:avLst/>
        </a:prstGeom>
      </xdr:spPr>
    </xdr:pic>
    <xdr:clientData/>
  </xdr:oneCellAnchor>
  <xdr:oneCellAnchor>
    <xdr:from>
      <xdr:col>0</xdr:col>
      <xdr:colOff>0</xdr:colOff>
      <xdr:row>293</xdr:row>
      <xdr:rowOff>28575</xdr:rowOff>
    </xdr:from>
    <xdr:ext cx="342900" cy="104775"/>
    <xdr:pic>
      <xdr:nvPicPr>
        <xdr:cNvPr id="1247" name="261 Imagen" descr="nuevo icono.png">
          <a:extLst>
            <a:ext uri="{FF2B5EF4-FFF2-40B4-BE49-F238E27FC236}">
              <a16:creationId xmlns:a16="http://schemas.microsoft.com/office/drawing/2014/main" id="{204D8D91-A921-45D4-8F26-5DB5B202BC85}"/>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4511040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125</xdr:row>
      <xdr:rowOff>19050</xdr:rowOff>
    </xdr:from>
    <xdr:ext cx="819150" cy="123825"/>
    <xdr:pic>
      <xdr:nvPicPr>
        <xdr:cNvPr id="1336" name="867 Imagen" descr="laser fibra icono.png">
          <a:extLst>
            <a:ext uri="{FF2B5EF4-FFF2-40B4-BE49-F238E27FC236}">
              <a16:creationId xmlns:a16="http://schemas.microsoft.com/office/drawing/2014/main" id="{80DC8A16-3910-4D8D-BEF2-8DFB2210FC1A}"/>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6943725" y="195548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125</xdr:row>
      <xdr:rowOff>28575</xdr:rowOff>
    </xdr:from>
    <xdr:ext cx="342900" cy="104775"/>
    <xdr:pic>
      <xdr:nvPicPr>
        <xdr:cNvPr id="1371" name="272 Imagen" descr="nuevo icono.png">
          <a:extLst>
            <a:ext uri="{FF2B5EF4-FFF2-40B4-BE49-F238E27FC236}">
              <a16:creationId xmlns:a16="http://schemas.microsoft.com/office/drawing/2014/main" id="{43FCA153-6F88-4646-8CD4-020136CF3730}"/>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1910715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447</xdr:row>
      <xdr:rowOff>19050</xdr:rowOff>
    </xdr:from>
    <xdr:ext cx="819150" cy="123825"/>
    <xdr:pic>
      <xdr:nvPicPr>
        <xdr:cNvPr id="1391" name="337 Imagen" descr="laser fibra icono.png">
          <a:extLst>
            <a:ext uri="{FF2B5EF4-FFF2-40B4-BE49-F238E27FC236}">
              <a16:creationId xmlns:a16="http://schemas.microsoft.com/office/drawing/2014/main" id="{8504D109-95E7-49E6-9F49-7E0269928A13}"/>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6943725" y="682085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447</xdr:row>
      <xdr:rowOff>28575</xdr:rowOff>
    </xdr:from>
    <xdr:ext cx="342900" cy="104775"/>
    <xdr:pic>
      <xdr:nvPicPr>
        <xdr:cNvPr id="1396" name="247 Imagen" descr="nuevo icono.png">
          <a:extLst>
            <a:ext uri="{FF2B5EF4-FFF2-40B4-BE49-F238E27FC236}">
              <a16:creationId xmlns:a16="http://schemas.microsoft.com/office/drawing/2014/main" id="{D18BE403-B8EC-4ED4-ADAB-3FF1224643EA}"/>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6837045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62</xdr:row>
      <xdr:rowOff>19050</xdr:rowOff>
    </xdr:from>
    <xdr:to>
      <xdr:col>24</xdr:col>
      <xdr:colOff>47624</xdr:colOff>
      <xdr:row>62</xdr:row>
      <xdr:rowOff>142875</xdr:rowOff>
    </xdr:to>
    <xdr:pic>
      <xdr:nvPicPr>
        <xdr:cNvPr id="941"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6943725" y="10058400"/>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62</xdr:row>
      <xdr:rowOff>28575</xdr:rowOff>
    </xdr:from>
    <xdr:ext cx="342900" cy="104775"/>
    <xdr:pic>
      <xdr:nvPicPr>
        <xdr:cNvPr id="1035" name="272 Imagen" descr="nuevo icono.png">
          <a:extLst>
            <a:ext uri="{FF2B5EF4-FFF2-40B4-BE49-F238E27FC236}">
              <a16:creationId xmlns:a16="http://schemas.microsoft.com/office/drawing/2014/main" id="{43FCA153-6F88-4646-8CD4-020136CF3730}"/>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9915525"/>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411</xdr:row>
      <xdr:rowOff>19050</xdr:rowOff>
    </xdr:from>
    <xdr:ext cx="819150" cy="123825"/>
    <xdr:pic>
      <xdr:nvPicPr>
        <xdr:cNvPr id="910"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628745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411</xdr:row>
      <xdr:rowOff>28575</xdr:rowOff>
    </xdr:from>
    <xdr:ext cx="342900" cy="104775"/>
    <xdr:pic>
      <xdr:nvPicPr>
        <xdr:cNvPr id="936" name="247 Imagen" descr="nuevo icono.png">
          <a:extLst>
            <a:ext uri="{FF2B5EF4-FFF2-40B4-BE49-F238E27FC236}">
              <a16:creationId xmlns:a16="http://schemas.microsoft.com/office/drawing/2014/main" id="{D18BE403-B8EC-4ED4-ADAB-3FF1224643EA}"/>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6303645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153</xdr:row>
      <xdr:rowOff>28575</xdr:rowOff>
    </xdr:from>
    <xdr:to>
      <xdr:col>1</xdr:col>
      <xdr:colOff>0</xdr:colOff>
      <xdr:row>153</xdr:row>
      <xdr:rowOff>133350</xdr:rowOff>
    </xdr:to>
    <xdr:pic>
      <xdr:nvPicPr>
        <xdr:cNvPr id="939" name="240 Imagen" descr="oferta icono.png">
          <a:extLst>
            <a:ext uri="{FF2B5EF4-FFF2-40B4-BE49-F238E27FC236}">
              <a16:creationId xmlns:a16="http://schemas.microsoft.com/office/drawing/2014/main" id="{8651C8C1-883D-49E3-AEF7-6E97CDEF18AE}"/>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2352675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524</xdr:row>
      <xdr:rowOff>19050</xdr:rowOff>
    </xdr:from>
    <xdr:ext cx="847346" cy="121920"/>
    <xdr:pic>
      <xdr:nvPicPr>
        <xdr:cNvPr id="1059" name="Imagen 1058"/>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34250" y="80619600"/>
          <a:ext cx="847346" cy="121920"/>
        </a:xfrm>
        <a:prstGeom prst="rect">
          <a:avLst/>
        </a:prstGeom>
      </xdr:spPr>
    </xdr:pic>
    <xdr:clientData/>
  </xdr:oneCellAnchor>
  <xdr:oneCellAnchor>
    <xdr:from>
      <xdr:col>23</xdr:col>
      <xdr:colOff>9525</xdr:colOff>
      <xdr:row>245</xdr:row>
      <xdr:rowOff>19050</xdr:rowOff>
    </xdr:from>
    <xdr:ext cx="819150" cy="123825"/>
    <xdr:pic>
      <xdr:nvPicPr>
        <xdr:cNvPr id="907" name="702 Imagen" descr="laser fibra icono.png">
          <a:extLst>
            <a:ext uri="{FF2B5EF4-FFF2-40B4-BE49-F238E27FC236}">
              <a16:creationId xmlns:a16="http://schemas.microsoft.com/office/drawing/2014/main" id="{A84E498A-D1D2-406F-9CCF-947161A9D7FB}"/>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6943725" y="374808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245</xdr:row>
      <xdr:rowOff>28575</xdr:rowOff>
    </xdr:from>
    <xdr:ext cx="342900" cy="104775"/>
    <xdr:pic>
      <xdr:nvPicPr>
        <xdr:cNvPr id="909" name="261 Imagen" descr="nuevo icono.png">
          <a:extLst>
            <a:ext uri="{FF2B5EF4-FFF2-40B4-BE49-F238E27FC236}">
              <a16:creationId xmlns:a16="http://schemas.microsoft.com/office/drawing/2014/main" id="{204D8D91-A921-45D4-8F26-5DB5B202BC85}"/>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3749040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248</xdr:row>
      <xdr:rowOff>19050</xdr:rowOff>
    </xdr:from>
    <xdr:ext cx="819150" cy="123825"/>
    <xdr:pic>
      <xdr:nvPicPr>
        <xdr:cNvPr id="938"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6943725" y="379380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248</xdr:row>
      <xdr:rowOff>28575</xdr:rowOff>
    </xdr:from>
    <xdr:ext cx="342900" cy="104775"/>
    <xdr:pic>
      <xdr:nvPicPr>
        <xdr:cNvPr id="990" name="261 Imagen" descr="nuevo icono.png">
          <a:extLst>
            <a:ext uri="{FF2B5EF4-FFF2-40B4-BE49-F238E27FC236}">
              <a16:creationId xmlns:a16="http://schemas.microsoft.com/office/drawing/2014/main" id="{204D8D91-A921-45D4-8F26-5DB5B202BC85}"/>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3794760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6</xdr:col>
      <xdr:colOff>9525</xdr:colOff>
      <xdr:row>25</xdr:row>
      <xdr:rowOff>19050</xdr:rowOff>
    </xdr:from>
    <xdr:to>
      <xdr:col>9</xdr:col>
      <xdr:colOff>9526</xdr:colOff>
      <xdr:row>25</xdr:row>
      <xdr:rowOff>142875</xdr:rowOff>
    </xdr:to>
    <xdr:pic>
      <xdr:nvPicPr>
        <xdr:cNvPr id="1007" name="825 Imagen" descr="CONSULTAR ICONO.png">
          <a:extLst>
            <a:ext uri="{FF2B5EF4-FFF2-40B4-BE49-F238E27FC236}">
              <a16:creationId xmlns:a16="http://schemas.microsoft.com/office/drawing/2014/main" id="{5543434B-8549-4E44-8AAB-AB2922A57BC7}"/>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276600" y="4267200"/>
          <a:ext cx="809626"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25</xdr:row>
      <xdr:rowOff>19050</xdr:rowOff>
    </xdr:from>
    <xdr:ext cx="819149" cy="123825"/>
    <xdr:pic>
      <xdr:nvPicPr>
        <xdr:cNvPr id="1115"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4267200"/>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240</xdr:row>
      <xdr:rowOff>19050</xdr:rowOff>
    </xdr:from>
    <xdr:ext cx="819149" cy="123825"/>
    <xdr:pic>
      <xdr:nvPicPr>
        <xdr:cNvPr id="1153"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37176075"/>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240</xdr:row>
      <xdr:rowOff>28575</xdr:rowOff>
    </xdr:from>
    <xdr:ext cx="342900" cy="104775"/>
    <xdr:pic>
      <xdr:nvPicPr>
        <xdr:cNvPr id="1186" name="261 Imagen" descr="nuevo icono.png">
          <a:extLst>
            <a:ext uri="{FF2B5EF4-FFF2-40B4-BE49-F238E27FC236}">
              <a16:creationId xmlns:a16="http://schemas.microsoft.com/office/drawing/2014/main" id="{204D8D91-A921-45D4-8F26-5DB5B202BC85}"/>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3608070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285</xdr:row>
      <xdr:rowOff>28575</xdr:rowOff>
    </xdr:from>
    <xdr:to>
      <xdr:col>1</xdr:col>
      <xdr:colOff>0</xdr:colOff>
      <xdr:row>285</xdr:row>
      <xdr:rowOff>133350</xdr:rowOff>
    </xdr:to>
    <xdr:pic>
      <xdr:nvPicPr>
        <xdr:cNvPr id="1198" name="235 Imagen" descr="oferta icono.png">
          <a:extLst>
            <a:ext uri="{FF2B5EF4-FFF2-40B4-BE49-F238E27FC236}">
              <a16:creationId xmlns:a16="http://schemas.microsoft.com/office/drawing/2014/main" id="{9E3CA306-CFC8-4AA4-8FCC-5F7C665FB727}"/>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4373880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212</xdr:row>
      <xdr:rowOff>19050</xdr:rowOff>
    </xdr:from>
    <xdr:to>
      <xdr:col>24</xdr:col>
      <xdr:colOff>75821</xdr:colOff>
      <xdr:row>212</xdr:row>
      <xdr:rowOff>140970</xdr:rowOff>
    </xdr:to>
    <xdr:pic>
      <xdr:nvPicPr>
        <xdr:cNvPr id="1205" name="Imagen 1204"/>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334250" y="32565975"/>
          <a:ext cx="847346" cy="121920"/>
        </a:xfrm>
        <a:prstGeom prst="rect">
          <a:avLst/>
        </a:prstGeom>
      </xdr:spPr>
    </xdr:pic>
    <xdr:clientData/>
  </xdr:twoCellAnchor>
  <xdr:twoCellAnchor editAs="oneCell">
    <xdr:from>
      <xdr:col>23</xdr:col>
      <xdr:colOff>9525</xdr:colOff>
      <xdr:row>209</xdr:row>
      <xdr:rowOff>19050</xdr:rowOff>
    </xdr:from>
    <xdr:to>
      <xdr:col>24</xdr:col>
      <xdr:colOff>47624</xdr:colOff>
      <xdr:row>209</xdr:row>
      <xdr:rowOff>142875</xdr:rowOff>
    </xdr:to>
    <xdr:pic>
      <xdr:nvPicPr>
        <xdr:cNvPr id="1207"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31956375"/>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210</xdr:row>
      <xdr:rowOff>19050</xdr:rowOff>
    </xdr:from>
    <xdr:to>
      <xdr:col>24</xdr:col>
      <xdr:colOff>47624</xdr:colOff>
      <xdr:row>210</xdr:row>
      <xdr:rowOff>142875</xdr:rowOff>
    </xdr:to>
    <xdr:pic>
      <xdr:nvPicPr>
        <xdr:cNvPr id="1231"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32108775"/>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307</xdr:row>
      <xdr:rowOff>28575</xdr:rowOff>
    </xdr:from>
    <xdr:to>
      <xdr:col>1</xdr:col>
      <xdr:colOff>0</xdr:colOff>
      <xdr:row>307</xdr:row>
      <xdr:rowOff>133350</xdr:rowOff>
    </xdr:to>
    <xdr:pic>
      <xdr:nvPicPr>
        <xdr:cNvPr id="1235" name="235 Imagen" descr="oferta icono.png">
          <a:extLst>
            <a:ext uri="{FF2B5EF4-FFF2-40B4-BE49-F238E27FC236}">
              <a16:creationId xmlns:a16="http://schemas.microsoft.com/office/drawing/2014/main" id="{9E3CA306-CFC8-4AA4-8FCC-5F7C665FB727}"/>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4709160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312</xdr:row>
      <xdr:rowOff>19050</xdr:rowOff>
    </xdr:from>
    <xdr:to>
      <xdr:col>24</xdr:col>
      <xdr:colOff>47625</xdr:colOff>
      <xdr:row>312</xdr:row>
      <xdr:rowOff>142875</xdr:rowOff>
    </xdr:to>
    <xdr:pic>
      <xdr:nvPicPr>
        <xdr:cNvPr id="1258"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479964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11</xdr:row>
      <xdr:rowOff>19050</xdr:rowOff>
    </xdr:from>
    <xdr:to>
      <xdr:col>24</xdr:col>
      <xdr:colOff>47624</xdr:colOff>
      <xdr:row>11</xdr:row>
      <xdr:rowOff>142875</xdr:rowOff>
    </xdr:to>
    <xdr:pic>
      <xdr:nvPicPr>
        <xdr:cNvPr id="1259"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7334250" y="2133600"/>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117</xdr:row>
      <xdr:rowOff>19050</xdr:rowOff>
    </xdr:from>
    <xdr:ext cx="819150" cy="123825"/>
    <xdr:pic>
      <xdr:nvPicPr>
        <xdr:cNvPr id="1289" name="908 Imagen" descr="sublimacion icono.png">
          <a:extLst>
            <a:ext uri="{FF2B5EF4-FFF2-40B4-BE49-F238E27FC236}">
              <a16:creationId xmlns:a16="http://schemas.microsoft.com/office/drawing/2014/main" id="{581B4560-5234-4583-9549-4B5B1FCDC92F}"/>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34250" y="181832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122</xdr:row>
      <xdr:rowOff>19050</xdr:rowOff>
    </xdr:from>
    <xdr:ext cx="819150" cy="123825"/>
    <xdr:pic>
      <xdr:nvPicPr>
        <xdr:cNvPr id="1312" name="872 Imagen" descr="sublimacion icono.png">
          <a:extLst>
            <a:ext uri="{FF2B5EF4-FFF2-40B4-BE49-F238E27FC236}">
              <a16:creationId xmlns:a16="http://schemas.microsoft.com/office/drawing/2014/main" id="{1700A12B-4AB9-4FBB-B4E2-9EB014A27A38}"/>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34250" y="187928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66675</xdr:colOff>
      <xdr:row>122</xdr:row>
      <xdr:rowOff>19050</xdr:rowOff>
    </xdr:from>
    <xdr:ext cx="819149" cy="123825"/>
    <xdr:pic>
      <xdr:nvPicPr>
        <xdr:cNvPr id="1381" name="909 Imagen" descr="FULL PRINT ICONO.png">
          <a:extLst>
            <a:ext uri="{FF2B5EF4-FFF2-40B4-BE49-F238E27FC236}">
              <a16:creationId xmlns:a16="http://schemas.microsoft.com/office/drawing/2014/main" id="{4FAFE7D2-32CF-451E-95AF-33288D67F693}"/>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8172450" y="18792825"/>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118</xdr:row>
      <xdr:rowOff>19050</xdr:rowOff>
    </xdr:from>
    <xdr:ext cx="819150" cy="123825"/>
    <xdr:pic>
      <xdr:nvPicPr>
        <xdr:cNvPr id="1397" name="908 Imagen" descr="sublimacion icono.png">
          <a:extLst>
            <a:ext uri="{FF2B5EF4-FFF2-40B4-BE49-F238E27FC236}">
              <a16:creationId xmlns:a16="http://schemas.microsoft.com/office/drawing/2014/main" id="{581B4560-5234-4583-9549-4B5B1FCDC92F}"/>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34250" y="183356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123</xdr:row>
      <xdr:rowOff>19050</xdr:rowOff>
    </xdr:from>
    <xdr:ext cx="819150" cy="123825"/>
    <xdr:pic>
      <xdr:nvPicPr>
        <xdr:cNvPr id="1401" name="872 Imagen" descr="sublimacion icono.png">
          <a:extLst>
            <a:ext uri="{FF2B5EF4-FFF2-40B4-BE49-F238E27FC236}">
              <a16:creationId xmlns:a16="http://schemas.microsoft.com/office/drawing/2014/main" id="{1700A12B-4AB9-4FBB-B4E2-9EB014A27A38}"/>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34250" y="1909762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66675</xdr:colOff>
      <xdr:row>123</xdr:row>
      <xdr:rowOff>19050</xdr:rowOff>
    </xdr:from>
    <xdr:ext cx="819149" cy="123825"/>
    <xdr:pic>
      <xdr:nvPicPr>
        <xdr:cNvPr id="1402" name="909 Imagen" descr="FULL PRINT ICONO.png">
          <a:extLst>
            <a:ext uri="{FF2B5EF4-FFF2-40B4-BE49-F238E27FC236}">
              <a16:creationId xmlns:a16="http://schemas.microsoft.com/office/drawing/2014/main" id="{4FAFE7D2-32CF-451E-95AF-33288D67F693}"/>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8172450" y="19097625"/>
          <a:ext cx="819149"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118</xdr:row>
      <xdr:rowOff>28575</xdr:rowOff>
    </xdr:from>
    <xdr:ext cx="342900" cy="104775"/>
    <xdr:pic>
      <xdr:nvPicPr>
        <xdr:cNvPr id="1407" name="272 Imagen" descr="nuevo icono.png">
          <a:extLst>
            <a:ext uri="{FF2B5EF4-FFF2-40B4-BE49-F238E27FC236}">
              <a16:creationId xmlns:a16="http://schemas.microsoft.com/office/drawing/2014/main" id="{43FCA153-6F88-4646-8CD4-020136CF3730}"/>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1849755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123</xdr:row>
      <xdr:rowOff>28575</xdr:rowOff>
    </xdr:from>
    <xdr:ext cx="342900" cy="104775"/>
    <xdr:pic>
      <xdr:nvPicPr>
        <xdr:cNvPr id="1409" name="272 Imagen" descr="nuevo icono.png">
          <a:extLst>
            <a:ext uri="{FF2B5EF4-FFF2-40B4-BE49-F238E27FC236}">
              <a16:creationId xmlns:a16="http://schemas.microsoft.com/office/drawing/2014/main" id="{43FCA153-6F88-4646-8CD4-020136CF3730}"/>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1925955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23</xdr:col>
      <xdr:colOff>9525</xdr:colOff>
      <xdr:row>350</xdr:row>
      <xdr:rowOff>19050</xdr:rowOff>
    </xdr:from>
    <xdr:to>
      <xdr:col>24</xdr:col>
      <xdr:colOff>47625</xdr:colOff>
      <xdr:row>350</xdr:row>
      <xdr:rowOff>142875</xdr:rowOff>
    </xdr:to>
    <xdr:pic>
      <xdr:nvPicPr>
        <xdr:cNvPr id="1411" name="512 Imagen" descr="tampo icono.png">
          <a:extLst>
            <a:ext uri="{FF2B5EF4-FFF2-40B4-BE49-F238E27FC236}">
              <a16:creationId xmlns:a16="http://schemas.microsoft.com/office/drawing/2014/main" id="{39EBC17B-715A-4F85-AEA2-41BC19170301}"/>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6943725" y="539877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349</xdr:row>
      <xdr:rowOff>19050</xdr:rowOff>
    </xdr:from>
    <xdr:to>
      <xdr:col>24</xdr:col>
      <xdr:colOff>47625</xdr:colOff>
      <xdr:row>349</xdr:row>
      <xdr:rowOff>142875</xdr:rowOff>
    </xdr:to>
    <xdr:pic>
      <xdr:nvPicPr>
        <xdr:cNvPr id="1459" name="512 Imagen" descr="tampo icono.png">
          <a:extLst>
            <a:ext uri="{FF2B5EF4-FFF2-40B4-BE49-F238E27FC236}">
              <a16:creationId xmlns:a16="http://schemas.microsoft.com/office/drawing/2014/main" id="{39EBC17B-715A-4F85-AEA2-41BC19170301}"/>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6943725" y="538353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320</xdr:row>
      <xdr:rowOff>19050</xdr:rowOff>
    </xdr:from>
    <xdr:to>
      <xdr:col>24</xdr:col>
      <xdr:colOff>47625</xdr:colOff>
      <xdr:row>320</xdr:row>
      <xdr:rowOff>142875</xdr:rowOff>
    </xdr:to>
    <xdr:pic>
      <xdr:nvPicPr>
        <xdr:cNvPr id="1460"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6943725" y="494157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321</xdr:row>
      <xdr:rowOff>19050</xdr:rowOff>
    </xdr:from>
    <xdr:to>
      <xdr:col>24</xdr:col>
      <xdr:colOff>47625</xdr:colOff>
      <xdr:row>321</xdr:row>
      <xdr:rowOff>142875</xdr:rowOff>
    </xdr:to>
    <xdr:pic>
      <xdr:nvPicPr>
        <xdr:cNvPr id="1461"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6943725" y="495681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366</xdr:row>
      <xdr:rowOff>19050</xdr:rowOff>
    </xdr:from>
    <xdr:to>
      <xdr:col>24</xdr:col>
      <xdr:colOff>47625</xdr:colOff>
      <xdr:row>366</xdr:row>
      <xdr:rowOff>142875</xdr:rowOff>
    </xdr:to>
    <xdr:pic>
      <xdr:nvPicPr>
        <xdr:cNvPr id="1462"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6943725" y="564261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9525</xdr:colOff>
      <xdr:row>367</xdr:row>
      <xdr:rowOff>19050</xdr:rowOff>
    </xdr:from>
    <xdr:to>
      <xdr:col>24</xdr:col>
      <xdr:colOff>47625</xdr:colOff>
      <xdr:row>367</xdr:row>
      <xdr:rowOff>142875</xdr:rowOff>
    </xdr:to>
    <xdr:pic>
      <xdr:nvPicPr>
        <xdr:cNvPr id="1502"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6943725" y="56578500"/>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9525</xdr:colOff>
      <xdr:row>291</xdr:row>
      <xdr:rowOff>19050</xdr:rowOff>
    </xdr:from>
    <xdr:ext cx="819150" cy="123825"/>
    <xdr:pic>
      <xdr:nvPicPr>
        <xdr:cNvPr id="1511" name="594 Imagen" descr="laser fibra icono.png">
          <a:extLst>
            <a:ext uri="{FF2B5EF4-FFF2-40B4-BE49-F238E27FC236}">
              <a16:creationId xmlns:a16="http://schemas.microsoft.com/office/drawing/2014/main" id="{94254448-E95B-4D55-94D6-FFC50B0E8B6D}"/>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6943725" y="449484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292</xdr:row>
      <xdr:rowOff>19050</xdr:rowOff>
    </xdr:from>
    <xdr:ext cx="819150" cy="123825"/>
    <xdr:pic>
      <xdr:nvPicPr>
        <xdr:cNvPr id="1513" name="594 Imagen" descr="laser fibra icono.png">
          <a:extLst>
            <a:ext uri="{FF2B5EF4-FFF2-40B4-BE49-F238E27FC236}">
              <a16:creationId xmlns:a16="http://schemas.microsoft.com/office/drawing/2014/main" id="{94254448-E95B-4D55-94D6-FFC50B0E8B6D}"/>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6943725" y="451008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9525</xdr:colOff>
      <xdr:row>198</xdr:row>
      <xdr:rowOff>19050</xdr:rowOff>
    </xdr:from>
    <xdr:ext cx="819150" cy="123825"/>
    <xdr:pic>
      <xdr:nvPicPr>
        <xdr:cNvPr id="904" name="1037 Imagen" descr="digital icono.png">
          <a:extLst>
            <a:ext uri="{FF2B5EF4-FFF2-40B4-BE49-F238E27FC236}">
              <a16:creationId xmlns:a16="http://schemas.microsoft.com/office/drawing/2014/main" id="{14C12E52-ED20-4E93-9CC7-ED59E7F43FBD}"/>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6943725" y="30279975"/>
          <a:ext cx="8191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198</xdr:row>
      <xdr:rowOff>28575</xdr:rowOff>
    </xdr:from>
    <xdr:ext cx="342900" cy="104775"/>
    <xdr:pic>
      <xdr:nvPicPr>
        <xdr:cNvPr id="913" name="272 Imagen" descr="nuevo icono.png">
          <a:extLst>
            <a:ext uri="{FF2B5EF4-FFF2-40B4-BE49-F238E27FC236}">
              <a16:creationId xmlns:a16="http://schemas.microsoft.com/office/drawing/2014/main" id="{43FCA153-6F88-4646-8CD4-020136CF3730}"/>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30746700"/>
          <a:ext cx="3429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Concurrencia">
      <a:dk1>
        <a:sysClr val="windowText" lastClr="000000"/>
      </a:dk1>
      <a:lt1>
        <a:sysClr val="window" lastClr="FFFFFF"/>
      </a:lt1>
      <a:dk2>
        <a:srgbClr val="464646"/>
      </a:dk2>
      <a:lt2>
        <a:srgbClr val="DEF5FA"/>
      </a:lt2>
      <a:accent1>
        <a:srgbClr val="2DA2BF"/>
      </a:accent1>
      <a:accent2>
        <a:srgbClr val="DA1F28"/>
      </a:accent2>
      <a:accent3>
        <a:srgbClr val="EB641B"/>
      </a:accent3>
      <a:accent4>
        <a:srgbClr val="39639D"/>
      </a:accent4>
      <a:accent5>
        <a:srgbClr val="474B78"/>
      </a:accent5>
      <a:accent6>
        <a:srgbClr val="7D3C4A"/>
      </a:accent6>
      <a:hlink>
        <a:srgbClr val="FF8119"/>
      </a:hlink>
      <a:folHlink>
        <a:srgbClr val="44B9E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jivi.com.ar/ficha.php?id=214" TargetMode="External"/><Relationship Id="rId21" Type="http://schemas.openxmlformats.org/officeDocument/2006/relationships/hyperlink" Target="https://www.jivi.com.ar/ficha.php?id=99" TargetMode="External"/><Relationship Id="rId324" Type="http://schemas.openxmlformats.org/officeDocument/2006/relationships/hyperlink" Target="https://www.jivi.com.ar/ficha.php?id=1468" TargetMode="External"/><Relationship Id="rId531" Type="http://schemas.openxmlformats.org/officeDocument/2006/relationships/hyperlink" Target="https://www.jivi.com.ar/ficha.php?id=1742" TargetMode="External"/><Relationship Id="rId170" Type="http://schemas.openxmlformats.org/officeDocument/2006/relationships/hyperlink" Target="https://www.jivi.com.ar/ficha.php?id=1088" TargetMode="External"/><Relationship Id="rId268" Type="http://schemas.openxmlformats.org/officeDocument/2006/relationships/hyperlink" Target="https://www.jivi.com.ar/ficha.php?id=872" TargetMode="External"/><Relationship Id="rId475" Type="http://schemas.openxmlformats.org/officeDocument/2006/relationships/hyperlink" Target="https://www.jivi.com.ar/ficha.php?id=1654" TargetMode="External"/><Relationship Id="rId32" Type="http://schemas.openxmlformats.org/officeDocument/2006/relationships/hyperlink" Target="https://www.jivi.com.ar/ficha.php?id=110" TargetMode="External"/><Relationship Id="rId128" Type="http://schemas.openxmlformats.org/officeDocument/2006/relationships/hyperlink" Target="https://www.jivi.com.ar/ficha.php?id=708" TargetMode="External"/><Relationship Id="rId335" Type="http://schemas.openxmlformats.org/officeDocument/2006/relationships/hyperlink" Target="https://www.jivi.com.ar/ficha.php?id=1481" TargetMode="External"/><Relationship Id="rId542" Type="http://schemas.openxmlformats.org/officeDocument/2006/relationships/hyperlink" Target="https://www.jivi.com.ar/ficha.php?id=1750" TargetMode="External"/><Relationship Id="rId181" Type="http://schemas.openxmlformats.org/officeDocument/2006/relationships/hyperlink" Target="https://www.jivi.com.ar/ficha.php?id=1108" TargetMode="External"/><Relationship Id="rId402" Type="http://schemas.openxmlformats.org/officeDocument/2006/relationships/hyperlink" Target="https://www.jivi.com.ar/ficha.php?id=1568" TargetMode="External"/><Relationship Id="rId279" Type="http://schemas.openxmlformats.org/officeDocument/2006/relationships/hyperlink" Target="https://www.jivi.com.ar/ficha.php?id=1402" TargetMode="External"/><Relationship Id="rId486" Type="http://schemas.openxmlformats.org/officeDocument/2006/relationships/hyperlink" Target="https://www.jivi.com.ar/ficha.php?id=1664" TargetMode="External"/><Relationship Id="rId43" Type="http://schemas.openxmlformats.org/officeDocument/2006/relationships/hyperlink" Target="https://www.jivi.com.ar/ficha.php?id=402" TargetMode="External"/><Relationship Id="rId139" Type="http://schemas.openxmlformats.org/officeDocument/2006/relationships/hyperlink" Target="https://www.jivi.com.ar/ficha.php?id=886" TargetMode="External"/><Relationship Id="rId346" Type="http://schemas.openxmlformats.org/officeDocument/2006/relationships/hyperlink" Target="https://www.jivi.com.ar/ficha.php?id=1499" TargetMode="External"/><Relationship Id="rId553" Type="http://schemas.openxmlformats.org/officeDocument/2006/relationships/hyperlink" Target="https://www.jivi.com.ar/ficha.php?id=1709" TargetMode="External"/><Relationship Id="rId192" Type="http://schemas.openxmlformats.org/officeDocument/2006/relationships/hyperlink" Target="https://www.jivi.com.ar/ficha.php?id=1152" TargetMode="External"/><Relationship Id="rId206" Type="http://schemas.openxmlformats.org/officeDocument/2006/relationships/hyperlink" Target="https://www.jivi.com.ar/ficha.php?id=1209" TargetMode="External"/><Relationship Id="rId413" Type="http://schemas.openxmlformats.org/officeDocument/2006/relationships/hyperlink" Target="https://www.jivi.com.ar/ficha.php?id=1249" TargetMode="External"/><Relationship Id="rId497" Type="http://schemas.openxmlformats.org/officeDocument/2006/relationships/hyperlink" Target="https://www.jivi.com.ar/ficha.php?id=1695" TargetMode="External"/><Relationship Id="rId357" Type="http://schemas.openxmlformats.org/officeDocument/2006/relationships/hyperlink" Target="https://www.jivi.com.ar/ficha.php?id=1515" TargetMode="External"/><Relationship Id="rId54" Type="http://schemas.openxmlformats.org/officeDocument/2006/relationships/hyperlink" Target="https://www.jivi.com.ar/ficha.php?id=118" TargetMode="External"/><Relationship Id="rId217" Type="http://schemas.openxmlformats.org/officeDocument/2006/relationships/hyperlink" Target="https://www.jivi.com.ar/ficha.php?id=1060" TargetMode="External"/><Relationship Id="rId564" Type="http://schemas.openxmlformats.org/officeDocument/2006/relationships/hyperlink" Target="https://www.jivi.com.ar/ficha.php?id=1487" TargetMode="External"/><Relationship Id="rId424" Type="http://schemas.openxmlformats.org/officeDocument/2006/relationships/hyperlink" Target="https://www.jivi.com.ar/ficha.php?id=1411" TargetMode="External"/><Relationship Id="rId270" Type="http://schemas.openxmlformats.org/officeDocument/2006/relationships/hyperlink" Target="https://www.jivi.com.ar/ficha.php?id=1262" TargetMode="External"/><Relationship Id="rId65" Type="http://schemas.openxmlformats.org/officeDocument/2006/relationships/hyperlink" Target="https://www.jivi.com.ar/ficha.php?id=209" TargetMode="External"/><Relationship Id="rId130" Type="http://schemas.openxmlformats.org/officeDocument/2006/relationships/hyperlink" Target="https://www.jivi.com.ar/ficha.php?id=840" TargetMode="External"/><Relationship Id="rId368" Type="http://schemas.openxmlformats.org/officeDocument/2006/relationships/hyperlink" Target="https://www.jivi.com.ar/ficha.php?id=1539" TargetMode="External"/><Relationship Id="rId172" Type="http://schemas.openxmlformats.org/officeDocument/2006/relationships/hyperlink" Target="https://www.jivi.com.ar/ficha.php?id=1090" TargetMode="External"/><Relationship Id="rId228" Type="http://schemas.openxmlformats.org/officeDocument/2006/relationships/hyperlink" Target="https://www.jivi.com.ar/ficha.php?id=1277" TargetMode="External"/><Relationship Id="rId435" Type="http://schemas.openxmlformats.org/officeDocument/2006/relationships/hyperlink" Target="https://www.jivi.com.ar/ficha.php?id=1602" TargetMode="External"/><Relationship Id="rId477" Type="http://schemas.openxmlformats.org/officeDocument/2006/relationships/hyperlink" Target="https://www.jivi.com.ar/ficha.php?id=1652" TargetMode="External"/><Relationship Id="rId281" Type="http://schemas.openxmlformats.org/officeDocument/2006/relationships/hyperlink" Target="https://www.jivi.com.ar/ficha.php?id=1405" TargetMode="External"/><Relationship Id="rId337" Type="http://schemas.openxmlformats.org/officeDocument/2006/relationships/hyperlink" Target="https://www.jivi.com.ar/ficha.php?id=1486" TargetMode="External"/><Relationship Id="rId502" Type="http://schemas.openxmlformats.org/officeDocument/2006/relationships/hyperlink" Target="https://www.jivi.com.ar/ficha.php?id=1700" TargetMode="External"/><Relationship Id="rId34" Type="http://schemas.openxmlformats.org/officeDocument/2006/relationships/hyperlink" Target="https://www.jivi.com.ar/ficha.php?id=113" TargetMode="External"/><Relationship Id="rId76" Type="http://schemas.openxmlformats.org/officeDocument/2006/relationships/hyperlink" Target="https://www.jivi.com.ar/ficha.php?id=394" TargetMode="External"/><Relationship Id="rId141" Type="http://schemas.openxmlformats.org/officeDocument/2006/relationships/hyperlink" Target="https://www.jivi.com.ar/ficha.php?id=918" TargetMode="External"/><Relationship Id="rId379" Type="http://schemas.openxmlformats.org/officeDocument/2006/relationships/hyperlink" Target="https://www.jivi.com.ar/ficha.php?id=1551" TargetMode="External"/><Relationship Id="rId544" Type="http://schemas.openxmlformats.org/officeDocument/2006/relationships/hyperlink" Target="https://www.jivi.com.ar/ficha.php?id=1774" TargetMode="External"/><Relationship Id="rId7" Type="http://schemas.openxmlformats.org/officeDocument/2006/relationships/hyperlink" Target="https://www.jivi.com.ar/ficha.php?id=724" TargetMode="External"/><Relationship Id="rId183" Type="http://schemas.openxmlformats.org/officeDocument/2006/relationships/hyperlink" Target="https://www.jivi.com.ar/ficha.php?id=1119" TargetMode="External"/><Relationship Id="rId239" Type="http://schemas.openxmlformats.org/officeDocument/2006/relationships/hyperlink" Target="https://www.jivi.com.ar/ficha.php?id=1290" TargetMode="External"/><Relationship Id="rId390" Type="http://schemas.openxmlformats.org/officeDocument/2006/relationships/hyperlink" Target="https://www.jivi.com.ar/ficha.php?id=26" TargetMode="External"/><Relationship Id="rId404" Type="http://schemas.openxmlformats.org/officeDocument/2006/relationships/hyperlink" Target="https://www.jivi.com.ar/ficha.php?id=1570" TargetMode="External"/><Relationship Id="rId446" Type="http://schemas.openxmlformats.org/officeDocument/2006/relationships/hyperlink" Target="https://www.jivi.com.ar/ficha.php?id=1274" TargetMode="External"/><Relationship Id="rId250" Type="http://schemas.openxmlformats.org/officeDocument/2006/relationships/hyperlink" Target="https://www.jivi.com.ar/ficha.php?id=1365" TargetMode="External"/><Relationship Id="rId292" Type="http://schemas.openxmlformats.org/officeDocument/2006/relationships/hyperlink" Target="https://www.jivi.com.ar/ficha.php?id=1421" TargetMode="External"/><Relationship Id="rId306" Type="http://schemas.openxmlformats.org/officeDocument/2006/relationships/hyperlink" Target="https://www.jivi.com.ar/ficha.php?id=216" TargetMode="External"/><Relationship Id="rId488" Type="http://schemas.openxmlformats.org/officeDocument/2006/relationships/hyperlink" Target="https://www.jivi.com.ar/ficha.php?id=1667" TargetMode="External"/><Relationship Id="rId45" Type="http://schemas.openxmlformats.org/officeDocument/2006/relationships/hyperlink" Target="https://www.jivi.com.ar/ficha.php?id=638" TargetMode="External"/><Relationship Id="rId87" Type="http://schemas.openxmlformats.org/officeDocument/2006/relationships/hyperlink" Target="https://www.jivi.com.ar/ficha.php?id=245" TargetMode="External"/><Relationship Id="rId110" Type="http://schemas.openxmlformats.org/officeDocument/2006/relationships/hyperlink" Target="https://www.jivi.com.ar/ficha.php?id=765" TargetMode="External"/><Relationship Id="rId348" Type="http://schemas.openxmlformats.org/officeDocument/2006/relationships/hyperlink" Target="https://www.jivi.com.ar/ficha.php?id=1502" TargetMode="External"/><Relationship Id="rId513" Type="http://schemas.openxmlformats.org/officeDocument/2006/relationships/hyperlink" Target="https://www.jivi.com.ar/ficha.php?id=1720" TargetMode="External"/><Relationship Id="rId555" Type="http://schemas.openxmlformats.org/officeDocument/2006/relationships/hyperlink" Target="https://www.jivi.com.ar/ficha.php?id=1736" TargetMode="External"/><Relationship Id="rId152" Type="http://schemas.openxmlformats.org/officeDocument/2006/relationships/hyperlink" Target="https://www.jivi.com.ar/ficha.php?id=850" TargetMode="External"/><Relationship Id="rId194" Type="http://schemas.openxmlformats.org/officeDocument/2006/relationships/hyperlink" Target="https://www.jivi.com.ar/ficha.php?id=1172" TargetMode="External"/><Relationship Id="rId208" Type="http://schemas.openxmlformats.org/officeDocument/2006/relationships/hyperlink" Target="https://www.jivi.com.ar/ficha.php?id=1219" TargetMode="External"/><Relationship Id="rId415" Type="http://schemas.openxmlformats.org/officeDocument/2006/relationships/hyperlink" Target="https://www.jivi.com.ar/ficha.php?id=1576" TargetMode="External"/><Relationship Id="rId457" Type="http://schemas.openxmlformats.org/officeDocument/2006/relationships/hyperlink" Target="https://www.jivi.com.ar/ficha.php?id=1617" TargetMode="External"/><Relationship Id="rId261" Type="http://schemas.openxmlformats.org/officeDocument/2006/relationships/hyperlink" Target="https://www.jivi.com.ar/ficha.php?id=1387" TargetMode="External"/><Relationship Id="rId499" Type="http://schemas.openxmlformats.org/officeDocument/2006/relationships/hyperlink" Target="https://www.jivi.com.ar/ficha.php?id=1697" TargetMode="External"/><Relationship Id="rId14" Type="http://schemas.openxmlformats.org/officeDocument/2006/relationships/hyperlink" Target="https://www.jivi.com.ar/ficha.php?id=164" TargetMode="External"/><Relationship Id="rId56" Type="http://schemas.openxmlformats.org/officeDocument/2006/relationships/hyperlink" Target="https://www.jivi.com.ar/ficha.php?id=120" TargetMode="External"/><Relationship Id="rId317" Type="http://schemas.openxmlformats.org/officeDocument/2006/relationships/hyperlink" Target="https://www.jivi.com.ar/ficha.php?id=1454" TargetMode="External"/><Relationship Id="rId359" Type="http://schemas.openxmlformats.org/officeDocument/2006/relationships/hyperlink" Target="https://www.jivi.com.ar/ficha.php?id=1517" TargetMode="External"/><Relationship Id="rId524" Type="http://schemas.openxmlformats.org/officeDocument/2006/relationships/hyperlink" Target="https://www.jivi.com.ar/ficha.php?id=1733" TargetMode="External"/><Relationship Id="rId566" Type="http://schemas.openxmlformats.org/officeDocument/2006/relationships/hyperlink" Target="https://www.jivi.com.ar/ficha.php?id=1186" TargetMode="External"/><Relationship Id="rId98" Type="http://schemas.openxmlformats.org/officeDocument/2006/relationships/hyperlink" Target="https://www.jivi.com.ar/ficha.php?id=431" TargetMode="External"/><Relationship Id="rId121" Type="http://schemas.openxmlformats.org/officeDocument/2006/relationships/hyperlink" Target="https://www.jivi.com.ar/ficha.php?id=238" TargetMode="External"/><Relationship Id="rId163" Type="http://schemas.openxmlformats.org/officeDocument/2006/relationships/hyperlink" Target="https://www.jivi.com.ar/ficha.php?id=1046" TargetMode="External"/><Relationship Id="rId219" Type="http://schemas.openxmlformats.org/officeDocument/2006/relationships/hyperlink" Target="https://www.jivi.com.ar/ficha.php?id=883" TargetMode="External"/><Relationship Id="rId370" Type="http://schemas.openxmlformats.org/officeDocument/2006/relationships/hyperlink" Target="https://www.jivi.com.ar/ficha.php?id=1541" TargetMode="External"/><Relationship Id="rId426" Type="http://schemas.openxmlformats.org/officeDocument/2006/relationships/hyperlink" Target="https://www.jivi.com.ar/ficha.php?id=1590" TargetMode="External"/><Relationship Id="rId230" Type="http://schemas.openxmlformats.org/officeDocument/2006/relationships/hyperlink" Target="https://www.jivi.com.ar/ficha.php?id=1280" TargetMode="External"/><Relationship Id="rId468" Type="http://schemas.openxmlformats.org/officeDocument/2006/relationships/hyperlink" Target="https://www.jivi.com.ar/ficha.php?id=968" TargetMode="External"/><Relationship Id="rId25" Type="http://schemas.openxmlformats.org/officeDocument/2006/relationships/hyperlink" Target="https://www.jivi.com.ar/ficha.php?id=103" TargetMode="External"/><Relationship Id="rId67" Type="http://schemas.openxmlformats.org/officeDocument/2006/relationships/hyperlink" Target="https://www.jivi.com.ar/ficha.php?id=60" TargetMode="External"/><Relationship Id="rId272" Type="http://schemas.openxmlformats.org/officeDocument/2006/relationships/hyperlink" Target="https://www.jivi.com.ar/ficha.php?id=1401" TargetMode="External"/><Relationship Id="rId328" Type="http://schemas.openxmlformats.org/officeDocument/2006/relationships/hyperlink" Target="htthttps://www.jivi.com.ar/ficha.php?id=1476" TargetMode="External"/><Relationship Id="rId535" Type="http://schemas.openxmlformats.org/officeDocument/2006/relationships/hyperlink" Target="https://www.jivi.com.ar/ficha.php?id=1745" TargetMode="External"/><Relationship Id="rId132" Type="http://schemas.openxmlformats.org/officeDocument/2006/relationships/hyperlink" Target="https://www.jivi.com.ar/ficha.php?id=848" TargetMode="External"/><Relationship Id="rId174" Type="http://schemas.openxmlformats.org/officeDocument/2006/relationships/hyperlink" Target="https://www.jivi.com.ar/ficha.php?id=1095" TargetMode="External"/><Relationship Id="rId381" Type="http://schemas.openxmlformats.org/officeDocument/2006/relationships/hyperlink" Target="https://www.jivi.com.ar/ficha.php?id=1311" TargetMode="External"/><Relationship Id="rId241" Type="http://schemas.openxmlformats.org/officeDocument/2006/relationships/hyperlink" Target="https://www.jivi.com.ar/ficha.php?id=1314" TargetMode="External"/><Relationship Id="rId437" Type="http://schemas.openxmlformats.org/officeDocument/2006/relationships/hyperlink" Target="https://www.jivi.com.ar/ficha.php?id=1701" TargetMode="External"/><Relationship Id="rId479" Type="http://schemas.openxmlformats.org/officeDocument/2006/relationships/hyperlink" Target="https://www.jivi.com.ar/ficha.php?id=1640" TargetMode="External"/><Relationship Id="rId36" Type="http://schemas.openxmlformats.org/officeDocument/2006/relationships/hyperlink" Target="https://www.jivi.com.ar/ficha.php?id=114" TargetMode="External"/><Relationship Id="rId283" Type="http://schemas.openxmlformats.org/officeDocument/2006/relationships/hyperlink" Target="https://www.jivi.com.ar/ficha.php?id=1416" TargetMode="External"/><Relationship Id="rId339" Type="http://schemas.openxmlformats.org/officeDocument/2006/relationships/hyperlink" Target="https://www.jivi.com.ar/ficha.php?id=1492" TargetMode="External"/><Relationship Id="rId490" Type="http://schemas.openxmlformats.org/officeDocument/2006/relationships/hyperlink" Target="https://www.jivi.com.ar/ficha.php?id=1272" TargetMode="External"/><Relationship Id="rId504" Type="http://schemas.openxmlformats.org/officeDocument/2006/relationships/hyperlink" Target="https://www.jivi.com.ar/ficha.php?id=1462" TargetMode="External"/><Relationship Id="rId546" Type="http://schemas.openxmlformats.org/officeDocument/2006/relationships/hyperlink" Target="https://www.jivi.com.ar/ficha.php?id=1461" TargetMode="External"/><Relationship Id="rId78" Type="http://schemas.openxmlformats.org/officeDocument/2006/relationships/hyperlink" Target="https://www.jivi.com.ar/ficha.php?id=18" TargetMode="External"/><Relationship Id="rId101" Type="http://schemas.openxmlformats.org/officeDocument/2006/relationships/hyperlink" Target="https://www.jivi.com.ar/ficha.php?id=181" TargetMode="External"/><Relationship Id="rId143" Type="http://schemas.openxmlformats.org/officeDocument/2006/relationships/hyperlink" Target="https://www.jivi.com.ar/ficha.php?id=938" TargetMode="External"/><Relationship Id="rId185" Type="http://schemas.openxmlformats.org/officeDocument/2006/relationships/hyperlink" Target="https://www.jivi.com.ar/ficha.php?id=1154" TargetMode="External"/><Relationship Id="rId350" Type="http://schemas.openxmlformats.org/officeDocument/2006/relationships/hyperlink" Target="https://www.jivi.com.ar/ficha.php?id=1504" TargetMode="External"/><Relationship Id="rId406" Type="http://schemas.openxmlformats.org/officeDocument/2006/relationships/hyperlink" Target="https://www.jivi.com.ar/ficha.php?id=1518" TargetMode="External"/><Relationship Id="rId9" Type="http://schemas.openxmlformats.org/officeDocument/2006/relationships/hyperlink" Target="https://www.jivi.com.ar/ficha.php?id=718" TargetMode="External"/><Relationship Id="rId210" Type="http://schemas.openxmlformats.org/officeDocument/2006/relationships/hyperlink" Target="https://www.jivi.com.ar/ficha.php?id=1222" TargetMode="External"/><Relationship Id="rId392" Type="http://schemas.openxmlformats.org/officeDocument/2006/relationships/hyperlink" Target="https://www.jivi.com.ar/ficha.php?id=1562" TargetMode="External"/><Relationship Id="rId448" Type="http://schemas.openxmlformats.org/officeDocument/2006/relationships/hyperlink" Target="https://www.jivi.com.ar/ficha.php?id=1396" TargetMode="External"/><Relationship Id="rId252" Type="http://schemas.openxmlformats.org/officeDocument/2006/relationships/hyperlink" Target="https://www.jivi.com.ar/registro.php" TargetMode="External"/><Relationship Id="rId294" Type="http://schemas.openxmlformats.org/officeDocument/2006/relationships/hyperlink" Target="https://www.jivi.com.ar/ficha.php?id=1423" TargetMode="External"/><Relationship Id="rId308" Type="http://schemas.openxmlformats.org/officeDocument/2006/relationships/hyperlink" Target="https://www.jivi.com.ar/ficha.php?id=1334" TargetMode="External"/><Relationship Id="rId515" Type="http://schemas.openxmlformats.org/officeDocument/2006/relationships/hyperlink" Target="https://www.jivi.com.ar/ficha.php?id=1722" TargetMode="External"/><Relationship Id="rId47" Type="http://schemas.openxmlformats.org/officeDocument/2006/relationships/hyperlink" Target="https://www.jivi.com.ar/ficha.php?id=714" TargetMode="External"/><Relationship Id="rId89" Type="http://schemas.openxmlformats.org/officeDocument/2006/relationships/hyperlink" Target="https://www.jivi.com.ar/ficha.php?id=171" TargetMode="External"/><Relationship Id="rId112" Type="http://schemas.openxmlformats.org/officeDocument/2006/relationships/hyperlink" Target="https://www.jivi.com.ar/ficha.php?id=566" TargetMode="External"/><Relationship Id="rId154" Type="http://schemas.openxmlformats.org/officeDocument/2006/relationships/hyperlink" Target="https://www.jivi.com.ar/ficha.php?id=250" TargetMode="External"/><Relationship Id="rId361" Type="http://schemas.openxmlformats.org/officeDocument/2006/relationships/hyperlink" Target="https://www.jivi.com.ar/ficha.php?id=1665" TargetMode="External"/><Relationship Id="rId557" Type="http://schemas.openxmlformats.org/officeDocument/2006/relationships/hyperlink" Target="https://www.jivi.com.ar/ficha.php?id=1779" TargetMode="External"/><Relationship Id="rId196" Type="http://schemas.openxmlformats.org/officeDocument/2006/relationships/hyperlink" Target="https://www.jivi.com.ar/ficha.php?id=488" TargetMode="External"/><Relationship Id="rId417" Type="http://schemas.openxmlformats.org/officeDocument/2006/relationships/hyperlink" Target="https://www.jivi.com.ar/ficha.php?id=1581" TargetMode="External"/><Relationship Id="rId459" Type="http://schemas.openxmlformats.org/officeDocument/2006/relationships/hyperlink" Target="https://www.jivi.com.ar/ficha.php?id=1619" TargetMode="External"/><Relationship Id="rId16" Type="http://schemas.openxmlformats.org/officeDocument/2006/relationships/hyperlink" Target="https://www.jivi.com.ar/ficha.php?id=92" TargetMode="External"/><Relationship Id="rId221" Type="http://schemas.openxmlformats.org/officeDocument/2006/relationships/hyperlink" Target="https://www.jivi.com.ar/ficha.php?id=1055" TargetMode="External"/><Relationship Id="rId263" Type="http://schemas.openxmlformats.org/officeDocument/2006/relationships/hyperlink" Target="https://www.jivi.com.ar/ficha.php?id=1390" TargetMode="External"/><Relationship Id="rId319" Type="http://schemas.openxmlformats.org/officeDocument/2006/relationships/hyperlink" Target="https://www.jivi.com.ar/ficha.php?id=1463" TargetMode="External"/><Relationship Id="rId470" Type="http://schemas.openxmlformats.org/officeDocument/2006/relationships/hyperlink" Target="https://www.jivi.com.ar/ficha.php?id=1642" TargetMode="External"/><Relationship Id="rId526" Type="http://schemas.openxmlformats.org/officeDocument/2006/relationships/hyperlink" Target="https://www.jivi.com.ar/ficha.php?id=1734" TargetMode="External"/><Relationship Id="rId58" Type="http://schemas.openxmlformats.org/officeDocument/2006/relationships/hyperlink" Target="https://www.jivi.com.ar/ficha.php?id=122" TargetMode="External"/><Relationship Id="rId123" Type="http://schemas.openxmlformats.org/officeDocument/2006/relationships/hyperlink" Target="https://www.jivi.com.ar/ficha.php?id=51" TargetMode="External"/><Relationship Id="rId330" Type="http://schemas.openxmlformats.org/officeDocument/2006/relationships/hyperlink" Target="https://www.jivi.com.ar/ficha.php?id=996" TargetMode="External"/><Relationship Id="rId568" Type="http://schemas.openxmlformats.org/officeDocument/2006/relationships/hyperlink" Target="https://www.jivi.com.ar/ficha.php?id=1319" TargetMode="External"/><Relationship Id="rId165" Type="http://schemas.openxmlformats.org/officeDocument/2006/relationships/hyperlink" Target="https://www.jivi.com.ar/ficha.php?id=1061" TargetMode="External"/><Relationship Id="rId372" Type="http://schemas.openxmlformats.org/officeDocument/2006/relationships/hyperlink" Target="https://www.jivi.com.ar/ficha.php?id=1363" TargetMode="External"/><Relationship Id="rId428" Type="http://schemas.openxmlformats.org/officeDocument/2006/relationships/hyperlink" Target="https://www.jivi.com.ar/ficha.php?id=1592" TargetMode="External"/><Relationship Id="rId232" Type="http://schemas.openxmlformats.org/officeDocument/2006/relationships/hyperlink" Target="https://www.jivi.com.ar/ficha.php?id=378" TargetMode="External"/><Relationship Id="rId274" Type="http://schemas.openxmlformats.org/officeDocument/2006/relationships/hyperlink" Target="https://www.jivi.com.ar/ficha.php?id=1230" TargetMode="External"/><Relationship Id="rId481" Type="http://schemas.openxmlformats.org/officeDocument/2006/relationships/hyperlink" Target="https://www.jivi.com.ar/ficha.php?id=1657" TargetMode="External"/><Relationship Id="rId27" Type="http://schemas.openxmlformats.org/officeDocument/2006/relationships/hyperlink" Target="https://www.jivi.com.ar/ficha.php?id=105" TargetMode="External"/><Relationship Id="rId69" Type="http://schemas.openxmlformats.org/officeDocument/2006/relationships/hyperlink" Target="https://www.jivi.com.ar/ficha.php?id=548" TargetMode="External"/><Relationship Id="rId134" Type="http://schemas.openxmlformats.org/officeDocument/2006/relationships/hyperlink" Target="https://www.jivi.com.ar/ficha.php?id=862" TargetMode="External"/><Relationship Id="rId537" Type="http://schemas.openxmlformats.org/officeDocument/2006/relationships/hyperlink" Target="https://www.jivi.com.ar/ficha.php?id=1747" TargetMode="External"/><Relationship Id="rId80" Type="http://schemas.openxmlformats.org/officeDocument/2006/relationships/hyperlink" Target="https://www.jivi.com.ar/ficha.php?id=142" TargetMode="External"/><Relationship Id="rId176" Type="http://schemas.openxmlformats.org/officeDocument/2006/relationships/hyperlink" Target="https://www.jivi.com.ar/ficha.php?id=297" TargetMode="External"/><Relationship Id="rId341" Type="http://schemas.openxmlformats.org/officeDocument/2006/relationships/hyperlink" Target="https://www.jivi.com.ar/ficha.php?id=1494" TargetMode="External"/><Relationship Id="rId383" Type="http://schemas.openxmlformats.org/officeDocument/2006/relationships/hyperlink" Target="https://www.jivi.com.ar/ficha.php?id=1554" TargetMode="External"/><Relationship Id="rId439" Type="http://schemas.openxmlformats.org/officeDocument/2006/relationships/hyperlink" Target="https://www.jivi.com.ar/ficha.php?id=1606" TargetMode="External"/><Relationship Id="rId201" Type="http://schemas.openxmlformats.org/officeDocument/2006/relationships/hyperlink" Target="https://www.jivi.com.ar/ficha.php?id=1185" TargetMode="External"/><Relationship Id="rId243" Type="http://schemas.openxmlformats.org/officeDocument/2006/relationships/hyperlink" Target="https://www.jivi.com.ar/ficha.php?id=1344" TargetMode="External"/><Relationship Id="rId285" Type="http://schemas.openxmlformats.org/officeDocument/2006/relationships/hyperlink" Target="https://www.jivi.com.ar/ficha.php?id=1356" TargetMode="External"/><Relationship Id="rId450" Type="http://schemas.openxmlformats.org/officeDocument/2006/relationships/hyperlink" Target="https://www.jivi.com.ar/ficha.php?id=1612" TargetMode="External"/><Relationship Id="rId506" Type="http://schemas.openxmlformats.org/officeDocument/2006/relationships/hyperlink" Target="https://www.jivi.com.ar/ficha.php?id=1528" TargetMode="External"/><Relationship Id="rId38" Type="http://schemas.openxmlformats.org/officeDocument/2006/relationships/hyperlink" Target="https://www.jivi.com.ar/ficha.php?id=116" TargetMode="External"/><Relationship Id="rId103" Type="http://schemas.openxmlformats.org/officeDocument/2006/relationships/hyperlink" Target="https://www.jivi.com.ar/ficha.php?id=473" TargetMode="External"/><Relationship Id="rId310" Type="http://schemas.openxmlformats.org/officeDocument/2006/relationships/hyperlink" Target="https://www.jivi.com.ar/ficha.php?id=1446" TargetMode="External"/><Relationship Id="rId492" Type="http://schemas.openxmlformats.org/officeDocument/2006/relationships/hyperlink" Target="https://www.jivi.com.ar/ficha.php?id=1672" TargetMode="External"/><Relationship Id="rId548" Type="http://schemas.openxmlformats.org/officeDocument/2006/relationships/hyperlink" Target="https://www.jivi.com.ar/ficha.php?id=1310" TargetMode="External"/><Relationship Id="rId91" Type="http://schemas.openxmlformats.org/officeDocument/2006/relationships/hyperlink" Target="https://www.jivi.com.ar/ficha.php?id=169" TargetMode="External"/><Relationship Id="rId145" Type="http://schemas.openxmlformats.org/officeDocument/2006/relationships/hyperlink" Target="https://www.jivi.com.ar/ficha.php?id=948" TargetMode="External"/><Relationship Id="rId187" Type="http://schemas.openxmlformats.org/officeDocument/2006/relationships/hyperlink" Target="https://www.jivi.com.ar/ficha.php?id=1158" TargetMode="External"/><Relationship Id="rId352" Type="http://schemas.openxmlformats.org/officeDocument/2006/relationships/hyperlink" Target="https://www.jivi.com.ar/ficha.php?id=1506" TargetMode="External"/><Relationship Id="rId394" Type="http://schemas.openxmlformats.org/officeDocument/2006/relationships/hyperlink" Target="https://www.jivi.com.ar/ficha.php?id=1414" TargetMode="External"/><Relationship Id="rId408" Type="http://schemas.openxmlformats.org/officeDocument/2006/relationships/hyperlink" Target="https://www.jivi.com.ar/ficha.php?id=1573" TargetMode="External"/><Relationship Id="rId212" Type="http://schemas.openxmlformats.org/officeDocument/2006/relationships/hyperlink" Target="https://www.jivi.com.ar/ficha.php?id=904" TargetMode="External"/><Relationship Id="rId254" Type="http://schemas.openxmlformats.org/officeDocument/2006/relationships/hyperlink" Target="https://www.jivi.com.ar/ficha.php?id=1372" TargetMode="External"/><Relationship Id="rId49" Type="http://schemas.openxmlformats.org/officeDocument/2006/relationships/hyperlink" Target="https://www.jivi.com.ar/ficha.php?id=405" TargetMode="External"/><Relationship Id="rId114" Type="http://schemas.openxmlformats.org/officeDocument/2006/relationships/hyperlink" Target="https://www.jivi.com.ar/ficha.php?id=463" TargetMode="External"/><Relationship Id="rId296" Type="http://schemas.openxmlformats.org/officeDocument/2006/relationships/hyperlink" Target="https://www.jivi.com.ar/ficha.php?id=1426" TargetMode="External"/><Relationship Id="rId461" Type="http://schemas.openxmlformats.org/officeDocument/2006/relationships/hyperlink" Target="https://www.jivi.com.ar/ficha.php?id=1355" TargetMode="External"/><Relationship Id="rId517" Type="http://schemas.openxmlformats.org/officeDocument/2006/relationships/hyperlink" Target="https://www.jivi.com.ar/ficha.php?id=1725" TargetMode="External"/><Relationship Id="rId559" Type="http://schemas.openxmlformats.org/officeDocument/2006/relationships/hyperlink" Target="https://www.jivi.com.ar/ficha.php?id=1781" TargetMode="External"/><Relationship Id="rId60" Type="http://schemas.openxmlformats.org/officeDocument/2006/relationships/hyperlink" Target="https://www.jivi.com.ar/ficha.php?id=124" TargetMode="External"/><Relationship Id="rId156" Type="http://schemas.openxmlformats.org/officeDocument/2006/relationships/hyperlink" Target="https://www.jivi.com.ar/ficha.php?id=1017" TargetMode="External"/><Relationship Id="rId198" Type="http://schemas.openxmlformats.org/officeDocument/2006/relationships/hyperlink" Target="https://www.jivi.com.ar/ficha.php?id=915" TargetMode="External"/><Relationship Id="rId321" Type="http://schemas.openxmlformats.org/officeDocument/2006/relationships/hyperlink" Target="https://www.jivi.com.ar/ficha.php?id=1465" TargetMode="External"/><Relationship Id="rId363" Type="http://schemas.openxmlformats.org/officeDocument/2006/relationships/hyperlink" Target="https://www.jivi.com.ar/ficha.php?id=1527" TargetMode="External"/><Relationship Id="rId419" Type="http://schemas.openxmlformats.org/officeDocument/2006/relationships/hyperlink" Target="https://www.jivi.com.ar/ficha.php?id=1584" TargetMode="External"/><Relationship Id="rId570" Type="http://schemas.openxmlformats.org/officeDocument/2006/relationships/drawing" Target="../drawings/drawing1.xml"/><Relationship Id="rId223" Type="http://schemas.openxmlformats.org/officeDocument/2006/relationships/hyperlink" Target="https://www.jivi.com.ar/ficha.php?id=1253" TargetMode="External"/><Relationship Id="rId430" Type="http://schemas.openxmlformats.org/officeDocument/2006/relationships/hyperlink" Target="https://www.jivi.com.ar/ficha.php?id=1594" TargetMode="External"/><Relationship Id="rId18" Type="http://schemas.openxmlformats.org/officeDocument/2006/relationships/hyperlink" Target="https://www.jivi.com.ar/ficha.php?id=96" TargetMode="External"/><Relationship Id="rId265" Type="http://schemas.openxmlformats.org/officeDocument/2006/relationships/hyperlink" Target="https://www.jivi.com.ar/ficha.php?id=236" TargetMode="External"/><Relationship Id="rId472" Type="http://schemas.openxmlformats.org/officeDocument/2006/relationships/hyperlink" Target="https://www.jivi.com.ar/ficha.php?id=1641" TargetMode="External"/><Relationship Id="rId528" Type="http://schemas.openxmlformats.org/officeDocument/2006/relationships/hyperlink" Target="https://www.jivi.com.ar/ficha.php?id=1738" TargetMode="External"/><Relationship Id="rId125" Type="http://schemas.openxmlformats.org/officeDocument/2006/relationships/hyperlink" Target="https://www.jivi.com.ar/ficha.php?id=783" TargetMode="External"/><Relationship Id="rId167" Type="http://schemas.openxmlformats.org/officeDocument/2006/relationships/hyperlink" Target="https://www.jivi.com.ar/ficha.php?id=364" TargetMode="External"/><Relationship Id="rId332" Type="http://schemas.openxmlformats.org/officeDocument/2006/relationships/hyperlink" Target="https://www.jivi.com.ar/ficha.php?id=1478" TargetMode="External"/><Relationship Id="rId374" Type="http://schemas.openxmlformats.org/officeDocument/2006/relationships/hyperlink" Target="https://www.jivi.com.ar/ficha.php?id=1546" TargetMode="External"/><Relationship Id="rId71" Type="http://schemas.openxmlformats.org/officeDocument/2006/relationships/hyperlink" Target="https://www.jivi.com.ar/ficha.php?id=719" TargetMode="External"/><Relationship Id="rId234" Type="http://schemas.openxmlformats.org/officeDocument/2006/relationships/hyperlink" Target="https://www.jivi.com.ar/ficha.php?id=1302" TargetMode="External"/><Relationship Id="rId2" Type="http://schemas.openxmlformats.org/officeDocument/2006/relationships/hyperlink" Target="https://www.jivi.com.ar/ficha.php?id=660" TargetMode="External"/><Relationship Id="rId29" Type="http://schemas.openxmlformats.org/officeDocument/2006/relationships/hyperlink" Target="https://www.jivi.com.ar/ficha.php?id=107" TargetMode="External"/><Relationship Id="rId276" Type="http://schemas.openxmlformats.org/officeDocument/2006/relationships/hyperlink" Target="https://www.jivi.com.ar/ficha.php?id=1111" TargetMode="External"/><Relationship Id="rId441" Type="http://schemas.openxmlformats.org/officeDocument/2006/relationships/hyperlink" Target="https://www.jivi.com.ar/ficha.php?id=1270" TargetMode="External"/><Relationship Id="rId483" Type="http://schemas.openxmlformats.org/officeDocument/2006/relationships/hyperlink" Target="https://www.jivi.com.ar/ficha.php?id=1660" TargetMode="External"/><Relationship Id="rId539" Type="http://schemas.openxmlformats.org/officeDocument/2006/relationships/hyperlink" Target="https://www.jivi.com.ar/ficha.php?id=1749" TargetMode="External"/><Relationship Id="rId40" Type="http://schemas.openxmlformats.org/officeDocument/2006/relationships/hyperlink" Target="https://www.jivi.com.ar/ficha.php?id=399" TargetMode="External"/><Relationship Id="rId136" Type="http://schemas.openxmlformats.org/officeDocument/2006/relationships/hyperlink" Target="https://www.jivi.com.ar/ficha.php?id=882" TargetMode="External"/><Relationship Id="rId178" Type="http://schemas.openxmlformats.org/officeDocument/2006/relationships/hyperlink" Target="https://www.jivi.com.ar/ficha.php?id=1098" TargetMode="External"/><Relationship Id="rId301" Type="http://schemas.openxmlformats.org/officeDocument/2006/relationships/hyperlink" Target="https://www.jivi.com.ar/ficha.php?id=1437" TargetMode="External"/><Relationship Id="rId343" Type="http://schemas.openxmlformats.org/officeDocument/2006/relationships/hyperlink" Target="https://www.jivi.com.ar/ficha.php?id=1496" TargetMode="External"/><Relationship Id="rId550" Type="http://schemas.openxmlformats.org/officeDocument/2006/relationships/hyperlink" Target="https://www.jivi.com.ar/ficha.php?id=76" TargetMode="External"/><Relationship Id="rId82" Type="http://schemas.openxmlformats.org/officeDocument/2006/relationships/hyperlink" Target="https://www.jivi.com.ar/ficha.php?id=393" TargetMode="External"/><Relationship Id="rId203" Type="http://schemas.openxmlformats.org/officeDocument/2006/relationships/hyperlink" Target="https://www.jivi.com.ar/ficha.php?id=1190" TargetMode="External"/><Relationship Id="rId385" Type="http://schemas.openxmlformats.org/officeDocument/2006/relationships/hyperlink" Target="https://www.jivi.com.ar/ficha.php?id=1555" TargetMode="External"/><Relationship Id="rId245" Type="http://schemas.openxmlformats.org/officeDocument/2006/relationships/hyperlink" Target="https://www.jivi.com.ar/ficha.php?id=1346" TargetMode="External"/><Relationship Id="rId287" Type="http://schemas.openxmlformats.org/officeDocument/2006/relationships/hyperlink" Target="https://www.jivi.com.ar/ficha.php?id=1353" TargetMode="External"/><Relationship Id="rId410" Type="http://schemas.openxmlformats.org/officeDocument/2006/relationships/hyperlink" Target="https://www.jivi.com.ar/ficha.php?id=1271" TargetMode="External"/><Relationship Id="rId452" Type="http://schemas.openxmlformats.org/officeDocument/2006/relationships/hyperlink" Target="https://www.jivi.com.ar/ficha.php?id=1614" TargetMode="External"/><Relationship Id="rId494" Type="http://schemas.openxmlformats.org/officeDocument/2006/relationships/hyperlink" Target="https://www.jivi.com.ar/ficha.php?id=1691" TargetMode="External"/><Relationship Id="rId508" Type="http://schemas.openxmlformats.org/officeDocument/2006/relationships/hyperlink" Target="https://www.jivi.com.ar/ficha.php?id=977" TargetMode="External"/><Relationship Id="rId105" Type="http://schemas.openxmlformats.org/officeDocument/2006/relationships/hyperlink" Target="https://www.jivi.com.ar/ficha.php?id=252" TargetMode="External"/><Relationship Id="rId147" Type="http://schemas.openxmlformats.org/officeDocument/2006/relationships/hyperlink" Target="https://www.jivi.com.ar/ficha.php?id=955" TargetMode="External"/><Relationship Id="rId312" Type="http://schemas.openxmlformats.org/officeDocument/2006/relationships/hyperlink" Target="https://www.jivi.com.ar/ficha.php?id=1448" TargetMode="External"/><Relationship Id="rId354" Type="http://schemas.openxmlformats.org/officeDocument/2006/relationships/hyperlink" Target="https://www.jivi.com.ar/ficha.php?id=1508" TargetMode="External"/><Relationship Id="rId51" Type="http://schemas.openxmlformats.org/officeDocument/2006/relationships/hyperlink" Target="https://www.jivi.com.ar/ficha.php?id=407" TargetMode="External"/><Relationship Id="rId93" Type="http://schemas.openxmlformats.org/officeDocument/2006/relationships/hyperlink" Target="https://www.jivi.com.ar/ficha.php?id=158" TargetMode="External"/><Relationship Id="rId189" Type="http://schemas.openxmlformats.org/officeDocument/2006/relationships/hyperlink" Target="hhttps://www.jivi.com.ar/ficha.php?id=1155" TargetMode="External"/><Relationship Id="rId396" Type="http://schemas.openxmlformats.org/officeDocument/2006/relationships/hyperlink" Target="https://www.jivi.com.ar/ficha.php?id=1407" TargetMode="External"/><Relationship Id="rId561" Type="http://schemas.openxmlformats.org/officeDocument/2006/relationships/hyperlink" Target="https://www.jivi.com.ar/ficha.php?id=1293" TargetMode="External"/><Relationship Id="rId214" Type="http://schemas.openxmlformats.org/officeDocument/2006/relationships/hyperlink" Target="https://www.jivi.com.ar/ficha.php?id=1225" TargetMode="External"/><Relationship Id="rId256" Type="http://schemas.openxmlformats.org/officeDocument/2006/relationships/hyperlink" Target="https://www.jivi.com.ar/ficha.php?id=1382" TargetMode="External"/><Relationship Id="rId298" Type="http://schemas.openxmlformats.org/officeDocument/2006/relationships/hyperlink" Target="https://www.jivi.com.ar/ficha.php?id=1431" TargetMode="External"/><Relationship Id="rId421" Type="http://schemas.openxmlformats.org/officeDocument/2006/relationships/hyperlink" Target="https://www.jivi.com.ar/ficha.php?id=1587" TargetMode="External"/><Relationship Id="rId463" Type="http://schemas.openxmlformats.org/officeDocument/2006/relationships/hyperlink" Target="https://www.jivi.com.ar/ficha.php?id=1204" TargetMode="External"/><Relationship Id="rId519" Type="http://schemas.openxmlformats.org/officeDocument/2006/relationships/hyperlink" Target="https://www.jivi.com.ar/ficha.php?id=1728" TargetMode="External"/><Relationship Id="rId116" Type="http://schemas.openxmlformats.org/officeDocument/2006/relationships/hyperlink" Target="https://www.jivi.com.ar/ficha.php?id=534" TargetMode="External"/><Relationship Id="rId158" Type="http://schemas.openxmlformats.org/officeDocument/2006/relationships/hyperlink" Target="https://www.jivi.com.ar/ficha.php?id=1024" TargetMode="External"/><Relationship Id="rId323" Type="http://schemas.openxmlformats.org/officeDocument/2006/relationships/hyperlink" Target="https://www.jivi.com.ar/ficha.php?id=1467" TargetMode="External"/><Relationship Id="rId530" Type="http://schemas.openxmlformats.org/officeDocument/2006/relationships/hyperlink" Target="https://www.jivi.com.ar/ficha.php?id=1740" TargetMode="External"/><Relationship Id="rId20" Type="http://schemas.openxmlformats.org/officeDocument/2006/relationships/hyperlink" Target="https://www.jivi.com.ar/ficha.php?id=98" TargetMode="External"/><Relationship Id="rId62" Type="http://schemas.openxmlformats.org/officeDocument/2006/relationships/hyperlink" Target="https://www.jivi.com.ar/ficha.php?id=187" TargetMode="External"/><Relationship Id="rId365" Type="http://schemas.openxmlformats.org/officeDocument/2006/relationships/hyperlink" Target="https://www.jivi.com.ar/ficha.php?id=1534" TargetMode="External"/><Relationship Id="rId572" Type="http://schemas.openxmlformats.org/officeDocument/2006/relationships/comments" Target="../comments1.xml"/><Relationship Id="rId225" Type="http://schemas.openxmlformats.org/officeDocument/2006/relationships/hyperlink" Target="https://www.jivi.com.ar/ficha.php?id=1261" TargetMode="External"/><Relationship Id="rId267" Type="http://schemas.openxmlformats.org/officeDocument/2006/relationships/hyperlink" Target="https://www.jivi.com.ar/ficha.php?id=1394" TargetMode="External"/><Relationship Id="rId432" Type="http://schemas.openxmlformats.org/officeDocument/2006/relationships/hyperlink" Target="https://www.jivi.com.ar/ficha.php?id=1596" TargetMode="External"/><Relationship Id="rId474" Type="http://schemas.openxmlformats.org/officeDocument/2006/relationships/hyperlink" Target="https://www.jivi.com.ar/ficha.php?id=1638" TargetMode="External"/><Relationship Id="rId127" Type="http://schemas.openxmlformats.org/officeDocument/2006/relationships/hyperlink" Target="https://www.jivi.com.ar/ficha.php?id=707" TargetMode="External"/><Relationship Id="rId31" Type="http://schemas.openxmlformats.org/officeDocument/2006/relationships/hyperlink" Target="https://www.jivi.com.ar/ficha.php?id=109" TargetMode="External"/><Relationship Id="rId73" Type="http://schemas.openxmlformats.org/officeDocument/2006/relationships/hyperlink" Target="https://www.jivi.com.ar/ficha.php?id=134" TargetMode="External"/><Relationship Id="rId169" Type="http://schemas.openxmlformats.org/officeDocument/2006/relationships/hyperlink" Target="https://www.jivi.com.ar/ficha.php?id=1079" TargetMode="External"/><Relationship Id="rId334" Type="http://schemas.openxmlformats.org/officeDocument/2006/relationships/hyperlink" Target="https://www.jivi.com.ar/ficha.php?id=1480" TargetMode="External"/><Relationship Id="rId376" Type="http://schemas.openxmlformats.org/officeDocument/2006/relationships/hyperlink" Target="https://www.jivi.com.ar/ficha.php?id=981" TargetMode="External"/><Relationship Id="rId541" Type="http://schemas.openxmlformats.org/officeDocument/2006/relationships/hyperlink" Target="https://www.jivi.com.ar/ficha.php?id=1787" TargetMode="External"/><Relationship Id="rId4" Type="http://schemas.openxmlformats.org/officeDocument/2006/relationships/hyperlink" Target="https://www.jivi.com.ar/ficha.php?id=725" TargetMode="External"/><Relationship Id="rId180" Type="http://schemas.openxmlformats.org/officeDocument/2006/relationships/hyperlink" Target="https://www.jivi.com.ar/ficha.php?id=1104" TargetMode="External"/><Relationship Id="rId236" Type="http://schemas.openxmlformats.org/officeDocument/2006/relationships/hyperlink" Target="https://www.jivi.com.ar/ficha.php?id=1305" TargetMode="External"/><Relationship Id="rId278" Type="http://schemas.openxmlformats.org/officeDocument/2006/relationships/hyperlink" Target="https://www.jivi.com.ar/ficha.php?id=376" TargetMode="External"/><Relationship Id="rId401" Type="http://schemas.openxmlformats.org/officeDocument/2006/relationships/hyperlink" Target="https://www.jivi.com.ar/ficha.php?id=1567" TargetMode="External"/><Relationship Id="rId443" Type="http://schemas.openxmlformats.org/officeDocument/2006/relationships/hyperlink" Target="https://www.jivi.com.ar/ficha.php?id=1459" TargetMode="External"/><Relationship Id="rId303" Type="http://schemas.openxmlformats.org/officeDocument/2006/relationships/hyperlink" Target="https://www.jivi.com.ar/ficha.php?id=1439" TargetMode="External"/><Relationship Id="rId485" Type="http://schemas.openxmlformats.org/officeDocument/2006/relationships/hyperlink" Target="https://www.jivi.com.ar/ficha.php?id=440" TargetMode="External"/><Relationship Id="rId42" Type="http://schemas.openxmlformats.org/officeDocument/2006/relationships/hyperlink" Target="https://www.jivi.com.ar/ficha.php?id=401" TargetMode="External"/><Relationship Id="rId84" Type="http://schemas.openxmlformats.org/officeDocument/2006/relationships/hyperlink" Target="https://www.jivi.com.ar/ficha.php?id=136" TargetMode="External"/><Relationship Id="rId138" Type="http://schemas.openxmlformats.org/officeDocument/2006/relationships/hyperlink" Target="https://www.jivi.com.ar/ficha.php?id=903" TargetMode="External"/><Relationship Id="rId345" Type="http://schemas.openxmlformats.org/officeDocument/2006/relationships/hyperlink" Target="httphttps://www.jivi.com.ar/ficha.php?id=1498" TargetMode="External"/><Relationship Id="rId387" Type="http://schemas.openxmlformats.org/officeDocument/2006/relationships/hyperlink" Target="https://www.jivi.com.ar/ficha.php?id=1558" TargetMode="External"/><Relationship Id="rId510" Type="http://schemas.openxmlformats.org/officeDocument/2006/relationships/hyperlink" Target="https://www.jivi.com.ar/ficha.php?id=1456" TargetMode="External"/><Relationship Id="rId552" Type="http://schemas.openxmlformats.org/officeDocument/2006/relationships/hyperlink" Target="https://www.jivi.com.ar/ficha.php?id=1778" TargetMode="External"/><Relationship Id="rId191" Type="http://schemas.openxmlformats.org/officeDocument/2006/relationships/hyperlink" Target="https://www.jivi.com.ar/ficha.php?id=1153" TargetMode="External"/><Relationship Id="rId205" Type="http://schemas.openxmlformats.org/officeDocument/2006/relationships/hyperlink" Target="https://www.jivi.com.ar/ficha.php?id=1181" TargetMode="External"/><Relationship Id="rId247" Type="http://schemas.openxmlformats.org/officeDocument/2006/relationships/hyperlink" Target="https://www.jivi.com.ar/ficha.php?id=1348" TargetMode="External"/><Relationship Id="rId412" Type="http://schemas.openxmlformats.org/officeDocument/2006/relationships/hyperlink" Target="https://www.jivi.com.ar/ficha.php?id=1139" TargetMode="External"/><Relationship Id="rId107" Type="http://schemas.openxmlformats.org/officeDocument/2006/relationships/hyperlink" Target="https://www.jivi.com.ar/ficha.php?id=220" TargetMode="External"/><Relationship Id="rId289" Type="http://schemas.openxmlformats.org/officeDocument/2006/relationships/hyperlink" Target="https://www.jivi.com.ar/ficha.php?id=1418" TargetMode="External"/><Relationship Id="rId454" Type="http://schemas.openxmlformats.org/officeDocument/2006/relationships/hyperlink" Target="https://www.jivi.com.ar/ficha.php?id=608" TargetMode="External"/><Relationship Id="rId496" Type="http://schemas.openxmlformats.org/officeDocument/2006/relationships/hyperlink" Target="https://www.jivi.com.ar/ficha.php?id=1438" TargetMode="External"/><Relationship Id="rId11" Type="http://schemas.openxmlformats.org/officeDocument/2006/relationships/hyperlink" Target="https://www.jivi.com.ar/ficha.php?id=42" TargetMode="External"/><Relationship Id="rId53" Type="http://schemas.openxmlformats.org/officeDocument/2006/relationships/hyperlink" Target="https://www.jivi.com.ar/ficha.php?id=409" TargetMode="External"/><Relationship Id="rId149" Type="http://schemas.openxmlformats.org/officeDocument/2006/relationships/hyperlink" Target="https://www.jivi.com.ar/ficha.php?id=957" TargetMode="External"/><Relationship Id="rId314" Type="http://schemas.openxmlformats.org/officeDocument/2006/relationships/hyperlink" Target="https://www.jivi.com.ar/ficha.php?id=1560" TargetMode="External"/><Relationship Id="rId356" Type="http://schemas.openxmlformats.org/officeDocument/2006/relationships/hyperlink" Target="https://www.jivi.com.ar/ficha.php?id=1511" TargetMode="External"/><Relationship Id="rId398" Type="http://schemas.openxmlformats.org/officeDocument/2006/relationships/hyperlink" Target="https://www.jivi.com.ar/ficha.php?id=1408" TargetMode="External"/><Relationship Id="rId521" Type="http://schemas.openxmlformats.org/officeDocument/2006/relationships/hyperlink" Target="https://www.jivi.com.ar/ficha.php?id=1730" TargetMode="External"/><Relationship Id="rId563" Type="http://schemas.openxmlformats.org/officeDocument/2006/relationships/hyperlink" Target="https://www.jivi.com.ar/ficha.php?id=1265" TargetMode="External"/><Relationship Id="rId95" Type="http://schemas.openxmlformats.org/officeDocument/2006/relationships/hyperlink" Target="https://www.jivi.com.ar/ficha.php?id=622" TargetMode="External"/><Relationship Id="rId160" Type="http://schemas.openxmlformats.org/officeDocument/2006/relationships/hyperlink" Target="https://www.jivi.com.ar/ficha.php?id=647" TargetMode="External"/><Relationship Id="rId216" Type="http://schemas.openxmlformats.org/officeDocument/2006/relationships/hyperlink" Target="https://www.jivi.com.ar/ficha.php?id=919" TargetMode="External"/><Relationship Id="rId423" Type="http://schemas.openxmlformats.org/officeDocument/2006/relationships/hyperlink" Target="https://www.jivi.com.ar/ficha.php?id=1588" TargetMode="External"/><Relationship Id="rId258" Type="http://schemas.openxmlformats.org/officeDocument/2006/relationships/hyperlink" Target="https://www.jivi.com.ar/ficha.php?id=1384" TargetMode="External"/><Relationship Id="rId465" Type="http://schemas.openxmlformats.org/officeDocument/2006/relationships/hyperlink" Target="https://www.jivi.com.ar/ficha.php?id=1634" TargetMode="External"/><Relationship Id="rId22" Type="http://schemas.openxmlformats.org/officeDocument/2006/relationships/hyperlink" Target="https://www.jivi.com.ar/ficha.php?id=100" TargetMode="External"/><Relationship Id="rId64" Type="http://schemas.openxmlformats.org/officeDocument/2006/relationships/hyperlink" Target="https://www.jivi.com.ar/ficha.php?id=55" TargetMode="External"/><Relationship Id="rId118" Type="http://schemas.openxmlformats.org/officeDocument/2006/relationships/hyperlink" Target="https://www.jivi.com.ar/ficha.php?id=215" TargetMode="External"/><Relationship Id="rId325" Type="http://schemas.openxmlformats.org/officeDocument/2006/relationships/hyperlink" Target="https://www.jivi.com.ar/ficha.php?id=1470" TargetMode="External"/><Relationship Id="rId367" Type="http://schemas.openxmlformats.org/officeDocument/2006/relationships/hyperlink" Target="https://www.jivi.com.ar/ficha.php?id=1536" TargetMode="External"/><Relationship Id="rId532" Type="http://schemas.openxmlformats.org/officeDocument/2006/relationships/hyperlink" Target="https://www.jivi.com.ar/ficha.php?id=1575" TargetMode="External"/><Relationship Id="rId171" Type="http://schemas.openxmlformats.org/officeDocument/2006/relationships/hyperlink" Target="https://www.jivi.com.ar/ficha.php?id=1089" TargetMode="External"/><Relationship Id="rId227" Type="http://schemas.openxmlformats.org/officeDocument/2006/relationships/hyperlink" Target="https://www.jivi.com.ar/ficha.php?id=1268" TargetMode="External"/><Relationship Id="rId269" Type="http://schemas.openxmlformats.org/officeDocument/2006/relationships/hyperlink" Target="https://www.jivi.com.ar/ficha.php?id=1399" TargetMode="External"/><Relationship Id="rId434" Type="http://schemas.openxmlformats.org/officeDocument/2006/relationships/hyperlink" Target="https://www.jivi.com.ar/ficha.php?id=1599" TargetMode="External"/><Relationship Id="rId476" Type="http://schemas.openxmlformats.org/officeDocument/2006/relationships/hyperlink" Target="https://www.jivi.com.ar/ficha.php?id=1637" TargetMode="External"/><Relationship Id="rId33" Type="http://schemas.openxmlformats.org/officeDocument/2006/relationships/hyperlink" Target="https://www.jivi.com.ar/ficha.php?id=111" TargetMode="External"/><Relationship Id="rId129" Type="http://schemas.openxmlformats.org/officeDocument/2006/relationships/hyperlink" Target="https://www.jivi.com.ar/ficha.php?id=709" TargetMode="External"/><Relationship Id="rId280" Type="http://schemas.openxmlformats.org/officeDocument/2006/relationships/hyperlink" Target="https://www.jivi.com.ar/ficha.php?id=1393" TargetMode="External"/><Relationship Id="rId336" Type="http://schemas.openxmlformats.org/officeDocument/2006/relationships/hyperlink" Target="https://www.jivi.com.ar/ficha.php?id=1483" TargetMode="External"/><Relationship Id="rId501" Type="http://schemas.openxmlformats.org/officeDocument/2006/relationships/hyperlink" Target="https://www.jivi.com.ar/ficha.php?id=1699" TargetMode="External"/><Relationship Id="rId543" Type="http://schemas.openxmlformats.org/officeDocument/2006/relationships/hyperlink" Target="https://www.jivi.com.ar/ficha.php?id=1751" TargetMode="External"/><Relationship Id="rId75" Type="http://schemas.openxmlformats.org/officeDocument/2006/relationships/hyperlink" Target="https://www.jivi.com.ar/ficha.php?id=11" TargetMode="External"/><Relationship Id="rId140" Type="http://schemas.openxmlformats.org/officeDocument/2006/relationships/hyperlink" Target="https://www.jivi.com.ar/ficha.php?id=916" TargetMode="External"/><Relationship Id="rId182" Type="http://schemas.openxmlformats.org/officeDocument/2006/relationships/hyperlink" Target="https://www.jivi.com.ar/ficha.php?id=1116" TargetMode="External"/><Relationship Id="rId378" Type="http://schemas.openxmlformats.org/officeDocument/2006/relationships/hyperlink" Target="https://www.jivi.com.ar/ficha.php?id=1549" TargetMode="External"/><Relationship Id="rId403" Type="http://schemas.openxmlformats.org/officeDocument/2006/relationships/hyperlink" Target="https://www.jivi.com.ar/ficha.php?id=1569" TargetMode="External"/><Relationship Id="rId6" Type="http://schemas.openxmlformats.org/officeDocument/2006/relationships/hyperlink" Target="https://www.jivi.com.ar/ficha.php?id=726" TargetMode="External"/><Relationship Id="rId238" Type="http://schemas.openxmlformats.org/officeDocument/2006/relationships/hyperlink" Target="https://www.jivi.com.ar/ficha.php?id=1287" TargetMode="External"/><Relationship Id="rId445" Type="http://schemas.openxmlformats.org/officeDocument/2006/relationships/hyperlink" Target="https://www.jivi.com.ar/ficha.php?id=1609" TargetMode="External"/><Relationship Id="rId487" Type="http://schemas.openxmlformats.org/officeDocument/2006/relationships/hyperlink" Target="https://www.jivi.com.ar/ficha.php?id=1666" TargetMode="External"/><Relationship Id="rId291" Type="http://schemas.openxmlformats.org/officeDocument/2006/relationships/hyperlink" Target="https://www.jivi.com.ar/ficha.php?id=1420" TargetMode="External"/><Relationship Id="rId305" Type="http://schemas.openxmlformats.org/officeDocument/2006/relationships/hyperlink" Target="https://www.jivi.com.ar/ficha.php?id=1427" TargetMode="External"/><Relationship Id="rId347" Type="http://schemas.openxmlformats.org/officeDocument/2006/relationships/hyperlink" Target="https://www.jivi.com.ar/ficha.php?id=1500" TargetMode="External"/><Relationship Id="rId512" Type="http://schemas.openxmlformats.org/officeDocument/2006/relationships/hyperlink" Target="https://www.jivi.com.ar/ficha.php?id=1708" TargetMode="External"/><Relationship Id="rId44" Type="http://schemas.openxmlformats.org/officeDocument/2006/relationships/hyperlink" Target="https://www.jivi.com.ar/ficha.php?id=403" TargetMode="External"/><Relationship Id="rId86" Type="http://schemas.openxmlformats.org/officeDocument/2006/relationships/hyperlink" Target="https://www.jivi.com.ar/ficha.php?id=138" TargetMode="External"/><Relationship Id="rId151" Type="http://schemas.openxmlformats.org/officeDocument/2006/relationships/hyperlink" Target="https://www.jivi.com.ar/ficha.php?id=973" TargetMode="External"/><Relationship Id="rId389" Type="http://schemas.openxmlformats.org/officeDocument/2006/relationships/hyperlink" Target="https://www.jivi.com.ar/ficha.php?id=1561" TargetMode="External"/><Relationship Id="rId554" Type="http://schemas.openxmlformats.org/officeDocument/2006/relationships/hyperlink" Target="https://www.jivi.com.ar/ficha.php?id=1710" TargetMode="External"/><Relationship Id="rId193" Type="http://schemas.openxmlformats.org/officeDocument/2006/relationships/hyperlink" Target="https://www.jivi.com.ar/ficha.php?id=1168" TargetMode="External"/><Relationship Id="rId207" Type="http://schemas.openxmlformats.org/officeDocument/2006/relationships/hyperlink" Target="https://www.jivi.com.ar/ficha.php?id=1218" TargetMode="External"/><Relationship Id="rId249" Type="http://schemas.openxmlformats.org/officeDocument/2006/relationships/hyperlink" Target="https://www.jivi.com.ar/ficha.php?id=1360" TargetMode="External"/><Relationship Id="rId414" Type="http://schemas.openxmlformats.org/officeDocument/2006/relationships/hyperlink" Target="https://www.jivi.com.ar/ficha.php?id=1574" TargetMode="External"/><Relationship Id="rId456" Type="http://schemas.openxmlformats.org/officeDocument/2006/relationships/hyperlink" Target="https://www.jivi.com.ar/ficha.php?id=1616" TargetMode="External"/><Relationship Id="rId498" Type="http://schemas.openxmlformats.org/officeDocument/2006/relationships/hyperlink" Target="https://www.jivi.com.ar/ficha.php?id=36" TargetMode="External"/><Relationship Id="rId13" Type="http://schemas.openxmlformats.org/officeDocument/2006/relationships/hyperlink" Target="https://www.jivi.com.ar/ficha.php?id=650" TargetMode="External"/><Relationship Id="rId109" Type="http://schemas.openxmlformats.org/officeDocument/2006/relationships/hyperlink" Target="https://www.jivi.com.ar/ficha.php?id=398" TargetMode="External"/><Relationship Id="rId260" Type="http://schemas.openxmlformats.org/officeDocument/2006/relationships/hyperlink" Target="https://www.jivi.com.ar/ficha.php?id=1385" TargetMode="External"/><Relationship Id="rId316" Type="http://schemas.openxmlformats.org/officeDocument/2006/relationships/hyperlink" Target="https://www.jivi.com.ar/ficha.php?id=1063" TargetMode="External"/><Relationship Id="rId523" Type="http://schemas.openxmlformats.org/officeDocument/2006/relationships/hyperlink" Target="https://www.jivi.com.ar/ficha.php?id=1732" TargetMode="External"/><Relationship Id="rId55" Type="http://schemas.openxmlformats.org/officeDocument/2006/relationships/hyperlink" Target="https://www.jivi.com.ar/ficha.php?id=119" TargetMode="External"/><Relationship Id="rId97" Type="http://schemas.openxmlformats.org/officeDocument/2006/relationships/hyperlink" Target="https://www.jivi.com.ar/ficha.php?id=246" TargetMode="External"/><Relationship Id="rId120" Type="http://schemas.openxmlformats.org/officeDocument/2006/relationships/hyperlink" Target="https://www.jivi.com.ar/ficha.php?id=354" TargetMode="External"/><Relationship Id="rId358" Type="http://schemas.openxmlformats.org/officeDocument/2006/relationships/hyperlink" Target="https://www.jivi.com.ar/ficha.php?id=1516" TargetMode="External"/><Relationship Id="rId565" Type="http://schemas.openxmlformats.org/officeDocument/2006/relationships/hyperlink" Target="https://www.jivi.com.ar/ficha.php?id=1308" TargetMode="External"/><Relationship Id="rId162" Type="http://schemas.openxmlformats.org/officeDocument/2006/relationships/hyperlink" Target="https://www.jivi.com.ar/ficha.php?id=1052" TargetMode="External"/><Relationship Id="rId218" Type="http://schemas.openxmlformats.org/officeDocument/2006/relationships/hyperlink" Target="https://www.jivi.com.ar/ficha.php?id=1232" TargetMode="External"/><Relationship Id="rId425" Type="http://schemas.openxmlformats.org/officeDocument/2006/relationships/hyperlink" Target="https://www.jivi.com.ar/ficha.php?id=1589" TargetMode="External"/><Relationship Id="rId467" Type="http://schemas.openxmlformats.org/officeDocument/2006/relationships/hyperlink" Target="https://www.jivi.com.ar/ficha.php?id=265" TargetMode="External"/><Relationship Id="rId271" Type="http://schemas.openxmlformats.org/officeDocument/2006/relationships/hyperlink" Target="https://www.jivi.com.ar/ficha.php?id=1400" TargetMode="External"/><Relationship Id="rId24" Type="http://schemas.openxmlformats.org/officeDocument/2006/relationships/hyperlink" Target="https://www.jivi.com.ar/ficha.php?id=102" TargetMode="External"/><Relationship Id="rId66" Type="http://schemas.openxmlformats.org/officeDocument/2006/relationships/hyperlink" Target="https://www.jivi.com.ar/ficha.php?id=284" TargetMode="External"/><Relationship Id="rId131" Type="http://schemas.openxmlformats.org/officeDocument/2006/relationships/hyperlink" Target="https://www.jivi.com.ar/ficha.php?id=846" TargetMode="External"/><Relationship Id="rId327" Type="http://schemas.openxmlformats.org/officeDocument/2006/relationships/hyperlink" Target="https://www.jivi.com.ar/ficha.php?id=1472" TargetMode="External"/><Relationship Id="rId369" Type="http://schemas.openxmlformats.org/officeDocument/2006/relationships/hyperlink" Target="https://www.jivi.com.ar/ficha.php?id=1540" TargetMode="External"/><Relationship Id="rId534" Type="http://schemas.openxmlformats.org/officeDocument/2006/relationships/hyperlink" Target="https://www.jivi.com.ar/ficha.php?id=1744" TargetMode="External"/><Relationship Id="rId173" Type="http://schemas.openxmlformats.org/officeDocument/2006/relationships/hyperlink" Target="https://www.jivi.com.ar/ficha.php?id=1091" TargetMode="External"/><Relationship Id="rId229" Type="http://schemas.openxmlformats.org/officeDocument/2006/relationships/hyperlink" Target="https://www.jivi.com.ar/ficha.php?id=1278" TargetMode="External"/><Relationship Id="rId380" Type="http://schemas.openxmlformats.org/officeDocument/2006/relationships/hyperlink" Target="https://www.jivi.com.ar/ficha.php?id=1552" TargetMode="External"/><Relationship Id="rId436" Type="http://schemas.openxmlformats.org/officeDocument/2006/relationships/hyperlink" Target="https://www.jivi.com.ar/ficha.php?id=1603" TargetMode="External"/><Relationship Id="rId240" Type="http://schemas.openxmlformats.org/officeDocument/2006/relationships/hyperlink" Target="https://www.jivi.com.ar/ficha.php?id=1316" TargetMode="External"/><Relationship Id="rId478" Type="http://schemas.openxmlformats.org/officeDocument/2006/relationships/hyperlink" Target="https://www.jivi.com.ar/ficha.php?id=1655" TargetMode="External"/><Relationship Id="rId35" Type="http://schemas.openxmlformats.org/officeDocument/2006/relationships/hyperlink" Target="https://www.jivi.com.ar/ficha.php?id=112" TargetMode="External"/><Relationship Id="rId77" Type="http://schemas.openxmlformats.org/officeDocument/2006/relationships/hyperlink" Target="https://www.jivi.com.ar/ficha.php?id=145" TargetMode="External"/><Relationship Id="rId100" Type="http://schemas.openxmlformats.org/officeDocument/2006/relationships/hyperlink" Target="https://www.jivi.com.ar/ficha.php?id=48" TargetMode="External"/><Relationship Id="rId282" Type="http://schemas.openxmlformats.org/officeDocument/2006/relationships/hyperlink" Target="https://www.jivi.com.ar/ficha.php?id=1413" TargetMode="External"/><Relationship Id="rId338" Type="http://schemas.openxmlformats.org/officeDocument/2006/relationships/hyperlink" Target="https://www.jivi.com.ar/ficha.php?id=1488" TargetMode="External"/><Relationship Id="rId503" Type="http://schemas.openxmlformats.org/officeDocument/2006/relationships/hyperlink" Target="https://www.jivi.com.ar/ficha.php?id=1510" TargetMode="External"/><Relationship Id="rId545" Type="http://schemas.openxmlformats.org/officeDocument/2006/relationships/hyperlink" Target="https://www.jivi.com.ar/ficha.php?id=1775" TargetMode="External"/><Relationship Id="rId8" Type="http://schemas.openxmlformats.org/officeDocument/2006/relationships/hyperlink" Target="https://www.jivi.com.ar/ficha.php?id=717" TargetMode="External"/><Relationship Id="rId142" Type="http://schemas.openxmlformats.org/officeDocument/2006/relationships/hyperlink" Target="https://www.jivi.com.ar/ficha.php?id=926" TargetMode="External"/><Relationship Id="rId184" Type="http://schemas.openxmlformats.org/officeDocument/2006/relationships/hyperlink" Target="https://www.jivi.com.ar/ficha.php?id=1120" TargetMode="External"/><Relationship Id="rId391" Type="http://schemas.openxmlformats.org/officeDocument/2006/relationships/hyperlink" Target="https://www.jivi.com.ar/ficha.php?id=1066" TargetMode="External"/><Relationship Id="rId405" Type="http://schemas.openxmlformats.org/officeDocument/2006/relationships/hyperlink" Target="https://www.jivi.com.ar/ficha.php?id=1571" TargetMode="External"/><Relationship Id="rId447" Type="http://schemas.openxmlformats.org/officeDocument/2006/relationships/hyperlink" Target="https://www.jivi.com.ar/ficha.php?id=1610" TargetMode="External"/><Relationship Id="rId251" Type="http://schemas.openxmlformats.org/officeDocument/2006/relationships/hyperlink" Target="https://www.jivi.com.ar/ficha.php?id=1366" TargetMode="External"/><Relationship Id="rId489" Type="http://schemas.openxmlformats.org/officeDocument/2006/relationships/hyperlink" Target="https://www.jivi.com.ar/ficha.php?id=1684" TargetMode="External"/><Relationship Id="rId46" Type="http://schemas.openxmlformats.org/officeDocument/2006/relationships/hyperlink" Target="https://www.jivi.com.ar/ficha.php?id=713" TargetMode="External"/><Relationship Id="rId293" Type="http://schemas.openxmlformats.org/officeDocument/2006/relationships/hyperlink" Target="https://www.jivi.com.ar/ficha.php?id=1422" TargetMode="External"/><Relationship Id="rId307" Type="http://schemas.openxmlformats.org/officeDocument/2006/relationships/hyperlink" Target="https://www.jivi.com.ar/ficha.php?id=1056" TargetMode="External"/><Relationship Id="rId349" Type="http://schemas.openxmlformats.org/officeDocument/2006/relationships/hyperlink" Target="https://www.jivi.com.ar/ficha.php?id=1503" TargetMode="External"/><Relationship Id="rId514" Type="http://schemas.openxmlformats.org/officeDocument/2006/relationships/hyperlink" Target="https://www.jivi.com.ar/ficha.php?id=1721" TargetMode="External"/><Relationship Id="rId556" Type="http://schemas.openxmlformats.org/officeDocument/2006/relationships/hyperlink" Target="https://www.jivi.com.ar/ficha.php?id=1737" TargetMode="External"/><Relationship Id="rId88" Type="http://schemas.openxmlformats.org/officeDocument/2006/relationships/hyperlink" Target="https://www.jivi.com.ar/ficha.php?id=166" TargetMode="External"/><Relationship Id="rId111" Type="http://schemas.openxmlformats.org/officeDocument/2006/relationships/hyperlink" Target="https://www.jivi.com.ar/ficha.php?id=568" TargetMode="External"/><Relationship Id="rId153" Type="http://schemas.openxmlformats.org/officeDocument/2006/relationships/hyperlink" Target="https://www.jivi.com.ar/ficha.php?id=1006" TargetMode="External"/><Relationship Id="rId195" Type="http://schemas.openxmlformats.org/officeDocument/2006/relationships/hyperlink" Target="https://www.jivi.com.ar/ficha.php?id=975" TargetMode="External"/><Relationship Id="rId209" Type="http://schemas.openxmlformats.org/officeDocument/2006/relationships/hyperlink" Target="https://www.jivi.com.ar/ficha.php?id=1220" TargetMode="External"/><Relationship Id="rId360" Type="http://schemas.openxmlformats.org/officeDocument/2006/relationships/hyperlink" Target="https://www.jivi.com.ar/ficha.php?id=1523" TargetMode="External"/><Relationship Id="rId416" Type="http://schemas.openxmlformats.org/officeDocument/2006/relationships/hyperlink" Target="https://www.jivi.com.ar/ficha.php?id=1580" TargetMode="External"/><Relationship Id="rId220" Type="http://schemas.openxmlformats.org/officeDocument/2006/relationships/hyperlink" Target="https://www.jivi.com.ar/ficha.php?id=920" TargetMode="External"/><Relationship Id="rId458" Type="http://schemas.openxmlformats.org/officeDocument/2006/relationships/hyperlink" Target="https://www.jivi.com.ar/ficha.php?id=1618" TargetMode="External"/><Relationship Id="rId15" Type="http://schemas.openxmlformats.org/officeDocument/2006/relationships/hyperlink" Target="https://www.jivi.com.ar/ficha.php?id=77" TargetMode="External"/><Relationship Id="rId57" Type="http://schemas.openxmlformats.org/officeDocument/2006/relationships/hyperlink" Target="https://www.jivi.com.ar/ficha.php?id=121" TargetMode="External"/><Relationship Id="rId262" Type="http://schemas.openxmlformats.org/officeDocument/2006/relationships/hyperlink" Target="https://www.jivi.com.ar/ficha.php?id=1389" TargetMode="External"/><Relationship Id="rId318" Type="http://schemas.openxmlformats.org/officeDocument/2006/relationships/hyperlink" Target="https://www.jivi.com.ar/ficha.php?id=969" TargetMode="External"/><Relationship Id="rId525" Type="http://schemas.openxmlformats.org/officeDocument/2006/relationships/hyperlink" Target="https://www.jivi.com.ar/ficha.php?id=465" TargetMode="External"/><Relationship Id="rId567" Type="http://schemas.openxmlformats.org/officeDocument/2006/relationships/hyperlink" Target="https://www.jivi.com.ar/ficha.php?id=1790" TargetMode="External"/><Relationship Id="rId99" Type="http://schemas.openxmlformats.org/officeDocument/2006/relationships/hyperlink" Target="https://www.jivi.com.ar/ficha.php?id=728" TargetMode="External"/><Relationship Id="rId122" Type="http://schemas.openxmlformats.org/officeDocument/2006/relationships/hyperlink" Target="https://www.jivi.com.ar/ficha.php?id=234" TargetMode="External"/><Relationship Id="rId164" Type="http://schemas.openxmlformats.org/officeDocument/2006/relationships/hyperlink" Target="https://www.jivi.com.ar/ficha.php?id=1059" TargetMode="External"/><Relationship Id="rId371" Type="http://schemas.openxmlformats.org/officeDocument/2006/relationships/hyperlink" Target="https://www.jivi.com.ar/ficha.php?id=1542" TargetMode="External"/><Relationship Id="rId427" Type="http://schemas.openxmlformats.org/officeDocument/2006/relationships/hyperlink" Target="https://www.jivi.com.ar/ficha.php?id=1591" TargetMode="External"/><Relationship Id="rId469" Type="http://schemas.openxmlformats.org/officeDocument/2006/relationships/hyperlink" Target="https://www.jivi.com.ar/ficha.php?id=1643" TargetMode="External"/><Relationship Id="rId26" Type="http://schemas.openxmlformats.org/officeDocument/2006/relationships/hyperlink" Target="https://www.jivi.com.ar/ficha.php?id=104" TargetMode="External"/><Relationship Id="rId231" Type="http://schemas.openxmlformats.org/officeDocument/2006/relationships/hyperlink" Target="https://www.jivi.com.ar/ficha.php?id=991" TargetMode="External"/><Relationship Id="rId273" Type="http://schemas.openxmlformats.org/officeDocument/2006/relationships/hyperlink" Target="https://www.jivi.com.ar/ficha.php?id=1392" TargetMode="External"/><Relationship Id="rId329" Type="http://schemas.openxmlformats.org/officeDocument/2006/relationships/hyperlink" Target="https://www.jivi.com.ar/ficha.php?id=995" TargetMode="External"/><Relationship Id="rId480" Type="http://schemas.openxmlformats.org/officeDocument/2006/relationships/hyperlink" Target="https://www.jivi.com.ar/ficha.php?id=1656" TargetMode="External"/><Relationship Id="rId536" Type="http://schemas.openxmlformats.org/officeDocument/2006/relationships/hyperlink" Target="https://www.jivi.com.ar/ficha.php?id=1746" TargetMode="External"/><Relationship Id="rId68" Type="http://schemas.openxmlformats.org/officeDocument/2006/relationships/hyperlink" Target="https://www.jivi.com.ar/ficha.php?id=380" TargetMode="External"/><Relationship Id="rId133" Type="http://schemas.openxmlformats.org/officeDocument/2006/relationships/hyperlink" Target="https://www.jivi.com.ar/ficha.php?id=854" TargetMode="External"/><Relationship Id="rId175" Type="http://schemas.openxmlformats.org/officeDocument/2006/relationships/hyperlink" Target="https://www.jivi.com.ar/ficha.php?id=1094" TargetMode="External"/><Relationship Id="rId340" Type="http://schemas.openxmlformats.org/officeDocument/2006/relationships/hyperlink" Target="https://www.jivi.com.ar/ficha.php?id=1493" TargetMode="External"/><Relationship Id="rId200" Type="http://schemas.openxmlformats.org/officeDocument/2006/relationships/hyperlink" Target="https://www.jivi.com.ar/ficha.php?id=1183" TargetMode="External"/><Relationship Id="rId382" Type="http://schemas.openxmlformats.org/officeDocument/2006/relationships/hyperlink" Target="https://www.jivi.com.ar/ficha.php?id=1553" TargetMode="External"/><Relationship Id="rId438" Type="http://schemas.openxmlformats.org/officeDocument/2006/relationships/hyperlink" Target="https://www.jivi.com.ar/ficha.php?id=1604" TargetMode="External"/><Relationship Id="rId242" Type="http://schemas.openxmlformats.org/officeDocument/2006/relationships/hyperlink" Target="https://www.jivi.com.ar/ficha.php?id=1336" TargetMode="External"/><Relationship Id="rId284" Type="http://schemas.openxmlformats.org/officeDocument/2006/relationships/hyperlink" Target="https://www.jivi.com.ar/ficha.php?id=1415" TargetMode="External"/><Relationship Id="rId491" Type="http://schemas.openxmlformats.org/officeDocument/2006/relationships/hyperlink" Target="https://www.jivi.com.ar/ficha.php?id=1687" TargetMode="External"/><Relationship Id="rId505" Type="http://schemas.openxmlformats.org/officeDocument/2006/relationships/hyperlink" Target="https://www.jivi.com.ar/ficha.php?id=1531" TargetMode="External"/><Relationship Id="rId37" Type="http://schemas.openxmlformats.org/officeDocument/2006/relationships/hyperlink" Target="https://www.jivi.com.ar/ficha.php?id=115" TargetMode="External"/><Relationship Id="rId79" Type="http://schemas.openxmlformats.org/officeDocument/2006/relationships/hyperlink" Target="https://www.jivi.com.ar/ficha.php?id=19" TargetMode="External"/><Relationship Id="rId102" Type="http://schemas.openxmlformats.org/officeDocument/2006/relationships/hyperlink" Target="https://www.jivi.com.ar/ficha.php?id=472" TargetMode="External"/><Relationship Id="rId144" Type="http://schemas.openxmlformats.org/officeDocument/2006/relationships/hyperlink" Target="https://www.jivi.com.ar/ficha.php?id=247" TargetMode="External"/><Relationship Id="rId547" Type="http://schemas.openxmlformats.org/officeDocument/2006/relationships/hyperlink" Target="https://www.jivi.com.ar/ficha.php?id=1776" TargetMode="External"/><Relationship Id="rId90" Type="http://schemas.openxmlformats.org/officeDocument/2006/relationships/hyperlink" Target="https://www.jivi.com.ar/ficha.php?id=168" TargetMode="External"/><Relationship Id="rId186" Type="http://schemas.openxmlformats.org/officeDocument/2006/relationships/hyperlink" Target="https://www.jivi.com.ar/ficha.php?id=1157" TargetMode="External"/><Relationship Id="rId351" Type="http://schemas.openxmlformats.org/officeDocument/2006/relationships/hyperlink" Target="https://www.jivi.com.ar/ficha.php?id=1505" TargetMode="External"/><Relationship Id="rId393" Type="http://schemas.openxmlformats.org/officeDocument/2006/relationships/hyperlink" Target="https://www.jivi.com.ar/ficha.php?id=1563" TargetMode="External"/><Relationship Id="rId407" Type="http://schemas.openxmlformats.org/officeDocument/2006/relationships/hyperlink" Target="https://www.jivi.com.ar/ficha.php?id=1572" TargetMode="External"/><Relationship Id="rId449" Type="http://schemas.openxmlformats.org/officeDocument/2006/relationships/hyperlink" Target="https://www.jivi.com.ar/ficha.php?id=1611" TargetMode="External"/><Relationship Id="rId211" Type="http://schemas.openxmlformats.org/officeDocument/2006/relationships/hyperlink" Target="https://www.jivi.com.ar/ficha.php?id=1223" TargetMode="External"/><Relationship Id="rId253" Type="http://schemas.openxmlformats.org/officeDocument/2006/relationships/hyperlink" Target="https://www.jivi.com.ar/ficha.php?id=864" TargetMode="External"/><Relationship Id="rId295" Type="http://schemas.openxmlformats.org/officeDocument/2006/relationships/hyperlink" Target="https://www.jivi.com.ar/ficha.php?id=1425" TargetMode="External"/><Relationship Id="rId309" Type="http://schemas.openxmlformats.org/officeDocument/2006/relationships/hyperlink" Target="https://www.jivi.com.ar/ficha.php?id=1335" TargetMode="External"/><Relationship Id="rId460" Type="http://schemas.openxmlformats.org/officeDocument/2006/relationships/hyperlink" Target="https://www.jivi.com.ar/ficha.php?id=1620" TargetMode="External"/><Relationship Id="rId516" Type="http://schemas.openxmlformats.org/officeDocument/2006/relationships/hyperlink" Target="https://www.jivi.com.ar/ficha.php?id=1723" TargetMode="External"/><Relationship Id="rId48" Type="http://schemas.openxmlformats.org/officeDocument/2006/relationships/hyperlink" Target="https://www.jivi.com.ar/ficha.php?id=404" TargetMode="External"/><Relationship Id="rId113" Type="http://schemas.openxmlformats.org/officeDocument/2006/relationships/hyperlink" Target="https://www.jivi.com.ar/ficha.php?id=666" TargetMode="External"/><Relationship Id="rId320" Type="http://schemas.openxmlformats.org/officeDocument/2006/relationships/hyperlink" Target="https://www.jivi.com.ar/ficha.php?id=1464" TargetMode="External"/><Relationship Id="rId558" Type="http://schemas.openxmlformats.org/officeDocument/2006/relationships/hyperlink" Target="https://www.jivi.com.ar/ficha.php?id=1780" TargetMode="External"/><Relationship Id="rId155" Type="http://schemas.openxmlformats.org/officeDocument/2006/relationships/hyperlink" Target="https://www.jivi.com.ar/ficha.php?id=251" TargetMode="External"/><Relationship Id="rId197" Type="http://schemas.openxmlformats.org/officeDocument/2006/relationships/hyperlink" Target="https://www.jivi.com.ar/ficha.php?id=1175" TargetMode="External"/><Relationship Id="rId362" Type="http://schemas.openxmlformats.org/officeDocument/2006/relationships/hyperlink" Target="https://www.jivi.com.ar/ficha.php?id=1524" TargetMode="External"/><Relationship Id="rId418" Type="http://schemas.openxmlformats.org/officeDocument/2006/relationships/hyperlink" Target="https://www.jivi.com.ar/ficha.php?id=1583" TargetMode="External"/><Relationship Id="rId222" Type="http://schemas.openxmlformats.org/officeDocument/2006/relationships/hyperlink" Target="https://www.jivi.com.ar/ficha.php?id=1248" TargetMode="External"/><Relationship Id="rId264" Type="http://schemas.openxmlformats.org/officeDocument/2006/relationships/hyperlink" Target="https://www.jivi.com.ar/ficha.php?id=363" TargetMode="External"/><Relationship Id="rId471" Type="http://schemas.openxmlformats.org/officeDocument/2006/relationships/hyperlink" Target="https://www.jivi.com.ar/ficha.php?id=1644" TargetMode="External"/><Relationship Id="rId17" Type="http://schemas.openxmlformats.org/officeDocument/2006/relationships/hyperlink" Target="https://www.jivi.com.ar/ficha.php?id=93" TargetMode="External"/><Relationship Id="rId59" Type="http://schemas.openxmlformats.org/officeDocument/2006/relationships/hyperlink" Target="https://www.jivi.com.ar/ficha.php?id=123" TargetMode="External"/><Relationship Id="rId124" Type="http://schemas.openxmlformats.org/officeDocument/2006/relationships/hyperlink" Target="https://www.jivi.com.ar/ficha.php?id=780" TargetMode="External"/><Relationship Id="rId527" Type="http://schemas.openxmlformats.org/officeDocument/2006/relationships/hyperlink" Target="https://www.jivi.com.ar/ficha.php?id=1077" TargetMode="External"/><Relationship Id="rId569" Type="http://schemas.openxmlformats.org/officeDocument/2006/relationships/printerSettings" Target="../printerSettings/printerSettings1.bin"/><Relationship Id="rId70" Type="http://schemas.openxmlformats.org/officeDocument/2006/relationships/hyperlink" Target="https://www.jivi.com.ar/ficha.php?id=501" TargetMode="External"/><Relationship Id="rId166" Type="http://schemas.openxmlformats.org/officeDocument/2006/relationships/hyperlink" Target="https://www.jivi.com.ar/ficha.php?id=1062" TargetMode="External"/><Relationship Id="rId331" Type="http://schemas.openxmlformats.org/officeDocument/2006/relationships/hyperlink" Target="https://www.jivi.com.ar/ficha.php?id=835" TargetMode="External"/><Relationship Id="rId373" Type="http://schemas.openxmlformats.org/officeDocument/2006/relationships/hyperlink" Target="https://www.jivi.com.ar/ficha.php?id=1545" TargetMode="External"/><Relationship Id="rId429" Type="http://schemas.openxmlformats.org/officeDocument/2006/relationships/hyperlink" Target="https://www.jivi.com.ar/ficha.php?id=1593" TargetMode="External"/><Relationship Id="rId1" Type="http://schemas.openxmlformats.org/officeDocument/2006/relationships/hyperlink" Target="https://www.jivi.com.ar/ficha.php?id=27" TargetMode="External"/><Relationship Id="rId233" Type="http://schemas.openxmlformats.org/officeDocument/2006/relationships/hyperlink" Target="https://www.jivi.com.ar/ficha.php?id=1607" TargetMode="External"/><Relationship Id="rId440" Type="http://schemas.openxmlformats.org/officeDocument/2006/relationships/hyperlink" Target="https://www.jivi.com.ar/ficha.php?id=1424" TargetMode="External"/><Relationship Id="rId28" Type="http://schemas.openxmlformats.org/officeDocument/2006/relationships/hyperlink" Target="https://www.jivi.com.ar/ficha.php?id=106" TargetMode="External"/><Relationship Id="rId275" Type="http://schemas.openxmlformats.org/officeDocument/2006/relationships/hyperlink" Target="https://www.jivi.com.ar/ficha.php?id=1110" TargetMode="External"/><Relationship Id="rId300" Type="http://schemas.openxmlformats.org/officeDocument/2006/relationships/hyperlink" Target="https://www.jivi.com.ar/ficha.php?id=1436" TargetMode="External"/><Relationship Id="rId482" Type="http://schemas.openxmlformats.org/officeDocument/2006/relationships/hyperlink" Target="https://www.jivi.com.ar/ficha.php?id=1658" TargetMode="External"/><Relationship Id="rId538" Type="http://schemas.openxmlformats.org/officeDocument/2006/relationships/hyperlink" Target="https://www.jivi.com.ar/ficha.php?id=1748" TargetMode="External"/><Relationship Id="rId81" Type="http://schemas.openxmlformats.org/officeDocument/2006/relationships/hyperlink" Target="https://www.jivi.com.ar/ficha.php?id=392" TargetMode="External"/><Relationship Id="rId135" Type="http://schemas.openxmlformats.org/officeDocument/2006/relationships/hyperlink" Target="https://www.jivi.com.ar/ficha.php?id=888" TargetMode="External"/><Relationship Id="rId177" Type="http://schemas.openxmlformats.org/officeDocument/2006/relationships/hyperlink" Target="https://www.jivi.com.ar/ficha.php?id=1097" TargetMode="External"/><Relationship Id="rId342" Type="http://schemas.openxmlformats.org/officeDocument/2006/relationships/hyperlink" Target="https://www.jivi.com.ar/ficha.php?id=1495" TargetMode="External"/><Relationship Id="rId384" Type="http://schemas.openxmlformats.org/officeDocument/2006/relationships/hyperlink" Target="https://www.jivi.com.ar/ficha.php?id=1397" TargetMode="External"/><Relationship Id="rId202" Type="http://schemas.openxmlformats.org/officeDocument/2006/relationships/hyperlink" Target="https://www.jivi.com.ar/ficha.php?id=349" TargetMode="External"/><Relationship Id="rId244" Type="http://schemas.openxmlformats.org/officeDocument/2006/relationships/hyperlink" Target="https://www.jivi.com.ar/ficha.php?id=1333" TargetMode="External"/><Relationship Id="rId39" Type="http://schemas.openxmlformats.org/officeDocument/2006/relationships/hyperlink" Target="https://www.jivi.com.ar/ficha.php?id=117" TargetMode="External"/><Relationship Id="rId286" Type="http://schemas.openxmlformats.org/officeDocument/2006/relationships/hyperlink" Target="https://www.jivi.com.ar/ficha.php?id=1084" TargetMode="External"/><Relationship Id="rId451" Type="http://schemas.openxmlformats.org/officeDocument/2006/relationships/hyperlink" Target="https://www.jivi.com.ar/ficha.php?id=1613" TargetMode="External"/><Relationship Id="rId493" Type="http://schemas.openxmlformats.org/officeDocument/2006/relationships/hyperlink" Target="https://www.jivi.com.ar/ficha.php?id=1690" TargetMode="External"/><Relationship Id="rId507" Type="http://schemas.openxmlformats.org/officeDocument/2006/relationships/hyperlink" Target="https://www.jivi.com.ar/ficha.php?id=1704" TargetMode="External"/><Relationship Id="rId549" Type="http://schemas.openxmlformats.org/officeDocument/2006/relationships/hyperlink" Target="https://www.jivi.com.ar/ficha.php?id=1304" TargetMode="External"/><Relationship Id="rId50" Type="http://schemas.openxmlformats.org/officeDocument/2006/relationships/hyperlink" Target="https://www.jivi.com.ar/ficha.php?id=406" TargetMode="External"/><Relationship Id="rId104" Type="http://schemas.openxmlformats.org/officeDocument/2006/relationships/hyperlink" Target="http://whttps/www.jivi.com.ar/ficha.php?id=253" TargetMode="External"/><Relationship Id="rId146" Type="http://schemas.openxmlformats.org/officeDocument/2006/relationships/hyperlink" Target="https://www.jivi.com.ar/ficha.php?id=954" TargetMode="External"/><Relationship Id="rId188" Type="http://schemas.openxmlformats.org/officeDocument/2006/relationships/hyperlink" Target="https://www.jivi.com.ar/ficha.php?id=1141" TargetMode="External"/><Relationship Id="rId311" Type="http://schemas.openxmlformats.org/officeDocument/2006/relationships/hyperlink" Target="https://www.jivi.com.ar/ficha.php?id=1354" TargetMode="External"/><Relationship Id="rId353" Type="http://schemas.openxmlformats.org/officeDocument/2006/relationships/hyperlink" Target="https://www.jivi.com.ar/ficha.php?id=1507" TargetMode="External"/><Relationship Id="rId395" Type="http://schemas.openxmlformats.org/officeDocument/2006/relationships/hyperlink" Target="https://www.jivi.com.ar/ficha.php?id=790" TargetMode="External"/><Relationship Id="rId409" Type="http://schemas.openxmlformats.org/officeDocument/2006/relationships/hyperlink" Target="https://www.jivi.com.ar/ficha.php?id=1294" TargetMode="External"/><Relationship Id="rId560" Type="http://schemas.openxmlformats.org/officeDocument/2006/relationships/hyperlink" Target="https://www.jivi.com.ar/ficha.php?id=1786" TargetMode="External"/><Relationship Id="rId92" Type="http://schemas.openxmlformats.org/officeDocument/2006/relationships/hyperlink" Target="https://www.jivi.com.ar/ficha.php?id=148" TargetMode="External"/><Relationship Id="rId213" Type="http://schemas.openxmlformats.org/officeDocument/2006/relationships/hyperlink" Target="https://www.jivi.com.ar/ficha.php?id=1224" TargetMode="External"/><Relationship Id="rId420" Type="http://schemas.openxmlformats.org/officeDocument/2006/relationships/hyperlink" Target="https://www.jivi.com.ar/ficha.php?id=1586" TargetMode="External"/><Relationship Id="rId255" Type="http://schemas.openxmlformats.org/officeDocument/2006/relationships/hyperlink" Target="https://www.jivi.com.ar/ficha.php?id=1378" TargetMode="External"/><Relationship Id="rId297" Type="http://schemas.openxmlformats.org/officeDocument/2006/relationships/hyperlink" Target="https://www.jivi.com.ar/ficha.php?id=1429" TargetMode="External"/><Relationship Id="rId462" Type="http://schemas.openxmlformats.org/officeDocument/2006/relationships/hyperlink" Target="https://www.jivi.com.ar/ficha.php?id=998" TargetMode="External"/><Relationship Id="rId518" Type="http://schemas.openxmlformats.org/officeDocument/2006/relationships/hyperlink" Target="https://www.jivi.com.ar/ficha.php?id=1727" TargetMode="External"/><Relationship Id="rId115" Type="http://schemas.openxmlformats.org/officeDocument/2006/relationships/hyperlink" Target="https://www.jivi.com.ar/ficha.php?id=619" TargetMode="External"/><Relationship Id="rId157" Type="http://schemas.openxmlformats.org/officeDocument/2006/relationships/hyperlink" Target="https://www.jivi.com.ar/ficha.php?id=1023" TargetMode="External"/><Relationship Id="rId322" Type="http://schemas.openxmlformats.org/officeDocument/2006/relationships/hyperlink" Target="https://www.jivi.com.ar/ficha.php?id=1466" TargetMode="External"/><Relationship Id="rId364" Type="http://schemas.openxmlformats.org/officeDocument/2006/relationships/hyperlink" Target="https://www.jivi.com.ar/ficha.php?id=1532" TargetMode="External"/><Relationship Id="rId61" Type="http://schemas.openxmlformats.org/officeDocument/2006/relationships/hyperlink" Target="https://www.jivi.com.ar/ficha.php?id=125" TargetMode="External"/><Relationship Id="rId199" Type="http://schemas.openxmlformats.org/officeDocument/2006/relationships/hyperlink" Target="https://www.jivi.com.ar/ficha.php?id=1182" TargetMode="External"/><Relationship Id="rId571" Type="http://schemas.openxmlformats.org/officeDocument/2006/relationships/vmlDrawing" Target="../drawings/vmlDrawing1.vml"/><Relationship Id="rId19" Type="http://schemas.openxmlformats.org/officeDocument/2006/relationships/hyperlink" Target="https://www.jivi.com.ar/ficha.php?id=97" TargetMode="External"/><Relationship Id="rId224" Type="http://schemas.openxmlformats.org/officeDocument/2006/relationships/hyperlink" Target="https://www.jivi.com.ar/ficha.php?id=1124" TargetMode="External"/><Relationship Id="rId266" Type="http://schemas.openxmlformats.org/officeDocument/2006/relationships/hyperlink" Target="https://www.jivi.com.ar/ficha.php?id=1343" TargetMode="External"/><Relationship Id="rId431" Type="http://schemas.openxmlformats.org/officeDocument/2006/relationships/hyperlink" Target="https://www.jivi.com.ar/ficha.php?id=1595" TargetMode="External"/><Relationship Id="rId473" Type="http://schemas.openxmlformats.org/officeDocument/2006/relationships/hyperlink" Target="https://www.jivi.com.ar/ficha.php?id=1639" TargetMode="External"/><Relationship Id="rId529" Type="http://schemas.openxmlformats.org/officeDocument/2006/relationships/hyperlink" Target="https://www.jivi.com.ar/ficha.php?id=1739" TargetMode="External"/><Relationship Id="rId30" Type="http://schemas.openxmlformats.org/officeDocument/2006/relationships/hyperlink" Target="https://www.jivi.com.ar/ficha.php?id=108" TargetMode="External"/><Relationship Id="rId126" Type="http://schemas.openxmlformats.org/officeDocument/2006/relationships/hyperlink" Target="https://www.jivi.com.ar/ficha.php?id=809" TargetMode="External"/><Relationship Id="rId168" Type="http://schemas.openxmlformats.org/officeDocument/2006/relationships/hyperlink" Target="https://www.jivi.com.ar/ficha.php?id=1080" TargetMode="External"/><Relationship Id="rId333" Type="http://schemas.openxmlformats.org/officeDocument/2006/relationships/hyperlink" Target="https://www.jivi.com.ar/ficha.php?id=1479" TargetMode="External"/><Relationship Id="rId540" Type="http://schemas.openxmlformats.org/officeDocument/2006/relationships/hyperlink" Target="https://www.jivi.com.ar/ficha.php?id=1579" TargetMode="External"/><Relationship Id="rId72" Type="http://schemas.openxmlformats.org/officeDocument/2006/relationships/hyperlink" Target="https://www.jivi.com.ar/ficha.php?id=326" TargetMode="External"/><Relationship Id="rId375" Type="http://schemas.openxmlformats.org/officeDocument/2006/relationships/hyperlink" Target="https://www.jivi.com.ar/ficha.php?id=1547" TargetMode="External"/><Relationship Id="rId3" Type="http://schemas.openxmlformats.org/officeDocument/2006/relationships/hyperlink" Target="https://www.jivi.com.ar/ficha.php?id=723" TargetMode="External"/><Relationship Id="rId235" Type="http://schemas.openxmlformats.org/officeDocument/2006/relationships/hyperlink" Target="https://www.jivi.com.ar/ficha.php?id=1303" TargetMode="External"/><Relationship Id="rId277" Type="http://schemas.openxmlformats.org/officeDocument/2006/relationships/hyperlink" Target="https://www.jivi.com.ar/ficha.php?id=477" TargetMode="External"/><Relationship Id="rId400" Type="http://schemas.openxmlformats.org/officeDocument/2006/relationships/hyperlink" Target="https://www.jivi.com.ar/ficha.php?id=1434" TargetMode="External"/><Relationship Id="rId442" Type="http://schemas.openxmlformats.org/officeDocument/2006/relationships/hyperlink" Target="https://www.jivi.com.ar/ficha.php?id=1520" TargetMode="External"/><Relationship Id="rId484" Type="http://schemas.openxmlformats.org/officeDocument/2006/relationships/hyperlink" Target="https://www.jivi.com.ar/ficha.php?id=1663" TargetMode="External"/><Relationship Id="rId137" Type="http://schemas.openxmlformats.org/officeDocument/2006/relationships/hyperlink" Target="https://www.jivi.com.ar/ficha.php?id=881" TargetMode="External"/><Relationship Id="rId302" Type="http://schemas.openxmlformats.org/officeDocument/2006/relationships/hyperlink" Target="https://www.jivi.com.ar/ficha.php?id=1702" TargetMode="External"/><Relationship Id="rId344" Type="http://schemas.openxmlformats.org/officeDocument/2006/relationships/hyperlink" Target="https://www.jivi.com.ar/ficha.php?id=1497" TargetMode="External"/><Relationship Id="rId41" Type="http://schemas.openxmlformats.org/officeDocument/2006/relationships/hyperlink" Target="https://www.jivi.com.ar/ficha.php?id=400" TargetMode="External"/><Relationship Id="rId83" Type="http://schemas.openxmlformats.org/officeDocument/2006/relationships/hyperlink" Target="https://www.jivi.com.ar/ficha.php?id=135" TargetMode="External"/><Relationship Id="rId179" Type="http://schemas.openxmlformats.org/officeDocument/2006/relationships/hyperlink" Target="https://www.jivi.com.ar/ficha.php?id=885" TargetMode="External"/><Relationship Id="rId386" Type="http://schemas.openxmlformats.org/officeDocument/2006/relationships/hyperlink" Target="https://www.jivi.com.ar/ficha.php?id=1557" TargetMode="External"/><Relationship Id="rId551" Type="http://schemas.openxmlformats.org/officeDocument/2006/relationships/hyperlink" Target="https://www.jivi.com.ar/ficha.php?id=1777" TargetMode="External"/><Relationship Id="rId190" Type="http://schemas.openxmlformats.org/officeDocument/2006/relationships/hyperlink" Target="https://www.jivi.com.ar/ficha.php?id=1156" TargetMode="External"/><Relationship Id="rId204" Type="http://schemas.openxmlformats.org/officeDocument/2006/relationships/hyperlink" Target="https://www.jivi.com.ar/ficha.php?id=1192" TargetMode="External"/><Relationship Id="rId246" Type="http://schemas.openxmlformats.org/officeDocument/2006/relationships/hyperlink" Target="https://www.jivi.com.ar/ficha.php?id=1347" TargetMode="External"/><Relationship Id="rId288" Type="http://schemas.openxmlformats.org/officeDocument/2006/relationships/hyperlink" Target="https://www.jivi.com.ar/ficha.php?id=1419" TargetMode="External"/><Relationship Id="rId411" Type="http://schemas.openxmlformats.org/officeDocument/2006/relationships/hyperlink" Target="https://www.jivi.com.ar/ficha.php?id=1296" TargetMode="External"/><Relationship Id="rId453" Type="http://schemas.openxmlformats.org/officeDocument/2006/relationships/hyperlink" Target="https://www.jivi.com.ar/ficha.php?id=1452" TargetMode="External"/><Relationship Id="rId509" Type="http://schemas.openxmlformats.org/officeDocument/2006/relationships/hyperlink" Target="https://www.jivi.com.ar/ficha.php?id=1457" TargetMode="External"/><Relationship Id="rId106" Type="http://schemas.openxmlformats.org/officeDocument/2006/relationships/hyperlink" Target="https://www.jivi.com.ar/ficha.php?id=23" TargetMode="External"/><Relationship Id="rId313" Type="http://schemas.openxmlformats.org/officeDocument/2006/relationships/hyperlink" Target="https://www.jivi.com.ar/ficha.php?id=1450" TargetMode="External"/><Relationship Id="rId495" Type="http://schemas.openxmlformats.org/officeDocument/2006/relationships/hyperlink" Target="https://www.jivi.com.ar/ficha.php?id=1692" TargetMode="External"/><Relationship Id="rId10" Type="http://schemas.openxmlformats.org/officeDocument/2006/relationships/hyperlink" Target="https://www.jivi.com.ar/ficha.php?id=41" TargetMode="External"/><Relationship Id="rId52" Type="http://schemas.openxmlformats.org/officeDocument/2006/relationships/hyperlink" Target="https://www.jivi.com.ar/ficha.php?id=408" TargetMode="External"/><Relationship Id="rId94" Type="http://schemas.openxmlformats.org/officeDocument/2006/relationships/hyperlink" Target="https://www.jivi.com.ar/ficha.php?id=621" TargetMode="External"/><Relationship Id="rId148" Type="http://schemas.openxmlformats.org/officeDocument/2006/relationships/hyperlink" Target="https://www.jivi.com.ar/ficha.php?id=956" TargetMode="External"/><Relationship Id="rId355" Type="http://schemas.openxmlformats.org/officeDocument/2006/relationships/hyperlink" Target="https://www.jivi.com.ar/ficha.php?id=1509" TargetMode="External"/><Relationship Id="rId397" Type="http://schemas.openxmlformats.org/officeDocument/2006/relationships/hyperlink" Target="https://www.jivi.com.ar/ficha.php?id=1409" TargetMode="External"/><Relationship Id="rId520" Type="http://schemas.openxmlformats.org/officeDocument/2006/relationships/hyperlink" Target="https://www.jivi.com.ar/ficha.php?id=1729" TargetMode="External"/><Relationship Id="rId562" Type="http://schemas.openxmlformats.org/officeDocument/2006/relationships/hyperlink" Target="https://www.jivi.com.ar/ficha.php?id=1340" TargetMode="External"/><Relationship Id="rId215" Type="http://schemas.openxmlformats.org/officeDocument/2006/relationships/hyperlink" Target="https://www.jivi.com.ar/ficha.php?id=1226" TargetMode="External"/><Relationship Id="rId257" Type="http://schemas.openxmlformats.org/officeDocument/2006/relationships/hyperlink" Target="https://www.jivi.com.ar/ficha.php?id=1383" TargetMode="External"/><Relationship Id="rId422" Type="http://schemas.openxmlformats.org/officeDocument/2006/relationships/hyperlink" Target="https://www.jivi.com.ar/ficha.php?id=1221" TargetMode="External"/><Relationship Id="rId464" Type="http://schemas.openxmlformats.org/officeDocument/2006/relationships/hyperlink" Target="https://www.jivi.com.ar/ficha.php?id=1621" TargetMode="External"/><Relationship Id="rId299" Type="http://schemas.openxmlformats.org/officeDocument/2006/relationships/hyperlink" Target="https://www.jivi.com.ar/ficha.php?id=1432" TargetMode="External"/><Relationship Id="rId63" Type="http://schemas.openxmlformats.org/officeDocument/2006/relationships/hyperlink" Target="https://www.jivi.com.ar/ficha.php?id=4" TargetMode="External"/><Relationship Id="rId159" Type="http://schemas.openxmlformats.org/officeDocument/2006/relationships/hyperlink" Target="https://www.jivi.com.ar/ficha.php?id=1025" TargetMode="External"/><Relationship Id="rId366" Type="http://schemas.openxmlformats.org/officeDocument/2006/relationships/hyperlink" Target="https://www.jivi.com.ar/ficha.php?id=1535" TargetMode="External"/><Relationship Id="rId226" Type="http://schemas.openxmlformats.org/officeDocument/2006/relationships/hyperlink" Target="https://www.jivi.com.ar/ficha.php?id=1267" TargetMode="External"/><Relationship Id="rId433" Type="http://schemas.openxmlformats.org/officeDocument/2006/relationships/hyperlink" Target="https://www.jivi.com.ar/ficha.php?id=1598" TargetMode="External"/><Relationship Id="rId74" Type="http://schemas.openxmlformats.org/officeDocument/2006/relationships/hyperlink" Target="https://www.jivi.com.ar/ficha.php?id=10" TargetMode="External"/><Relationship Id="rId377" Type="http://schemas.openxmlformats.org/officeDocument/2006/relationships/hyperlink" Target="https://www.jivi.com.ar/ficha.php?id=1548" TargetMode="External"/><Relationship Id="rId500" Type="http://schemas.openxmlformats.org/officeDocument/2006/relationships/hyperlink" Target="https://www.jivi.com.ar/ficha.php?id=1698" TargetMode="External"/><Relationship Id="rId5" Type="http://schemas.openxmlformats.org/officeDocument/2006/relationships/hyperlink" Target="https://www.jivi.com.ar/ficha.php?id=727" TargetMode="External"/><Relationship Id="rId237" Type="http://schemas.openxmlformats.org/officeDocument/2006/relationships/hyperlink" Target="https://www.jivi.com.ar/ficha.php?id=1306" TargetMode="External"/><Relationship Id="rId444" Type="http://schemas.openxmlformats.org/officeDocument/2006/relationships/hyperlink" Target="https://www.jivi.com.ar/ficha.php?id=1608" TargetMode="External"/><Relationship Id="rId290" Type="http://schemas.openxmlformats.org/officeDocument/2006/relationships/hyperlink" Target="https://www.jivi.com.ar/ficha.php?id=1281" TargetMode="External"/><Relationship Id="rId304" Type="http://schemas.openxmlformats.org/officeDocument/2006/relationships/hyperlink" Target="https://www.jivi.com.ar/ficha.php?id=1442" TargetMode="External"/><Relationship Id="rId388" Type="http://schemas.openxmlformats.org/officeDocument/2006/relationships/hyperlink" Target="https://www.jivi.com.ar/ficha.php?id=518" TargetMode="External"/><Relationship Id="rId511" Type="http://schemas.openxmlformats.org/officeDocument/2006/relationships/hyperlink" Target="https://www.jivi.com.ar/ficha.php?id=1707" TargetMode="External"/><Relationship Id="rId85" Type="http://schemas.openxmlformats.org/officeDocument/2006/relationships/hyperlink" Target="https://www.jivi.com.ar/ficha.php?id=137" TargetMode="External"/><Relationship Id="rId150" Type="http://schemas.openxmlformats.org/officeDocument/2006/relationships/hyperlink" Target="https://www.jivi.com.ar/ficha.php?id=967" TargetMode="External"/><Relationship Id="rId248" Type="http://schemas.openxmlformats.org/officeDocument/2006/relationships/hyperlink" Target="https://www.jivi.com.ar/ficha.php?id=1359" TargetMode="External"/><Relationship Id="rId455" Type="http://schemas.openxmlformats.org/officeDocument/2006/relationships/hyperlink" Target="https://www.jivi.com.ar/ficha.php?id=1615" TargetMode="External"/><Relationship Id="rId12" Type="http://schemas.openxmlformats.org/officeDocument/2006/relationships/hyperlink" Target="https://www.jivi.com.ar/ficha.php?id=649" TargetMode="External"/><Relationship Id="rId108" Type="http://schemas.openxmlformats.org/officeDocument/2006/relationships/hyperlink" Target="https://www.jivi.com.ar/ficha.php?id=221" TargetMode="External"/><Relationship Id="rId315" Type="http://schemas.openxmlformats.org/officeDocument/2006/relationships/hyperlink" Target="https://www.jivi.com.ar/ficha.php?id=1064" TargetMode="External"/><Relationship Id="rId522" Type="http://schemas.openxmlformats.org/officeDocument/2006/relationships/hyperlink" Target="https://www.jivi.com.ar/ficha.php?id=1731" TargetMode="External"/><Relationship Id="rId96" Type="http://schemas.openxmlformats.org/officeDocument/2006/relationships/hyperlink" Target="https://www.jivi.com.ar/ficha.php?id=456" TargetMode="External"/><Relationship Id="rId161" Type="http://schemas.openxmlformats.org/officeDocument/2006/relationships/hyperlink" Target="https://www.jivi.com.ar/ficha.php?id=1049" TargetMode="External"/><Relationship Id="rId399" Type="http://schemas.openxmlformats.org/officeDocument/2006/relationships/hyperlink" Target="https://www.jivi.com.ar/ficha.php?id=1564" TargetMode="External"/><Relationship Id="rId259" Type="http://schemas.openxmlformats.org/officeDocument/2006/relationships/hyperlink" Target="https://www.jivi.com.ar/ficha.php?id=1428" TargetMode="External"/><Relationship Id="rId466" Type="http://schemas.openxmlformats.org/officeDocument/2006/relationships/hyperlink" Target="https://www.jivi.com.ar/ficha.php?id=1635" TargetMode="External"/><Relationship Id="rId23" Type="http://schemas.openxmlformats.org/officeDocument/2006/relationships/hyperlink" Target="https://www.jivi.com.ar/ficha.php?id=101" TargetMode="External"/><Relationship Id="rId119" Type="http://schemas.openxmlformats.org/officeDocument/2006/relationships/hyperlink" Target="https://www.jivi.com.ar/ficha.php?id=358" TargetMode="External"/><Relationship Id="rId326" Type="http://schemas.openxmlformats.org/officeDocument/2006/relationships/hyperlink" Target="https://www.jivi.com.ar/ficha.php?id=1471" TargetMode="External"/><Relationship Id="rId533" Type="http://schemas.openxmlformats.org/officeDocument/2006/relationships/hyperlink" Target="https://www.jivi.com.ar/ficha.php?id=17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DQ1533"/>
  <sheetViews>
    <sheetView tabSelected="1" zoomScaleNormal="100" zoomScaleSheetLayoutView="100" workbookViewId="0">
      <pane ySplit="2" topLeftCell="A3" activePane="bottomLeft" state="frozen"/>
      <selection pane="bottomLeft" activeCell="A2" sqref="A2"/>
    </sheetView>
  </sheetViews>
  <sheetFormatPr baseColWidth="10" defaultColWidth="9.140625" defaultRowHeight="12.75" x14ac:dyDescent="0.2"/>
  <cols>
    <col min="1" max="1" width="5.140625" style="10" customWidth="1"/>
    <col min="2" max="2" width="14" customWidth="1"/>
    <col min="3" max="3" width="11.42578125" customWidth="1"/>
    <col min="4" max="4" width="5.7109375" customWidth="1"/>
    <col min="5" max="5" width="12.42578125" customWidth="1"/>
    <col min="6" max="6" width="0.28515625" style="2" customWidth="1"/>
    <col min="7" max="7" width="5.85546875" style="1" customWidth="1"/>
    <col min="8" max="8" width="0.28515625" customWidth="1"/>
    <col min="9" max="9" width="6" customWidth="1"/>
    <col min="10" max="10" width="0.28515625" customWidth="1"/>
    <col min="11" max="11" width="6" customWidth="1"/>
    <col min="12" max="12" width="0.28515625" customWidth="1"/>
    <col min="13" max="13" width="6" customWidth="1"/>
    <col min="14" max="14" width="0.28515625" customWidth="1"/>
    <col min="15" max="15" width="6" customWidth="1"/>
    <col min="16" max="16" width="0.28515625" customWidth="1"/>
    <col min="17" max="17" width="5.7109375" customWidth="1"/>
    <col min="18" max="18" width="0.28515625" customWidth="1"/>
    <col min="19" max="19" width="5.7109375" customWidth="1"/>
    <col min="20" max="20" width="0.28515625" customWidth="1"/>
    <col min="21" max="21" width="5.7109375" customWidth="1"/>
    <col min="22" max="22" width="0.28515625" style="5" customWidth="1"/>
    <col min="23" max="23" width="5.7109375" style="5" customWidth="1"/>
    <col min="24" max="24" width="11.7109375" style="3" customWidth="1"/>
    <col min="25" max="25" width="7.42578125" style="3" customWidth="1"/>
    <col min="26" max="26" width="5.7109375" style="3" customWidth="1"/>
    <col min="27" max="27" width="6.85546875" style="3" customWidth="1"/>
    <col min="28" max="28" width="8.7109375" style="3" customWidth="1"/>
    <col min="29" max="29" width="5.7109375" style="3" customWidth="1"/>
    <col min="30" max="30" width="3.140625" style="3" customWidth="1"/>
    <col min="31" max="31" width="4.42578125" style="3" customWidth="1"/>
    <col min="32" max="32" width="4.85546875" style="3" customWidth="1"/>
    <col min="33" max="34" width="4.28515625" style="3" customWidth="1"/>
    <col min="35" max="35" width="5.28515625" style="3" customWidth="1"/>
    <col min="36" max="36" width="10.85546875" style="3" customWidth="1"/>
    <col min="37" max="38" width="11.42578125" style="3" customWidth="1"/>
    <col min="39" max="256" width="11.42578125" customWidth="1"/>
  </cols>
  <sheetData>
    <row r="1" spans="1:39" ht="16.5" customHeight="1" thickBot="1" x14ac:dyDescent="0.25">
      <c r="A1" s="20"/>
      <c r="B1" s="846" t="s">
        <v>0</v>
      </c>
      <c r="C1" s="847"/>
      <c r="D1" s="847"/>
      <c r="E1" s="847"/>
      <c r="F1" s="847"/>
      <c r="G1" s="847"/>
      <c r="H1" s="847"/>
      <c r="I1" s="847"/>
      <c r="J1" s="847"/>
      <c r="K1" s="847"/>
      <c r="L1" s="847"/>
      <c r="M1" s="847"/>
      <c r="N1" s="847"/>
      <c r="O1" s="847"/>
      <c r="P1" s="847"/>
      <c r="Q1" s="847"/>
      <c r="R1" s="847"/>
      <c r="S1" s="847"/>
      <c r="T1" s="847"/>
      <c r="U1" s="847"/>
      <c r="V1" s="847"/>
      <c r="W1" s="848"/>
      <c r="X1" s="177">
        <v>1</v>
      </c>
      <c r="Y1" s="826" t="s">
        <v>1</v>
      </c>
      <c r="Z1" s="827"/>
      <c r="AA1" s="827"/>
      <c r="AB1" s="827"/>
      <c r="AC1" s="827"/>
      <c r="AD1" s="828"/>
      <c r="AE1" s="823" t="s">
        <v>2</v>
      </c>
      <c r="AF1" s="824"/>
      <c r="AG1" s="824"/>
      <c r="AH1" s="824"/>
      <c r="AI1" s="825"/>
      <c r="AJ1" s="821" t="s">
        <v>3</v>
      </c>
      <c r="AK1" s="59"/>
      <c r="AL1" s="59"/>
      <c r="AM1" s="57"/>
    </row>
    <row r="2" spans="1:39" ht="14.25" customHeight="1" thickBot="1" x14ac:dyDescent="0.25">
      <c r="A2" s="20"/>
      <c r="B2" s="888" t="s">
        <v>915</v>
      </c>
      <c r="C2" s="889"/>
      <c r="D2" s="889"/>
      <c r="E2" s="889"/>
      <c r="F2" s="889"/>
      <c r="G2" s="889"/>
      <c r="H2" s="889"/>
      <c r="I2" s="889"/>
      <c r="J2" s="889"/>
      <c r="K2" s="889"/>
      <c r="L2" s="889"/>
      <c r="M2" s="889"/>
      <c r="N2" s="889"/>
      <c r="O2" s="889"/>
      <c r="P2" s="889"/>
      <c r="Q2" s="889"/>
      <c r="R2" s="889"/>
      <c r="S2" s="889"/>
      <c r="T2" s="889"/>
      <c r="U2" s="889"/>
      <c r="V2" s="890"/>
      <c r="W2" s="891"/>
      <c r="X2" s="470">
        <v>938</v>
      </c>
      <c r="Y2" s="874" t="s">
        <v>4</v>
      </c>
      <c r="Z2" s="874"/>
      <c r="AA2" s="874"/>
      <c r="AB2" s="874"/>
      <c r="AC2" s="874"/>
      <c r="AD2" s="875"/>
      <c r="AE2" s="832" t="s">
        <v>5</v>
      </c>
      <c r="AF2" s="833"/>
      <c r="AG2" s="833"/>
      <c r="AH2" s="520"/>
      <c r="AI2" s="521"/>
      <c r="AJ2" s="822"/>
      <c r="AK2" s="188"/>
      <c r="AL2" s="188"/>
      <c r="AM2" s="57"/>
    </row>
    <row r="3" spans="1:39" ht="15.75" customHeight="1" thickBot="1" x14ac:dyDescent="0.25">
      <c r="A3" s="20"/>
      <c r="B3" s="849"/>
      <c r="C3" s="850"/>
      <c r="D3" s="851"/>
      <c r="E3" s="867" t="s">
        <v>6</v>
      </c>
      <c r="F3" s="868"/>
      <c r="G3" s="868"/>
      <c r="H3" s="868"/>
      <c r="I3" s="868"/>
      <c r="J3" s="868"/>
      <c r="K3" s="868"/>
      <c r="L3" s="868"/>
      <c r="M3" s="868"/>
      <c r="N3" s="868"/>
      <c r="O3" s="868"/>
      <c r="P3" s="868"/>
      <c r="Q3" s="868"/>
      <c r="R3" s="868"/>
      <c r="S3" s="868"/>
      <c r="T3" s="868"/>
      <c r="U3" s="868"/>
      <c r="V3" s="869"/>
      <c r="W3" s="870"/>
      <c r="X3" s="859" t="s">
        <v>435</v>
      </c>
      <c r="Y3" s="860"/>
      <c r="Z3" s="860"/>
      <c r="AA3" s="860"/>
      <c r="AB3" s="860"/>
      <c r="AC3" s="860"/>
      <c r="AD3" s="861"/>
      <c r="AE3" s="830"/>
      <c r="AF3" s="831"/>
      <c r="AG3" s="831"/>
      <c r="AH3" s="831"/>
      <c r="AI3" s="831"/>
      <c r="AJ3" s="15"/>
      <c r="AK3" s="15"/>
      <c r="AL3" s="15"/>
      <c r="AM3" s="58"/>
    </row>
    <row r="4" spans="1:39" ht="21.75" customHeight="1" thickBot="1" x14ac:dyDescent="0.25">
      <c r="A4" s="20"/>
      <c r="B4" s="852"/>
      <c r="C4" s="850"/>
      <c r="D4" s="851"/>
      <c r="E4" s="871" t="s">
        <v>7</v>
      </c>
      <c r="F4" s="872"/>
      <c r="G4" s="872"/>
      <c r="H4" s="872"/>
      <c r="I4" s="872"/>
      <c r="J4" s="872"/>
      <c r="K4" s="872"/>
      <c r="L4" s="872"/>
      <c r="M4" s="872"/>
      <c r="N4" s="872"/>
      <c r="O4" s="872"/>
      <c r="P4" s="872"/>
      <c r="Q4" s="872"/>
      <c r="R4" s="872"/>
      <c r="S4" s="872"/>
      <c r="T4" s="872"/>
      <c r="U4" s="872"/>
      <c r="V4" s="872"/>
      <c r="W4" s="873"/>
      <c r="X4" s="862"/>
      <c r="Y4" s="863"/>
      <c r="Z4" s="863"/>
      <c r="AA4" s="863"/>
      <c r="AB4" s="863"/>
      <c r="AC4" s="863"/>
      <c r="AD4" s="864"/>
      <c r="AE4" s="831"/>
      <c r="AF4" s="831"/>
      <c r="AG4" s="831"/>
      <c r="AH4" s="831"/>
      <c r="AI4" s="831"/>
      <c r="AJ4" s="15"/>
      <c r="AK4" s="15"/>
      <c r="AL4" s="15"/>
      <c r="AM4" s="58"/>
    </row>
    <row r="5" spans="1:39" ht="23.25" customHeight="1" thickBot="1" x14ac:dyDescent="0.25">
      <c r="A5" s="20"/>
      <c r="B5" s="853"/>
      <c r="C5" s="854"/>
      <c r="D5" s="855"/>
      <c r="E5" s="856" t="s">
        <v>8</v>
      </c>
      <c r="F5" s="857"/>
      <c r="G5" s="857"/>
      <c r="H5" s="857"/>
      <c r="I5" s="857"/>
      <c r="J5" s="857"/>
      <c r="K5" s="857"/>
      <c r="L5" s="857"/>
      <c r="M5" s="857"/>
      <c r="N5" s="857"/>
      <c r="O5" s="857"/>
      <c r="P5" s="857"/>
      <c r="Q5" s="857"/>
      <c r="R5" s="857"/>
      <c r="S5" s="857"/>
      <c r="T5" s="857"/>
      <c r="U5" s="857"/>
      <c r="V5" s="857"/>
      <c r="W5" s="858"/>
      <c r="X5" s="834"/>
      <c r="Y5" s="835"/>
      <c r="Z5" s="835"/>
      <c r="AA5" s="835"/>
      <c r="AB5" s="835"/>
      <c r="AC5" s="835"/>
      <c r="AD5" s="836"/>
      <c r="AE5" s="881"/>
      <c r="AF5" s="881"/>
      <c r="AG5" s="881"/>
      <c r="AH5" s="881"/>
      <c r="AI5" s="881"/>
      <c r="AJ5" s="15"/>
      <c r="AK5" s="15"/>
      <c r="AL5" s="15"/>
      <c r="AM5" s="58"/>
    </row>
    <row r="6" spans="1:39" ht="12" customHeight="1" thickBot="1" x14ac:dyDescent="0.25">
      <c r="A6" s="20"/>
      <c r="B6" s="928" t="s">
        <v>9</v>
      </c>
      <c r="C6" s="929"/>
      <c r="D6" s="929"/>
      <c r="E6" s="929"/>
      <c r="F6" s="929"/>
      <c r="G6" s="929"/>
      <c r="H6" s="929"/>
      <c r="I6" s="929"/>
      <c r="J6" s="929"/>
      <c r="K6" s="929"/>
      <c r="L6" s="929"/>
      <c r="M6" s="929"/>
      <c r="N6" s="929"/>
      <c r="O6" s="929"/>
      <c r="P6" s="929"/>
      <c r="Q6" s="929"/>
      <c r="R6" s="929"/>
      <c r="S6" s="929"/>
      <c r="T6" s="929"/>
      <c r="U6" s="929"/>
      <c r="V6" s="929"/>
      <c r="W6" s="930"/>
      <c r="X6" s="837"/>
      <c r="Y6" s="838"/>
      <c r="Z6" s="838"/>
      <c r="AA6" s="838"/>
      <c r="AB6" s="838"/>
      <c r="AC6" s="838"/>
      <c r="AD6" s="839"/>
      <c r="AE6" s="881"/>
      <c r="AF6" s="881"/>
      <c r="AG6" s="881"/>
      <c r="AH6" s="881"/>
      <c r="AI6" s="881"/>
      <c r="AJ6" s="15"/>
      <c r="AK6" s="15"/>
      <c r="AL6" s="15"/>
      <c r="AM6" s="58"/>
    </row>
    <row r="7" spans="1:39" ht="13.5" customHeight="1" thickBot="1" x14ac:dyDescent="0.25">
      <c r="A7" s="20"/>
      <c r="B7" s="878" t="s">
        <v>10</v>
      </c>
      <c r="C7" s="879"/>
      <c r="D7" s="879"/>
      <c r="E7" s="879"/>
      <c r="F7" s="879"/>
      <c r="G7" s="879"/>
      <c r="H7" s="879"/>
      <c r="I7" s="879"/>
      <c r="J7" s="879"/>
      <c r="K7" s="879"/>
      <c r="L7" s="879"/>
      <c r="M7" s="879"/>
      <c r="N7" s="879"/>
      <c r="O7" s="879"/>
      <c r="P7" s="879"/>
      <c r="Q7" s="879"/>
      <c r="R7" s="879"/>
      <c r="S7" s="879"/>
      <c r="T7" s="879"/>
      <c r="U7" s="879"/>
      <c r="V7" s="879"/>
      <c r="W7" s="880"/>
      <c r="X7" s="840"/>
      <c r="Y7" s="841"/>
      <c r="Z7" s="841"/>
      <c r="AA7" s="841"/>
      <c r="AB7" s="841"/>
      <c r="AC7" s="842"/>
      <c r="AD7" s="843"/>
      <c r="AE7" s="881"/>
      <c r="AF7" s="881"/>
      <c r="AG7" s="881"/>
      <c r="AH7" s="881"/>
      <c r="AI7" s="881"/>
    </row>
    <row r="8" spans="1:39" ht="14.25" customHeight="1" x14ac:dyDescent="0.2">
      <c r="A8" s="20"/>
      <c r="B8" s="763" t="s">
        <v>11</v>
      </c>
      <c r="C8" s="689" t="s">
        <v>12</v>
      </c>
      <c r="D8" s="690"/>
      <c r="E8" s="690"/>
      <c r="F8" s="895" t="s">
        <v>13</v>
      </c>
      <c r="G8" s="895" t="s">
        <v>13</v>
      </c>
      <c r="H8" s="746" t="s">
        <v>14</v>
      </c>
      <c r="I8" s="746"/>
      <c r="J8" s="747"/>
      <c r="K8" s="747"/>
      <c r="L8" s="747"/>
      <c r="M8" s="747"/>
      <c r="N8" s="747"/>
      <c r="O8" s="747"/>
      <c r="P8" s="747"/>
      <c r="Q8" s="747"/>
      <c r="R8" s="747"/>
      <c r="S8" s="747"/>
      <c r="T8" s="747"/>
      <c r="U8" s="747"/>
      <c r="V8" s="747"/>
      <c r="W8" s="748"/>
      <c r="X8" s="731" t="s">
        <v>15</v>
      </c>
      <c r="Y8" s="732"/>
      <c r="Z8" s="732"/>
      <c r="AA8" s="911"/>
      <c r="AB8" s="844" t="s">
        <v>16</v>
      </c>
      <c r="AC8" s="882" t="s">
        <v>17</v>
      </c>
      <c r="AD8" s="883"/>
      <c r="AE8" s="883"/>
      <c r="AF8" s="883"/>
      <c r="AG8" s="883"/>
      <c r="AH8" s="883"/>
      <c r="AI8" s="884"/>
    </row>
    <row r="9" spans="1:39" ht="11.25" customHeight="1" thickBot="1" x14ac:dyDescent="0.25">
      <c r="A9" s="20"/>
      <c r="B9" s="764"/>
      <c r="C9" s="691"/>
      <c r="D9" s="691"/>
      <c r="E9" s="691"/>
      <c r="F9" s="896"/>
      <c r="G9" s="896"/>
      <c r="H9" s="286"/>
      <c r="I9" s="282" t="s">
        <v>307</v>
      </c>
      <c r="J9" s="286"/>
      <c r="K9" s="282" t="s">
        <v>18</v>
      </c>
      <c r="L9" s="287"/>
      <c r="M9" s="287" t="s">
        <v>19</v>
      </c>
      <c r="N9" s="287"/>
      <c r="O9" s="282" t="s">
        <v>20</v>
      </c>
      <c r="P9" s="287"/>
      <c r="Q9" s="287" t="s">
        <v>309</v>
      </c>
      <c r="R9" s="287"/>
      <c r="S9" s="287" t="s">
        <v>21</v>
      </c>
      <c r="T9" s="287"/>
      <c r="U9" s="287" t="s">
        <v>22</v>
      </c>
      <c r="V9" s="287"/>
      <c r="W9" s="289" t="s">
        <v>23</v>
      </c>
      <c r="X9" s="733"/>
      <c r="Y9" s="734"/>
      <c r="Z9" s="734"/>
      <c r="AA9" s="912"/>
      <c r="AB9" s="845"/>
      <c r="AC9" s="885"/>
      <c r="AD9" s="886"/>
      <c r="AE9" s="886"/>
      <c r="AF9" s="886"/>
      <c r="AG9" s="886"/>
      <c r="AH9" s="886"/>
      <c r="AI9" s="887"/>
    </row>
    <row r="10" spans="1:39" ht="12.6" customHeight="1" x14ac:dyDescent="0.2">
      <c r="A10" s="20"/>
      <c r="B10" s="892" t="s">
        <v>808</v>
      </c>
      <c r="C10" s="893"/>
      <c r="D10" s="893"/>
      <c r="E10" s="894"/>
      <c r="F10" s="331">
        <v>557</v>
      </c>
      <c r="G10" s="363">
        <f t="shared" ref="G10" si="0">+F10*$X$1</f>
        <v>557</v>
      </c>
      <c r="H10" s="321"/>
      <c r="I10" s="404"/>
      <c r="J10" s="93">
        <f>F10+120</f>
        <v>677</v>
      </c>
      <c r="K10" s="331"/>
      <c r="L10" s="650"/>
      <c r="M10" s="331"/>
      <c r="N10" s="650">
        <f>F10+46</f>
        <v>603</v>
      </c>
      <c r="O10" s="331">
        <f t="shared" ref="O10" si="1">+N10*$X$1</f>
        <v>603</v>
      </c>
      <c r="P10" s="650">
        <f>F10+42</f>
        <v>599</v>
      </c>
      <c r="Q10" s="331">
        <f t="shared" ref="Q10" si="2">+P10*$X$1</f>
        <v>599</v>
      </c>
      <c r="R10" s="650">
        <f>F10+35</f>
        <v>592</v>
      </c>
      <c r="S10" s="331">
        <f t="shared" ref="S10" si="3">+R10*$X$1</f>
        <v>592</v>
      </c>
      <c r="T10" s="650">
        <f>F10+29</f>
        <v>586</v>
      </c>
      <c r="U10" s="331">
        <f t="shared" ref="U10" si="4">+T10*$X$1</f>
        <v>586</v>
      </c>
      <c r="V10" s="650">
        <f>F10+24</f>
        <v>581</v>
      </c>
      <c r="W10" s="331">
        <f t="shared" ref="W10" si="5">+V10*$X$1</f>
        <v>581</v>
      </c>
      <c r="X10" s="141"/>
      <c r="Y10" s="141"/>
      <c r="Z10" s="141"/>
      <c r="AA10" s="141"/>
      <c r="AB10" s="508">
        <v>13</v>
      </c>
      <c r="AE10" s="65"/>
      <c r="AF10" s="829" t="s">
        <v>24</v>
      </c>
      <c r="AG10" s="829"/>
      <c r="AH10" s="829"/>
    </row>
    <row r="11" spans="1:39" ht="12.6" customHeight="1" x14ac:dyDescent="0.2">
      <c r="A11" s="20"/>
      <c r="B11" s="877" t="s">
        <v>809</v>
      </c>
      <c r="C11" s="739"/>
      <c r="D11" s="739"/>
      <c r="E11" s="740"/>
      <c r="F11" s="330">
        <v>639</v>
      </c>
      <c r="G11" s="364">
        <f t="shared" ref="G11" si="6">+F11*$X$1</f>
        <v>639</v>
      </c>
      <c r="H11" s="322"/>
      <c r="I11" s="403"/>
      <c r="J11" s="75">
        <f>F11+120</f>
        <v>759</v>
      </c>
      <c r="K11" s="330"/>
      <c r="L11" s="368"/>
      <c r="M11" s="330"/>
      <c r="N11" s="368">
        <f>F11+46</f>
        <v>685</v>
      </c>
      <c r="O11" s="330">
        <f t="shared" ref="O11" si="7">+N11*$X$1</f>
        <v>685</v>
      </c>
      <c r="P11" s="368">
        <f>F11+42</f>
        <v>681</v>
      </c>
      <c r="Q11" s="330">
        <f t="shared" ref="Q11" si="8">+P11*$X$1</f>
        <v>681</v>
      </c>
      <c r="R11" s="368">
        <f>F11+35</f>
        <v>674</v>
      </c>
      <c r="S11" s="330">
        <f t="shared" ref="S11" si="9">+R11*$X$1</f>
        <v>674</v>
      </c>
      <c r="T11" s="368">
        <f>F11+29</f>
        <v>668</v>
      </c>
      <c r="U11" s="330">
        <f t="shared" ref="U11" si="10">+T11*$X$1</f>
        <v>668</v>
      </c>
      <c r="V11" s="368">
        <f>F11+24</f>
        <v>663</v>
      </c>
      <c r="W11" s="330">
        <f t="shared" ref="W11" si="11">+V11*$X$1</f>
        <v>663</v>
      </c>
      <c r="X11" s="141"/>
      <c r="Y11" s="141"/>
      <c r="Z11" s="141"/>
      <c r="AA11" s="141"/>
      <c r="AB11" s="37"/>
      <c r="AE11" s="65"/>
      <c r="AF11" s="829" t="s">
        <v>477</v>
      </c>
      <c r="AG11" s="829"/>
      <c r="AH11" s="829"/>
    </row>
    <row r="12" spans="1:39" ht="12.6" customHeight="1" x14ac:dyDescent="0.2">
      <c r="A12" s="20"/>
      <c r="B12" s="816" t="s">
        <v>807</v>
      </c>
      <c r="C12" s="695"/>
      <c r="D12" s="695"/>
      <c r="E12" s="695"/>
      <c r="F12" s="331">
        <v>960</v>
      </c>
      <c r="G12" s="363">
        <f t="shared" ref="G12:G13" si="12">+F12*$X$1</f>
        <v>960</v>
      </c>
      <c r="H12" s="321"/>
      <c r="I12" s="404"/>
      <c r="J12" s="656"/>
      <c r="K12" s="331"/>
      <c r="L12" s="650"/>
      <c r="M12" s="331"/>
      <c r="N12" s="650">
        <f>F12+46</f>
        <v>1006</v>
      </c>
      <c r="O12" s="331">
        <f t="shared" ref="O12" si="13">+N12*$X$1</f>
        <v>1006</v>
      </c>
      <c r="P12" s="650">
        <f>F12+42</f>
        <v>1002</v>
      </c>
      <c r="Q12" s="331">
        <f t="shared" ref="Q12" si="14">+P12*$X$1</f>
        <v>1002</v>
      </c>
      <c r="R12" s="650">
        <f>F12+35</f>
        <v>995</v>
      </c>
      <c r="S12" s="331">
        <f t="shared" ref="S12" si="15">+R12*$X$1</f>
        <v>995</v>
      </c>
      <c r="T12" s="650">
        <f>F12+29</f>
        <v>989</v>
      </c>
      <c r="U12" s="331">
        <f t="shared" ref="U12" si="16">+T12*$X$1</f>
        <v>989</v>
      </c>
      <c r="V12" s="650">
        <f>F12+24</f>
        <v>984</v>
      </c>
      <c r="W12" s="331">
        <f t="shared" ref="W12" si="17">+V12*$X$1</f>
        <v>984</v>
      </c>
      <c r="X12" s="141"/>
      <c r="Y12" s="141"/>
      <c r="Z12" s="141"/>
      <c r="AA12" s="141"/>
      <c r="AB12" s="508">
        <v>15</v>
      </c>
      <c r="AE12" s="65"/>
      <c r="AF12" s="829" t="s">
        <v>425</v>
      </c>
      <c r="AG12" s="829"/>
      <c r="AH12" s="829"/>
      <c r="AI12" s="65"/>
      <c r="AK12" s="1106"/>
      <c r="AL12" s="1106"/>
      <c r="AM12" s="1106"/>
    </row>
    <row r="13" spans="1:39" ht="12.6" customHeight="1" x14ac:dyDescent="0.2">
      <c r="A13" s="20"/>
      <c r="B13" s="877" t="s">
        <v>479</v>
      </c>
      <c r="C13" s="739"/>
      <c r="D13" s="739"/>
      <c r="E13" s="740"/>
      <c r="F13" s="330">
        <v>490</v>
      </c>
      <c r="G13" s="364">
        <f t="shared" si="12"/>
        <v>490</v>
      </c>
      <c r="H13" s="322"/>
      <c r="I13" s="403"/>
      <c r="J13" s="368">
        <f>F13+70</f>
        <v>560</v>
      </c>
      <c r="K13" s="330">
        <f t="shared" ref="K13:K14" si="18">+J13*$X$1</f>
        <v>560</v>
      </c>
      <c r="L13" s="368">
        <f>F13+60</f>
        <v>550</v>
      </c>
      <c r="M13" s="330">
        <f t="shared" ref="M13:M14" si="19">+L13*$X$1</f>
        <v>550</v>
      </c>
      <c r="N13" s="368">
        <f>F13+45</f>
        <v>535</v>
      </c>
      <c r="O13" s="330">
        <f t="shared" ref="O13:O14" si="20">+N13*$X$1</f>
        <v>535</v>
      </c>
      <c r="P13" s="368">
        <f>F13+38</f>
        <v>528</v>
      </c>
      <c r="Q13" s="330">
        <f t="shared" ref="Q13:Q14" si="21">+P13*$X$1</f>
        <v>528</v>
      </c>
      <c r="R13" s="368">
        <f>F13+34</f>
        <v>524</v>
      </c>
      <c r="S13" s="330">
        <f t="shared" ref="S13:S14" si="22">+R13*$X$1</f>
        <v>524</v>
      </c>
      <c r="T13" s="368">
        <f>F13+30</f>
        <v>520</v>
      </c>
      <c r="U13" s="330">
        <f t="shared" ref="U13:U14" si="23">+T13*$X$1</f>
        <v>520</v>
      </c>
      <c r="V13" s="368"/>
      <c r="W13" s="330"/>
      <c r="X13" s="141"/>
      <c r="Y13" s="141"/>
      <c r="Z13" s="141"/>
      <c r="AA13" s="141"/>
      <c r="AB13" s="508">
        <v>17</v>
      </c>
      <c r="AE13" s="65"/>
      <c r="AF13" s="829" t="s">
        <v>426</v>
      </c>
      <c r="AG13" s="829"/>
      <c r="AH13" s="829"/>
      <c r="AI13" s="65"/>
      <c r="AK13" s="228"/>
      <c r="AL13" s="228"/>
      <c r="AM13" s="228"/>
    </row>
    <row r="14" spans="1:39" ht="12.6" customHeight="1" x14ac:dyDescent="0.2">
      <c r="A14" s="20"/>
      <c r="B14" s="805" t="s">
        <v>825</v>
      </c>
      <c r="C14" s="761"/>
      <c r="D14" s="761"/>
      <c r="E14" s="762"/>
      <c r="F14" s="465">
        <f>29.8*X2</f>
        <v>27952.400000000001</v>
      </c>
      <c r="G14" s="363">
        <f>+F14*$X$1</f>
        <v>27952.400000000001</v>
      </c>
      <c r="H14" s="655">
        <f>F14+250</f>
        <v>28202.400000000001</v>
      </c>
      <c r="I14" s="331">
        <f t="shared" ref="I14" si="24">+H14*$X$1</f>
        <v>28202.400000000001</v>
      </c>
      <c r="J14" s="650">
        <f>F14+100</f>
        <v>28052.400000000001</v>
      </c>
      <c r="K14" s="331">
        <f t="shared" si="18"/>
        <v>28052.400000000001</v>
      </c>
      <c r="L14" s="650">
        <f>F14+90</f>
        <v>28042.400000000001</v>
      </c>
      <c r="M14" s="331">
        <f t="shared" si="19"/>
        <v>28042.400000000001</v>
      </c>
      <c r="N14" s="650">
        <f>F14+70</f>
        <v>28022.400000000001</v>
      </c>
      <c r="O14" s="331">
        <f t="shared" si="20"/>
        <v>28022.400000000001</v>
      </c>
      <c r="P14" s="650">
        <f>F14+60</f>
        <v>28012.400000000001</v>
      </c>
      <c r="Q14" s="331">
        <f t="shared" si="21"/>
        <v>28012.400000000001</v>
      </c>
      <c r="R14" s="650">
        <f>F14+55</f>
        <v>28007.4</v>
      </c>
      <c r="S14" s="331">
        <f t="shared" si="22"/>
        <v>28007.4</v>
      </c>
      <c r="T14" s="650">
        <f>F14+49</f>
        <v>28001.4</v>
      </c>
      <c r="U14" s="331">
        <f t="shared" si="23"/>
        <v>28001.4</v>
      </c>
      <c r="V14" s="650"/>
      <c r="W14" s="331"/>
      <c r="X14" s="687"/>
      <c r="Y14" s="804"/>
      <c r="Z14" s="804"/>
      <c r="AA14" s="688"/>
      <c r="AB14" s="508">
        <v>18</v>
      </c>
      <c r="AE14" s="76"/>
      <c r="AF14" s="865" t="s">
        <v>25</v>
      </c>
      <c r="AG14" s="865"/>
      <c r="AH14" s="865"/>
      <c r="AI14" s="865"/>
      <c r="AJ14" s="77"/>
    </row>
    <row r="15" spans="1:39" ht="12.6" customHeight="1" x14ac:dyDescent="0.2">
      <c r="A15" s="101"/>
      <c r="B15" s="877" t="s">
        <v>26</v>
      </c>
      <c r="C15" s="739"/>
      <c r="D15" s="739"/>
      <c r="E15" s="740"/>
      <c r="F15" s="466">
        <f>4.1*X2</f>
        <v>3845.7999999999997</v>
      </c>
      <c r="G15" s="364">
        <f>+F15*$X$1</f>
        <v>3845.7999999999997</v>
      </c>
      <c r="H15" s="380">
        <f>F15+250</f>
        <v>4095.7999999999997</v>
      </c>
      <c r="I15" s="330">
        <f t="shared" ref="I15:I16" si="25">+H15*$X$1</f>
        <v>4095.7999999999997</v>
      </c>
      <c r="J15" s="368"/>
      <c r="K15" s="332"/>
      <c r="L15" s="368"/>
      <c r="M15" s="330"/>
      <c r="N15" s="368"/>
      <c r="O15" s="330"/>
      <c r="P15" s="108"/>
      <c r="Q15" s="908" t="s">
        <v>153</v>
      </c>
      <c r="R15" s="909"/>
      <c r="S15" s="909"/>
      <c r="T15" s="909"/>
      <c r="U15" s="909"/>
      <c r="V15" s="909"/>
      <c r="W15" s="910"/>
      <c r="X15" s="687"/>
      <c r="Y15" s="804"/>
      <c r="Z15" s="804"/>
      <c r="AA15" s="688"/>
      <c r="AB15" s="508">
        <v>24</v>
      </c>
      <c r="AE15" s="76"/>
      <c r="AI15" s="102"/>
      <c r="AJ15" s="103"/>
    </row>
    <row r="16" spans="1:39" ht="12.6" customHeight="1" x14ac:dyDescent="0.2">
      <c r="A16" s="136"/>
      <c r="B16" s="809" t="s">
        <v>630</v>
      </c>
      <c r="C16" s="810"/>
      <c r="D16" s="810"/>
      <c r="E16" s="811"/>
      <c r="F16" s="465">
        <f>4.1*X2</f>
        <v>3845.7999999999997</v>
      </c>
      <c r="G16" s="363">
        <f>+F16*$X$1</f>
        <v>3845.7999999999997</v>
      </c>
      <c r="H16" s="380">
        <f>F16+250</f>
        <v>4095.7999999999997</v>
      </c>
      <c r="I16" s="331">
        <f t="shared" si="25"/>
        <v>4095.7999999999997</v>
      </c>
      <c r="J16" s="379"/>
      <c r="K16" s="333"/>
      <c r="L16" s="99"/>
      <c r="M16" s="333"/>
      <c r="N16" s="99">
        <f>F16+40</f>
        <v>3885.7999999999997</v>
      </c>
      <c r="O16" s="331"/>
      <c r="P16" s="321"/>
      <c r="Q16" s="913" t="s">
        <v>153</v>
      </c>
      <c r="R16" s="914"/>
      <c r="S16" s="914"/>
      <c r="T16" s="914"/>
      <c r="U16" s="914"/>
      <c r="V16" s="914"/>
      <c r="W16" s="915"/>
      <c r="X16" s="269"/>
      <c r="Y16" s="207"/>
      <c r="Z16" s="207"/>
      <c r="AA16" s="206"/>
      <c r="AB16" s="508">
        <v>25</v>
      </c>
      <c r="AE16" s="76"/>
      <c r="AI16" s="102"/>
      <c r="AJ16" s="103"/>
    </row>
    <row r="17" spans="1:37" ht="12.6" customHeight="1" x14ac:dyDescent="0.2">
      <c r="A17" s="101"/>
      <c r="B17" s="703" t="s">
        <v>476</v>
      </c>
      <c r="C17" s="803"/>
      <c r="D17" s="803"/>
      <c r="E17" s="803"/>
      <c r="F17" s="357"/>
      <c r="G17" s="358"/>
      <c r="H17" s="327"/>
      <c r="I17" s="408"/>
      <c r="J17" s="325"/>
      <c r="K17" s="332"/>
      <c r="L17" s="120"/>
      <c r="M17" s="332"/>
      <c r="N17" s="120"/>
      <c r="O17" s="330"/>
      <c r="P17" s="327"/>
      <c r="Q17" s="408"/>
      <c r="R17" s="325"/>
      <c r="S17" s="330"/>
      <c r="T17" s="120"/>
      <c r="U17" s="332"/>
      <c r="V17" s="120"/>
      <c r="W17" s="330"/>
      <c r="X17" s="269"/>
      <c r="Y17" s="252"/>
      <c r="Z17" s="252"/>
      <c r="AA17" s="251"/>
      <c r="AB17" s="508">
        <v>28</v>
      </c>
      <c r="AE17" s="76"/>
      <c r="AF17" s="865" t="s">
        <v>484</v>
      </c>
      <c r="AG17" s="865"/>
      <c r="AH17" s="865"/>
      <c r="AI17" s="876"/>
      <c r="AJ17" s="876"/>
    </row>
    <row r="18" spans="1:37" ht="12.6" customHeight="1" x14ac:dyDescent="0.2">
      <c r="A18" s="135"/>
      <c r="B18" s="809" t="s">
        <v>27</v>
      </c>
      <c r="C18" s="693"/>
      <c r="D18" s="693"/>
      <c r="E18" s="694"/>
      <c r="F18" s="331"/>
      <c r="G18" s="396"/>
      <c r="H18" s="321"/>
      <c r="I18" s="404"/>
      <c r="J18" s="97"/>
      <c r="K18" s="333"/>
      <c r="L18" s="97"/>
      <c r="M18" s="331"/>
      <c r="N18" s="97"/>
      <c r="O18" s="331"/>
      <c r="P18" s="107"/>
      <c r="Q18" s="331"/>
      <c r="R18" s="97"/>
      <c r="S18" s="331"/>
      <c r="T18" s="97"/>
      <c r="U18" s="331"/>
      <c r="V18" s="99"/>
      <c r="W18" s="331"/>
      <c r="X18" s="687"/>
      <c r="Y18" s="804"/>
      <c r="Z18" s="804"/>
      <c r="AA18" s="688"/>
      <c r="AB18" s="37"/>
      <c r="AF18" s="865" t="s">
        <v>441</v>
      </c>
      <c r="AG18" s="865"/>
      <c r="AH18" s="865"/>
      <c r="AI18" s="876"/>
      <c r="AJ18" s="876"/>
    </row>
    <row r="19" spans="1:37" ht="12.6" customHeight="1" x14ac:dyDescent="0.2">
      <c r="A19" s="20"/>
      <c r="B19" s="877" t="s">
        <v>28</v>
      </c>
      <c r="C19" s="739"/>
      <c r="D19" s="739"/>
      <c r="E19" s="740"/>
      <c r="F19" s="330">
        <v>4171</v>
      </c>
      <c r="G19" s="364">
        <f t="shared" ref="G19:G25" si="26">+F19*$X$1</f>
        <v>4171</v>
      </c>
      <c r="H19" s="380">
        <f>F19+250</f>
        <v>4421</v>
      </c>
      <c r="I19" s="330">
        <f t="shared" ref="I19:I20" si="27">+H19*$X$1</f>
        <v>4421</v>
      </c>
      <c r="J19" s="368">
        <f>F19+100</f>
        <v>4271</v>
      </c>
      <c r="K19" s="330">
        <f t="shared" ref="K19" si="28">+J19*$X$1</f>
        <v>4271</v>
      </c>
      <c r="L19" s="368">
        <f>F19+90</f>
        <v>4261</v>
      </c>
      <c r="M19" s="330">
        <f t="shared" ref="M19" si="29">+L19*$X$1</f>
        <v>4261</v>
      </c>
      <c r="N19" s="368">
        <f>F19+70</f>
        <v>4241</v>
      </c>
      <c r="O19" s="330">
        <f t="shared" ref="O19" si="30">+N19*$X$1</f>
        <v>4241</v>
      </c>
      <c r="P19" s="368">
        <f>F19+60</f>
        <v>4231</v>
      </c>
      <c r="Q19" s="330">
        <f t="shared" ref="Q19" si="31">+P19*$X$1</f>
        <v>4231</v>
      </c>
      <c r="R19" s="368">
        <f>F19+55</f>
        <v>4226</v>
      </c>
      <c r="S19" s="330">
        <f t="shared" ref="S19" si="32">+R19*$X$1</f>
        <v>4226</v>
      </c>
      <c r="T19" s="368">
        <f>F19+49</f>
        <v>4220</v>
      </c>
      <c r="U19" s="330">
        <f t="shared" ref="U19" si="33">+T19*$X$1</f>
        <v>4220</v>
      </c>
      <c r="V19" s="368"/>
      <c r="W19" s="330"/>
      <c r="X19" s="687"/>
      <c r="Y19" s="804"/>
      <c r="Z19" s="804"/>
      <c r="AA19" s="688"/>
      <c r="AB19" s="508" t="s">
        <v>29</v>
      </c>
      <c r="AE19" s="76"/>
      <c r="AF19" s="865" t="s">
        <v>442</v>
      </c>
      <c r="AG19" s="865"/>
      <c r="AH19" s="865"/>
      <c r="AI19" s="865"/>
      <c r="AJ19" s="77"/>
    </row>
    <row r="20" spans="1:37" ht="12.6" customHeight="1" x14ac:dyDescent="0.2">
      <c r="A20" s="20"/>
      <c r="B20" s="816" t="s">
        <v>30</v>
      </c>
      <c r="C20" s="695"/>
      <c r="D20" s="695"/>
      <c r="E20" s="695"/>
      <c r="F20" s="331">
        <v>4171</v>
      </c>
      <c r="G20" s="363">
        <f t="shared" ref="G20" si="34">+F20*$X$1</f>
        <v>4171</v>
      </c>
      <c r="H20" s="380">
        <f>F20+250</f>
        <v>4421</v>
      </c>
      <c r="I20" s="331">
        <f t="shared" si="27"/>
        <v>4421</v>
      </c>
      <c r="J20" s="456">
        <f>F20+100</f>
        <v>4271</v>
      </c>
      <c r="K20" s="331">
        <f t="shared" ref="K20" si="35">+J20*$X$1</f>
        <v>4271</v>
      </c>
      <c r="L20" s="456">
        <f>F20+90</f>
        <v>4261</v>
      </c>
      <c r="M20" s="331">
        <f t="shared" ref="M20" si="36">+L20*$X$1</f>
        <v>4261</v>
      </c>
      <c r="N20" s="456">
        <f>F20+70</f>
        <v>4241</v>
      </c>
      <c r="O20" s="331">
        <f t="shared" ref="O20" si="37">+N20*$X$1</f>
        <v>4241</v>
      </c>
      <c r="P20" s="456">
        <f>F20+60</f>
        <v>4231</v>
      </c>
      <c r="Q20" s="331">
        <f t="shared" ref="Q20" si="38">+P20*$X$1</f>
        <v>4231</v>
      </c>
      <c r="R20" s="456">
        <f>F20+55</f>
        <v>4226</v>
      </c>
      <c r="S20" s="331">
        <f t="shared" ref="S20" si="39">+R20*$X$1</f>
        <v>4226</v>
      </c>
      <c r="T20" s="456">
        <f>F20+49</f>
        <v>4220</v>
      </c>
      <c r="U20" s="331">
        <f t="shared" ref="U20" si="40">+T20*$X$1</f>
        <v>4220</v>
      </c>
      <c r="V20" s="456"/>
      <c r="W20" s="331"/>
      <c r="X20" s="687"/>
      <c r="Y20" s="804"/>
      <c r="Z20" s="804"/>
      <c r="AA20" s="688"/>
      <c r="AB20" s="508" t="s">
        <v>31</v>
      </c>
      <c r="AE20" s="76"/>
      <c r="AF20" s="865" t="s">
        <v>462</v>
      </c>
      <c r="AG20" s="865"/>
      <c r="AH20" s="865"/>
      <c r="AI20" s="865"/>
      <c r="AJ20" s="876"/>
    </row>
    <row r="21" spans="1:37" ht="12.6" customHeight="1" x14ac:dyDescent="0.2">
      <c r="A21" s="20"/>
      <c r="B21" s="703" t="s">
        <v>396</v>
      </c>
      <c r="C21" s="697"/>
      <c r="D21" s="697"/>
      <c r="E21" s="697"/>
      <c r="F21" s="330">
        <v>595</v>
      </c>
      <c r="G21" s="414">
        <f t="shared" si="26"/>
        <v>595</v>
      </c>
      <c r="H21" s="327"/>
      <c r="I21" s="432"/>
      <c r="J21" s="224"/>
      <c r="K21" s="332"/>
      <c r="L21" s="120"/>
      <c r="M21" s="332"/>
      <c r="N21" s="120"/>
      <c r="O21" s="330"/>
      <c r="P21" s="322"/>
      <c r="Q21" s="403"/>
      <c r="R21" s="368"/>
      <c r="S21" s="330"/>
      <c r="T21" s="368"/>
      <c r="U21" s="330"/>
      <c r="V21" s="368"/>
      <c r="W21" s="330"/>
      <c r="X21" s="141"/>
      <c r="Y21" s="141"/>
      <c r="Z21" s="141"/>
      <c r="AA21" s="141"/>
      <c r="AB21" s="508">
        <v>35</v>
      </c>
      <c r="AE21" s="76"/>
      <c r="AF21" s="865" t="s">
        <v>397</v>
      </c>
      <c r="AG21" s="876"/>
      <c r="AH21" s="876"/>
      <c r="AI21" s="876"/>
      <c r="AJ21" s="77"/>
    </row>
    <row r="22" spans="1:37" ht="12.6" customHeight="1" x14ac:dyDescent="0.2">
      <c r="A22" s="20"/>
      <c r="B22" s="816" t="s">
        <v>395</v>
      </c>
      <c r="C22" s="695"/>
      <c r="D22" s="695"/>
      <c r="E22" s="695"/>
      <c r="F22" s="331">
        <v>1930</v>
      </c>
      <c r="G22" s="396">
        <f t="shared" si="26"/>
        <v>1930</v>
      </c>
      <c r="H22" s="321"/>
      <c r="I22" s="404"/>
      <c r="J22" s="130"/>
      <c r="K22" s="331"/>
      <c r="L22" s="456"/>
      <c r="M22" s="331"/>
      <c r="N22" s="456"/>
      <c r="O22" s="331"/>
      <c r="P22" s="321"/>
      <c r="Q22" s="404"/>
      <c r="R22" s="456"/>
      <c r="S22" s="433"/>
      <c r="T22" s="107"/>
      <c r="U22" s="371"/>
      <c r="V22" s="107"/>
      <c r="W22" s="331"/>
      <c r="X22" s="141"/>
      <c r="Y22" s="141"/>
      <c r="Z22" s="141"/>
      <c r="AA22" s="141"/>
      <c r="AB22" s="508">
        <v>36</v>
      </c>
      <c r="AE22" s="76"/>
      <c r="AF22" s="865" t="s">
        <v>568</v>
      </c>
      <c r="AG22" s="865"/>
      <c r="AH22" s="865"/>
      <c r="AI22" s="865"/>
      <c r="AJ22" s="77"/>
    </row>
    <row r="23" spans="1:37" ht="12.6" customHeight="1" x14ac:dyDescent="0.2">
      <c r="A23" s="20"/>
      <c r="B23" s="703" t="s">
        <v>32</v>
      </c>
      <c r="C23" s="697"/>
      <c r="D23" s="697"/>
      <c r="E23" s="697"/>
      <c r="F23" s="330">
        <v>1930</v>
      </c>
      <c r="G23" s="358">
        <f t="shared" si="26"/>
        <v>1930</v>
      </c>
      <c r="H23" s="327"/>
      <c r="I23" s="408"/>
      <c r="J23" s="131"/>
      <c r="K23" s="330"/>
      <c r="L23" s="368"/>
      <c r="M23" s="330"/>
      <c r="N23" s="368"/>
      <c r="O23" s="330"/>
      <c r="P23" s="327"/>
      <c r="Q23" s="408"/>
      <c r="R23" s="368"/>
      <c r="S23" s="375"/>
      <c r="T23" s="368"/>
      <c r="U23" s="330"/>
      <c r="V23" s="368"/>
      <c r="W23" s="330"/>
      <c r="X23" s="141"/>
      <c r="Y23" s="141"/>
      <c r="Z23" s="141"/>
      <c r="AA23" s="141"/>
      <c r="AB23" s="508" t="s">
        <v>33</v>
      </c>
      <c r="AE23" s="76"/>
      <c r="AF23" s="865" t="s">
        <v>34</v>
      </c>
      <c r="AG23" s="865"/>
      <c r="AH23" s="865"/>
      <c r="AI23" s="865"/>
      <c r="AJ23" s="77"/>
    </row>
    <row r="24" spans="1:37" ht="12.6" customHeight="1" x14ac:dyDescent="0.2">
      <c r="A24" s="20"/>
      <c r="B24" s="816" t="s">
        <v>35</v>
      </c>
      <c r="C24" s="695"/>
      <c r="D24" s="695"/>
      <c r="E24" s="695"/>
      <c r="F24" s="331"/>
      <c r="G24" s="396"/>
      <c r="H24" s="321"/>
      <c r="I24" s="404"/>
      <c r="J24" s="130"/>
      <c r="K24" s="333"/>
      <c r="L24" s="99"/>
      <c r="M24" s="333"/>
      <c r="N24" s="99"/>
      <c r="O24" s="333"/>
      <c r="P24" s="99"/>
      <c r="Q24" s="333"/>
      <c r="R24" s="99"/>
      <c r="S24" s="459"/>
      <c r="T24" s="99"/>
      <c r="U24" s="410"/>
      <c r="V24" s="99"/>
      <c r="W24" s="333"/>
      <c r="X24" s="141"/>
      <c r="Y24" s="141"/>
      <c r="Z24" s="141"/>
      <c r="AA24" s="141"/>
      <c r="AB24" s="508" t="s">
        <v>36</v>
      </c>
      <c r="AD24" s="25"/>
      <c r="AE24" s="78"/>
      <c r="AF24" s="865" t="s">
        <v>37</v>
      </c>
      <c r="AG24" s="876"/>
      <c r="AH24" s="876"/>
      <c r="AI24" s="876"/>
      <c r="AJ24" s="77"/>
    </row>
    <row r="25" spans="1:37" ht="12.6" customHeight="1" x14ac:dyDescent="0.2">
      <c r="A25" s="20"/>
      <c r="B25" s="877" t="s">
        <v>38</v>
      </c>
      <c r="C25" s="739"/>
      <c r="D25" s="739"/>
      <c r="E25" s="740"/>
      <c r="F25" s="460">
        <f>6.35*X2</f>
        <v>5956.2999999999993</v>
      </c>
      <c r="G25" s="330">
        <f t="shared" si="26"/>
        <v>5956.2999999999993</v>
      </c>
      <c r="H25" s="322"/>
      <c r="I25" s="403"/>
      <c r="J25" s="665"/>
      <c r="K25" s="330"/>
      <c r="L25" s="665">
        <f>F25+90</f>
        <v>6046.2999999999993</v>
      </c>
      <c r="M25" s="330">
        <f t="shared" ref="M25" si="41">+L25*$X$1</f>
        <v>6046.2999999999993</v>
      </c>
      <c r="N25" s="665">
        <f>F25+70</f>
        <v>6026.2999999999993</v>
      </c>
      <c r="O25" s="330">
        <f t="shared" ref="O25" si="42">+N25*$X$1</f>
        <v>6026.2999999999993</v>
      </c>
      <c r="P25" s="665">
        <f>F25+60</f>
        <v>6016.2999999999993</v>
      </c>
      <c r="Q25" s="330">
        <f t="shared" ref="Q25" si="43">+P25*$X$1</f>
        <v>6016.2999999999993</v>
      </c>
      <c r="R25" s="665">
        <f>F25+55</f>
        <v>6011.2999999999993</v>
      </c>
      <c r="S25" s="330">
        <f t="shared" ref="S25" si="44">+R25*$X$1</f>
        <v>6011.2999999999993</v>
      </c>
      <c r="T25" s="665">
        <f>F25+49</f>
        <v>6005.2999999999993</v>
      </c>
      <c r="U25" s="330">
        <f t="shared" ref="U25" si="45">+T25*$X$1</f>
        <v>6005.2999999999993</v>
      </c>
      <c r="V25" s="665"/>
      <c r="W25" s="330"/>
      <c r="X25" s="687"/>
      <c r="Y25" s="818"/>
      <c r="Z25" s="818"/>
      <c r="AA25" s="715"/>
      <c r="AB25" s="508">
        <v>39</v>
      </c>
      <c r="AE25" s="76"/>
      <c r="AF25" s="865" t="s">
        <v>870</v>
      </c>
      <c r="AG25" s="865"/>
      <c r="AH25" s="865"/>
      <c r="AI25" s="876"/>
      <c r="AJ25" s="876"/>
    </row>
    <row r="26" spans="1:37" ht="12.6" customHeight="1" x14ac:dyDescent="0.2">
      <c r="A26" s="20"/>
      <c r="B26" s="1091" t="s">
        <v>39</v>
      </c>
      <c r="C26" s="1092"/>
      <c r="D26" s="1092"/>
      <c r="E26" s="1093"/>
      <c r="F26" s="333"/>
      <c r="G26" s="331"/>
      <c r="H26" s="321"/>
      <c r="I26" s="404"/>
      <c r="J26" s="130"/>
      <c r="K26" s="331"/>
      <c r="L26" s="650"/>
      <c r="M26" s="331"/>
      <c r="N26" s="650"/>
      <c r="O26" s="331"/>
      <c r="P26" s="323"/>
      <c r="Q26" s="331"/>
      <c r="R26" s="650"/>
      <c r="S26" s="331"/>
      <c r="T26" s="650"/>
      <c r="U26" s="331"/>
      <c r="V26" s="650"/>
      <c r="W26" s="331"/>
      <c r="X26" s="140"/>
      <c r="Y26" s="141"/>
      <c r="Z26" s="141"/>
      <c r="AA26" s="141"/>
      <c r="AB26" s="508" t="s">
        <v>40</v>
      </c>
      <c r="AE26" s="76"/>
      <c r="AF26" s="865" t="s">
        <v>41</v>
      </c>
      <c r="AG26" s="865"/>
      <c r="AH26" s="865"/>
      <c r="AI26" s="865"/>
      <c r="AJ26" s="77"/>
    </row>
    <row r="27" spans="1:37" ht="12.6" customHeight="1" x14ac:dyDescent="0.2">
      <c r="A27" s="20"/>
      <c r="B27" s="703" t="s">
        <v>42</v>
      </c>
      <c r="C27" s="697"/>
      <c r="D27" s="697"/>
      <c r="E27" s="697"/>
      <c r="F27" s="460"/>
      <c r="G27" s="330"/>
      <c r="H27" s="322"/>
      <c r="I27" s="403"/>
      <c r="J27" s="665"/>
      <c r="K27" s="330"/>
      <c r="L27" s="665">
        <f>6.5*X2</f>
        <v>6097</v>
      </c>
      <c r="M27" s="330">
        <f t="shared" ref="M27" si="46">+L27*$X$1</f>
        <v>6097</v>
      </c>
      <c r="N27" s="665">
        <f>6.4*X2</f>
        <v>6003.2000000000007</v>
      </c>
      <c r="O27" s="330">
        <f t="shared" ref="O27" si="47">+N27*$X$1</f>
        <v>6003.2000000000007</v>
      </c>
      <c r="P27" s="373">
        <f>6.2*X2</f>
        <v>5815.6</v>
      </c>
      <c r="Q27" s="330">
        <f t="shared" ref="Q27" si="48">+P27*$X$1</f>
        <v>5815.6</v>
      </c>
      <c r="R27" s="665">
        <f>6*X2</f>
        <v>5628</v>
      </c>
      <c r="S27" s="330">
        <f t="shared" ref="S27" si="49">+R27*$X$1</f>
        <v>5628</v>
      </c>
      <c r="T27" s="665">
        <f>5.9*X2</f>
        <v>5534.2000000000007</v>
      </c>
      <c r="U27" s="330">
        <f t="shared" ref="U27" si="50">+T27*$X$1</f>
        <v>5534.2000000000007</v>
      </c>
      <c r="V27" s="665"/>
      <c r="W27" s="330"/>
      <c r="X27" s="907"/>
      <c r="Y27" s="818"/>
      <c r="Z27" s="818"/>
      <c r="AA27" s="715"/>
      <c r="AB27" s="508">
        <v>40</v>
      </c>
      <c r="AE27" s="76"/>
      <c r="AF27" s="865" t="s">
        <v>43</v>
      </c>
      <c r="AG27" s="865"/>
      <c r="AH27" s="865"/>
      <c r="AI27" s="865"/>
      <c r="AJ27" s="876"/>
    </row>
    <row r="28" spans="1:37" ht="12.6" customHeight="1" x14ac:dyDescent="0.2">
      <c r="A28" s="20"/>
      <c r="B28" s="809" t="s">
        <v>413</v>
      </c>
      <c r="C28" s="693"/>
      <c r="D28" s="693"/>
      <c r="E28" s="694"/>
      <c r="F28" s="465">
        <f>8.3*X2</f>
        <v>7785.4000000000005</v>
      </c>
      <c r="G28" s="331">
        <f>+F28*$X$1</f>
        <v>7785.4000000000005</v>
      </c>
      <c r="H28" s="321"/>
      <c r="I28" s="404"/>
      <c r="J28" s="650">
        <f>F28+100</f>
        <v>7885.4000000000005</v>
      </c>
      <c r="K28" s="331">
        <f t="shared" ref="K28" si="51">+J28*$X$1</f>
        <v>7885.4000000000005</v>
      </c>
      <c r="L28" s="650">
        <f>F28+80</f>
        <v>7865.4000000000005</v>
      </c>
      <c r="M28" s="331">
        <f t="shared" ref="M28:M29" si="52">+L28*$X$1</f>
        <v>7865.4000000000005</v>
      </c>
      <c r="N28" s="650">
        <f>F28+70</f>
        <v>7855.4000000000005</v>
      </c>
      <c r="O28" s="331">
        <f t="shared" ref="O28:O29" si="53">+N28*$X$1</f>
        <v>7855.4000000000005</v>
      </c>
      <c r="P28" s="650">
        <f>F28+60</f>
        <v>7845.4000000000005</v>
      </c>
      <c r="Q28" s="331">
        <f t="shared" ref="Q28:Q29" si="54">+P28*$X$1</f>
        <v>7845.4000000000005</v>
      </c>
      <c r="R28" s="650">
        <f>F28+55</f>
        <v>7840.4000000000005</v>
      </c>
      <c r="S28" s="331">
        <f t="shared" ref="S28:S29" si="55">+R28*$X$1</f>
        <v>7840.4000000000005</v>
      </c>
      <c r="T28" s="650">
        <f>F28+51</f>
        <v>7836.4000000000005</v>
      </c>
      <c r="U28" s="331">
        <f t="shared" ref="U28:U29" si="56">+T28*$X$1</f>
        <v>7836.4000000000005</v>
      </c>
      <c r="V28" s="650"/>
      <c r="W28" s="331"/>
      <c r="X28" s="230"/>
      <c r="Y28" s="178"/>
      <c r="Z28" s="178"/>
      <c r="AA28" s="179"/>
      <c r="AB28" s="508">
        <v>44</v>
      </c>
      <c r="AE28" s="76"/>
      <c r="AF28" s="865" t="s">
        <v>398</v>
      </c>
      <c r="AG28" s="865"/>
      <c r="AH28" s="865"/>
      <c r="AI28" s="865"/>
      <c r="AJ28" s="865"/>
      <c r="AK28" s="69"/>
    </row>
    <row r="29" spans="1:37" ht="12.6" customHeight="1" x14ac:dyDescent="0.2">
      <c r="A29" s="20"/>
      <c r="B29" s="789" t="s">
        <v>781</v>
      </c>
      <c r="C29" s="790"/>
      <c r="D29" s="790"/>
      <c r="E29" s="790"/>
      <c r="F29" s="460">
        <f>0.485*X2</f>
        <v>454.93</v>
      </c>
      <c r="G29" s="330">
        <f>+F29*$X$1</f>
        <v>454.93</v>
      </c>
      <c r="H29" s="322"/>
      <c r="I29" s="403"/>
      <c r="J29" s="553"/>
      <c r="K29" s="330"/>
      <c r="L29" s="368">
        <f>F29+74</f>
        <v>528.93000000000006</v>
      </c>
      <c r="M29" s="330">
        <f t="shared" si="52"/>
        <v>528.93000000000006</v>
      </c>
      <c r="N29" s="368">
        <f>F29+50</f>
        <v>504.93</v>
      </c>
      <c r="O29" s="330">
        <f t="shared" si="53"/>
        <v>504.93</v>
      </c>
      <c r="P29" s="368">
        <f>F29+45</f>
        <v>499.93</v>
      </c>
      <c r="Q29" s="330">
        <f t="shared" si="54"/>
        <v>499.93</v>
      </c>
      <c r="R29" s="368">
        <f>F29+40</f>
        <v>494.93</v>
      </c>
      <c r="S29" s="330">
        <f t="shared" si="55"/>
        <v>494.93</v>
      </c>
      <c r="T29" s="368">
        <f>F29+34</f>
        <v>488.93</v>
      </c>
      <c r="U29" s="330">
        <f t="shared" si="56"/>
        <v>488.93</v>
      </c>
      <c r="V29" s="368">
        <f>F29+29</f>
        <v>483.93</v>
      </c>
      <c r="W29" s="330">
        <f t="shared" ref="W29" si="57">+V29*$X$1</f>
        <v>483.93</v>
      </c>
      <c r="X29" s="141"/>
      <c r="Y29" s="141"/>
      <c r="Z29" s="141"/>
      <c r="AA29" s="141"/>
      <c r="AB29" s="508">
        <v>45</v>
      </c>
      <c r="AF29" s="865" t="s">
        <v>869</v>
      </c>
      <c r="AG29" s="865"/>
      <c r="AH29" s="865"/>
      <c r="AI29" s="865"/>
      <c r="AJ29" s="865"/>
    </row>
    <row r="30" spans="1:37" ht="12.6" customHeight="1" x14ac:dyDescent="0.2">
      <c r="A30" s="20"/>
      <c r="B30" s="816" t="s">
        <v>44</v>
      </c>
      <c r="C30" s="695"/>
      <c r="D30" s="695"/>
      <c r="E30" s="695"/>
      <c r="F30" s="331">
        <v>510</v>
      </c>
      <c r="G30" s="363">
        <f t="shared" ref="G30:G38" si="58">+F30*$X$1</f>
        <v>510</v>
      </c>
      <c r="H30" s="933" t="s">
        <v>45</v>
      </c>
      <c r="I30" s="933"/>
      <c r="J30" s="934"/>
      <c r="K30" s="935"/>
      <c r="L30" s="321"/>
      <c r="M30" s="404"/>
      <c r="N30" s="94">
        <v>1523</v>
      </c>
      <c r="O30" s="363">
        <f t="shared" ref="O30:O41" si="59">+N30*$X$1</f>
        <v>1523</v>
      </c>
      <c r="P30" s="323">
        <v>1404</v>
      </c>
      <c r="Q30" s="475">
        <f t="shared" ref="Q30:S54" si="60">+P30*$X$1</f>
        <v>1404</v>
      </c>
      <c r="R30" s="107">
        <v>1304</v>
      </c>
      <c r="S30" s="356">
        <f t="shared" si="60"/>
        <v>1304</v>
      </c>
      <c r="T30" s="650">
        <v>1206</v>
      </c>
      <c r="U30" s="356">
        <f t="shared" ref="U30:U47" si="61">+T30*$X$1</f>
        <v>1206</v>
      </c>
      <c r="V30" s="650">
        <v>1171</v>
      </c>
      <c r="W30" s="331">
        <f t="shared" ref="W30:W47" si="62">+V30*$X$1</f>
        <v>1171</v>
      </c>
      <c r="X30" s="687"/>
      <c r="Y30" s="818"/>
      <c r="Z30" s="818"/>
      <c r="AA30" s="715"/>
      <c r="AB30" s="508" t="s">
        <v>46</v>
      </c>
      <c r="AE30" s="76"/>
      <c r="AF30" s="865" t="s">
        <v>670</v>
      </c>
      <c r="AG30" s="865"/>
      <c r="AH30" s="865"/>
      <c r="AI30" s="865"/>
      <c r="AJ30" s="865"/>
    </row>
    <row r="31" spans="1:37" ht="12.6" customHeight="1" x14ac:dyDescent="0.2">
      <c r="A31" s="20"/>
      <c r="B31" s="703" t="s">
        <v>47</v>
      </c>
      <c r="C31" s="697"/>
      <c r="D31" s="697"/>
      <c r="E31" s="697"/>
      <c r="F31" s="330">
        <v>510</v>
      </c>
      <c r="G31" s="364">
        <f t="shared" si="58"/>
        <v>510</v>
      </c>
      <c r="H31" s="936" t="s">
        <v>45</v>
      </c>
      <c r="I31" s="936"/>
      <c r="J31" s="937"/>
      <c r="K31" s="938"/>
      <c r="L31" s="322"/>
      <c r="M31" s="403"/>
      <c r="N31" s="90">
        <v>1523</v>
      </c>
      <c r="O31" s="364">
        <f t="shared" ref="O31:O34" si="63">+N31*$X$1</f>
        <v>1523</v>
      </c>
      <c r="P31" s="373">
        <v>1404</v>
      </c>
      <c r="Q31" s="476">
        <f t="shared" ref="Q31:Q34" si="64">+P31*$X$1</f>
        <v>1404</v>
      </c>
      <c r="R31" s="108">
        <v>1304</v>
      </c>
      <c r="S31" s="293">
        <f t="shared" ref="S31:S34" si="65">+R31*$X$1</f>
        <v>1304</v>
      </c>
      <c r="T31" s="665">
        <v>1206</v>
      </c>
      <c r="U31" s="293">
        <f t="shared" ref="U31:U34" si="66">+T31*$X$1</f>
        <v>1206</v>
      </c>
      <c r="V31" s="665">
        <v>1171</v>
      </c>
      <c r="W31" s="330">
        <f t="shared" ref="W31:W34" si="67">+V31*$X$1</f>
        <v>1171</v>
      </c>
      <c r="X31" s="687"/>
      <c r="Y31" s="818"/>
      <c r="Z31" s="818"/>
      <c r="AA31" s="715"/>
      <c r="AB31" s="508" t="s">
        <v>48</v>
      </c>
    </row>
    <row r="32" spans="1:37" ht="12.6" customHeight="1" x14ac:dyDescent="0.2">
      <c r="A32" s="20"/>
      <c r="B32" s="816" t="s">
        <v>49</v>
      </c>
      <c r="C32" s="695"/>
      <c r="D32" s="695"/>
      <c r="E32" s="695"/>
      <c r="F32" s="331">
        <v>510</v>
      </c>
      <c r="G32" s="363">
        <f t="shared" si="58"/>
        <v>510</v>
      </c>
      <c r="H32" s="800" t="s">
        <v>45</v>
      </c>
      <c r="I32" s="800"/>
      <c r="J32" s="801"/>
      <c r="K32" s="802"/>
      <c r="L32" s="321"/>
      <c r="M32" s="404"/>
      <c r="N32" s="94">
        <v>1523</v>
      </c>
      <c r="O32" s="363">
        <f t="shared" si="63"/>
        <v>1523</v>
      </c>
      <c r="P32" s="323">
        <v>1404</v>
      </c>
      <c r="Q32" s="475">
        <f t="shared" si="64"/>
        <v>1404</v>
      </c>
      <c r="R32" s="107">
        <v>1304</v>
      </c>
      <c r="S32" s="356">
        <f t="shared" si="65"/>
        <v>1304</v>
      </c>
      <c r="T32" s="650">
        <v>1206</v>
      </c>
      <c r="U32" s="356">
        <f t="shared" si="66"/>
        <v>1206</v>
      </c>
      <c r="V32" s="650">
        <v>1171</v>
      </c>
      <c r="W32" s="331">
        <f t="shared" si="67"/>
        <v>1171</v>
      </c>
      <c r="X32" s="687"/>
      <c r="Y32" s="818"/>
      <c r="Z32" s="818"/>
      <c r="AA32" s="715"/>
      <c r="AB32" s="508" t="s">
        <v>50</v>
      </c>
    </row>
    <row r="33" spans="1:28" ht="12.6" customHeight="1" x14ac:dyDescent="0.2">
      <c r="A33" s="20"/>
      <c r="B33" s="703" t="s">
        <v>51</v>
      </c>
      <c r="C33" s="697"/>
      <c r="D33" s="697"/>
      <c r="E33" s="697"/>
      <c r="F33" s="330">
        <v>510</v>
      </c>
      <c r="G33" s="364">
        <f t="shared" si="58"/>
        <v>510</v>
      </c>
      <c r="H33" s="936" t="s">
        <v>45</v>
      </c>
      <c r="I33" s="936"/>
      <c r="J33" s="937"/>
      <c r="K33" s="938"/>
      <c r="L33" s="322"/>
      <c r="M33" s="403"/>
      <c r="N33" s="90">
        <v>1523</v>
      </c>
      <c r="O33" s="364">
        <f t="shared" si="63"/>
        <v>1523</v>
      </c>
      <c r="P33" s="373">
        <v>1404</v>
      </c>
      <c r="Q33" s="476">
        <f t="shared" si="64"/>
        <v>1404</v>
      </c>
      <c r="R33" s="108">
        <v>1304</v>
      </c>
      <c r="S33" s="293">
        <f t="shared" si="65"/>
        <v>1304</v>
      </c>
      <c r="T33" s="665">
        <v>1206</v>
      </c>
      <c r="U33" s="293">
        <f t="shared" si="66"/>
        <v>1206</v>
      </c>
      <c r="V33" s="665">
        <v>1171</v>
      </c>
      <c r="W33" s="330">
        <f t="shared" si="67"/>
        <v>1171</v>
      </c>
      <c r="X33" s="687"/>
      <c r="Y33" s="818"/>
      <c r="Z33" s="818"/>
      <c r="AA33" s="715"/>
      <c r="AB33" s="508" t="s">
        <v>52</v>
      </c>
    </row>
    <row r="34" spans="1:28" ht="12.6" customHeight="1" x14ac:dyDescent="0.2">
      <c r="A34" s="20"/>
      <c r="B34" s="816" t="s">
        <v>53</v>
      </c>
      <c r="C34" s="695"/>
      <c r="D34" s="695"/>
      <c r="E34" s="695"/>
      <c r="F34" s="331">
        <v>510</v>
      </c>
      <c r="G34" s="363">
        <f t="shared" si="58"/>
        <v>510</v>
      </c>
      <c r="H34" s="800" t="s">
        <v>45</v>
      </c>
      <c r="I34" s="800"/>
      <c r="J34" s="801"/>
      <c r="K34" s="802"/>
      <c r="L34" s="321"/>
      <c r="M34" s="404"/>
      <c r="N34" s="94">
        <v>1523</v>
      </c>
      <c r="O34" s="363">
        <f t="shared" si="63"/>
        <v>1523</v>
      </c>
      <c r="P34" s="323">
        <v>1404</v>
      </c>
      <c r="Q34" s="475">
        <f t="shared" si="64"/>
        <v>1404</v>
      </c>
      <c r="R34" s="107">
        <v>1304</v>
      </c>
      <c r="S34" s="356">
        <f t="shared" si="65"/>
        <v>1304</v>
      </c>
      <c r="T34" s="650">
        <v>1206</v>
      </c>
      <c r="U34" s="356">
        <f t="shared" si="66"/>
        <v>1206</v>
      </c>
      <c r="V34" s="650">
        <v>1171</v>
      </c>
      <c r="W34" s="331">
        <f t="shared" si="67"/>
        <v>1171</v>
      </c>
      <c r="X34" s="687"/>
      <c r="Y34" s="818"/>
      <c r="Z34" s="818"/>
      <c r="AA34" s="715"/>
      <c r="AB34" s="508" t="s">
        <v>54</v>
      </c>
    </row>
    <row r="35" spans="1:28" ht="12.6" customHeight="1" x14ac:dyDescent="0.25">
      <c r="A35" s="20"/>
      <c r="B35" s="703" t="s">
        <v>55</v>
      </c>
      <c r="C35" s="697"/>
      <c r="D35" s="697"/>
      <c r="E35" s="697"/>
      <c r="F35" s="330">
        <v>510</v>
      </c>
      <c r="G35" s="364">
        <f t="shared" si="58"/>
        <v>510</v>
      </c>
      <c r="H35" s="936" t="s">
        <v>45</v>
      </c>
      <c r="I35" s="936"/>
      <c r="J35" s="937"/>
      <c r="K35" s="938"/>
      <c r="L35" s="322"/>
      <c r="M35" s="403"/>
      <c r="N35" s="90">
        <v>1322</v>
      </c>
      <c r="O35" s="364">
        <f t="shared" si="59"/>
        <v>1322</v>
      </c>
      <c r="P35" s="373">
        <v>1214</v>
      </c>
      <c r="Q35" s="476">
        <f t="shared" si="60"/>
        <v>1214</v>
      </c>
      <c r="R35" s="665">
        <v>1118</v>
      </c>
      <c r="S35" s="293">
        <f t="shared" si="60"/>
        <v>1118</v>
      </c>
      <c r="T35" s="665">
        <v>1042</v>
      </c>
      <c r="U35" s="293">
        <f t="shared" si="61"/>
        <v>1042</v>
      </c>
      <c r="V35" s="665">
        <v>995</v>
      </c>
      <c r="W35" s="330">
        <f t="shared" si="62"/>
        <v>995</v>
      </c>
      <c r="X35" s="687"/>
      <c r="Y35" s="897"/>
      <c r="Z35" s="897"/>
      <c r="AA35" s="898"/>
      <c r="AB35" s="508" t="s">
        <v>525</v>
      </c>
    </row>
    <row r="36" spans="1:28" ht="12.6" customHeight="1" x14ac:dyDescent="0.2">
      <c r="A36" s="20"/>
      <c r="B36" s="816" t="s">
        <v>56</v>
      </c>
      <c r="C36" s="695"/>
      <c r="D36" s="695"/>
      <c r="E36" s="695"/>
      <c r="F36" s="331">
        <v>510</v>
      </c>
      <c r="G36" s="363">
        <f t="shared" si="58"/>
        <v>510</v>
      </c>
      <c r="H36" s="800" t="s">
        <v>45</v>
      </c>
      <c r="I36" s="800"/>
      <c r="J36" s="801"/>
      <c r="K36" s="802"/>
      <c r="L36" s="321"/>
      <c r="M36" s="404"/>
      <c r="N36" s="94">
        <v>1162</v>
      </c>
      <c r="O36" s="363">
        <f t="shared" ref="O36" si="68">+N36*$X$1</f>
        <v>1162</v>
      </c>
      <c r="P36" s="323">
        <v>1067</v>
      </c>
      <c r="Q36" s="475">
        <f t="shared" ref="Q36" si="69">+P36*$X$1</f>
        <v>1067</v>
      </c>
      <c r="R36" s="107">
        <v>980</v>
      </c>
      <c r="S36" s="356">
        <f t="shared" ref="S36" si="70">+R36*$X$1</f>
        <v>980</v>
      </c>
      <c r="T36" s="650">
        <v>900</v>
      </c>
      <c r="U36" s="356">
        <f t="shared" ref="U36" si="71">+T36*$X$1</f>
        <v>900</v>
      </c>
      <c r="V36" s="650">
        <v>813</v>
      </c>
      <c r="W36" s="331">
        <f t="shared" ref="W36" si="72">+V36*$X$1</f>
        <v>813</v>
      </c>
      <c r="X36" s="687"/>
      <c r="Y36" s="897"/>
      <c r="Z36" s="897"/>
      <c r="AA36" s="898"/>
      <c r="AB36" s="508" t="s">
        <v>523</v>
      </c>
    </row>
    <row r="37" spans="1:28" ht="12.6" customHeight="1" x14ac:dyDescent="0.25">
      <c r="A37" s="20"/>
      <c r="B37" s="703" t="s">
        <v>57</v>
      </c>
      <c r="C37" s="697"/>
      <c r="D37" s="697"/>
      <c r="E37" s="697"/>
      <c r="F37" s="330">
        <v>510</v>
      </c>
      <c r="G37" s="364">
        <f t="shared" si="58"/>
        <v>510</v>
      </c>
      <c r="H37" s="936" t="s">
        <v>45</v>
      </c>
      <c r="I37" s="936"/>
      <c r="J37" s="937"/>
      <c r="K37" s="938"/>
      <c r="L37" s="322"/>
      <c r="M37" s="403"/>
      <c r="N37" s="90">
        <v>1162</v>
      </c>
      <c r="O37" s="364">
        <f t="shared" ref="O37" si="73">+N37*$X$1</f>
        <v>1162</v>
      </c>
      <c r="P37" s="373">
        <v>1067</v>
      </c>
      <c r="Q37" s="476">
        <f t="shared" ref="Q37" si="74">+P37*$X$1</f>
        <v>1067</v>
      </c>
      <c r="R37" s="108">
        <v>980</v>
      </c>
      <c r="S37" s="293">
        <f t="shared" ref="S37" si="75">+R37*$X$1</f>
        <v>980</v>
      </c>
      <c r="T37" s="665">
        <v>900</v>
      </c>
      <c r="U37" s="293">
        <f t="shared" ref="U37" si="76">+T37*$X$1</f>
        <v>900</v>
      </c>
      <c r="V37" s="665">
        <v>813</v>
      </c>
      <c r="W37" s="330">
        <f t="shared" ref="W37" si="77">+V37*$X$1</f>
        <v>813</v>
      </c>
      <c r="X37" s="687"/>
      <c r="Y37" s="897"/>
      <c r="Z37" s="897"/>
      <c r="AA37" s="898"/>
      <c r="AB37" s="508" t="s">
        <v>526</v>
      </c>
    </row>
    <row r="38" spans="1:28" ht="12.6" customHeight="1" x14ac:dyDescent="0.25">
      <c r="A38" s="20"/>
      <c r="B38" s="816" t="s">
        <v>58</v>
      </c>
      <c r="C38" s="695"/>
      <c r="D38" s="695"/>
      <c r="E38" s="695"/>
      <c r="F38" s="331">
        <v>510</v>
      </c>
      <c r="G38" s="363">
        <f t="shared" si="58"/>
        <v>510</v>
      </c>
      <c r="H38" s="800" t="s">
        <v>45</v>
      </c>
      <c r="I38" s="800"/>
      <c r="J38" s="801"/>
      <c r="K38" s="802"/>
      <c r="L38" s="321"/>
      <c r="M38" s="404"/>
      <c r="N38" s="94">
        <v>1580</v>
      </c>
      <c r="O38" s="363">
        <f t="shared" si="59"/>
        <v>1580</v>
      </c>
      <c r="P38" s="323">
        <v>1460</v>
      </c>
      <c r="Q38" s="475">
        <f t="shared" si="60"/>
        <v>1460</v>
      </c>
      <c r="R38" s="650">
        <v>1351</v>
      </c>
      <c r="S38" s="356">
        <f t="shared" si="60"/>
        <v>1351</v>
      </c>
      <c r="T38" s="650">
        <v>1264</v>
      </c>
      <c r="U38" s="356">
        <f t="shared" si="61"/>
        <v>1264</v>
      </c>
      <c r="V38" s="650">
        <v>1216</v>
      </c>
      <c r="W38" s="331">
        <f t="shared" si="62"/>
        <v>1216</v>
      </c>
      <c r="X38" s="687"/>
      <c r="Y38" s="897"/>
      <c r="Z38" s="897"/>
      <c r="AA38" s="898"/>
      <c r="AB38" s="508" t="s">
        <v>524</v>
      </c>
    </row>
    <row r="39" spans="1:28" ht="12.6" customHeight="1" x14ac:dyDescent="0.2">
      <c r="A39" s="20"/>
      <c r="B39" s="703" t="s">
        <v>527</v>
      </c>
      <c r="C39" s="697"/>
      <c r="D39" s="697"/>
      <c r="E39" s="697"/>
      <c r="F39" s="330">
        <v>510</v>
      </c>
      <c r="G39" s="364">
        <f t="shared" ref="G39" si="78">+F39*$X$1</f>
        <v>510</v>
      </c>
      <c r="H39" s="936" t="s">
        <v>45</v>
      </c>
      <c r="I39" s="936"/>
      <c r="J39" s="937"/>
      <c r="K39" s="938"/>
      <c r="L39" s="322"/>
      <c r="M39" s="403"/>
      <c r="N39" s="90">
        <v>1551</v>
      </c>
      <c r="O39" s="364">
        <f t="shared" ref="O39:O40" si="79">+N39*$X$1</f>
        <v>1551</v>
      </c>
      <c r="P39" s="373">
        <v>1434</v>
      </c>
      <c r="Q39" s="476">
        <f t="shared" si="60"/>
        <v>1434</v>
      </c>
      <c r="R39" s="665">
        <v>1329</v>
      </c>
      <c r="S39" s="293">
        <f t="shared" si="60"/>
        <v>1329</v>
      </c>
      <c r="T39" s="665">
        <v>1257</v>
      </c>
      <c r="U39" s="293">
        <f t="shared" si="61"/>
        <v>1257</v>
      </c>
      <c r="V39" s="665">
        <v>1190</v>
      </c>
      <c r="W39" s="330">
        <f t="shared" si="62"/>
        <v>1190</v>
      </c>
      <c r="X39" s="687"/>
      <c r="Y39" s="897"/>
      <c r="Z39" s="897"/>
      <c r="AA39" s="898"/>
      <c r="AB39" s="508" t="s">
        <v>529</v>
      </c>
    </row>
    <row r="40" spans="1:28" ht="12.6" customHeight="1" x14ac:dyDescent="0.2">
      <c r="A40" s="20"/>
      <c r="B40" s="816" t="s">
        <v>528</v>
      </c>
      <c r="C40" s="695"/>
      <c r="D40" s="695"/>
      <c r="E40" s="695"/>
      <c r="F40" s="331">
        <v>510</v>
      </c>
      <c r="G40" s="363">
        <f t="shared" ref="G40" si="80">+F40*$X$1</f>
        <v>510</v>
      </c>
      <c r="H40" s="800" t="s">
        <v>45</v>
      </c>
      <c r="I40" s="800"/>
      <c r="J40" s="801"/>
      <c r="K40" s="802"/>
      <c r="L40" s="321"/>
      <c r="M40" s="404"/>
      <c r="N40" s="94">
        <v>1322</v>
      </c>
      <c r="O40" s="363">
        <f t="shared" si="79"/>
        <v>1322</v>
      </c>
      <c r="P40" s="323">
        <v>1214</v>
      </c>
      <c r="Q40" s="475">
        <f t="shared" ref="Q40" si="81">+P40*$X$1</f>
        <v>1214</v>
      </c>
      <c r="R40" s="650">
        <v>1118</v>
      </c>
      <c r="S40" s="356">
        <f t="shared" ref="S40" si="82">+R40*$X$1</f>
        <v>1118</v>
      </c>
      <c r="T40" s="650">
        <v>1042</v>
      </c>
      <c r="U40" s="356">
        <f t="shared" ref="U40" si="83">+T40*$X$1</f>
        <v>1042</v>
      </c>
      <c r="V40" s="650">
        <v>995</v>
      </c>
      <c r="W40" s="331">
        <f t="shared" ref="W40" si="84">+V40*$X$1</f>
        <v>995</v>
      </c>
      <c r="X40" s="687"/>
      <c r="Y40" s="897"/>
      <c r="Z40" s="897"/>
      <c r="AA40" s="898"/>
      <c r="AB40" s="508" t="s">
        <v>530</v>
      </c>
    </row>
    <row r="41" spans="1:28" ht="12.6" customHeight="1" x14ac:dyDescent="0.2">
      <c r="A41" s="20"/>
      <c r="B41" s="703" t="s">
        <v>59</v>
      </c>
      <c r="C41" s="697"/>
      <c r="D41" s="697"/>
      <c r="E41" s="697"/>
      <c r="F41" s="330">
        <v>976</v>
      </c>
      <c r="G41" s="364">
        <f t="shared" ref="G41:G49" si="85">+F41*$X$1</f>
        <v>976</v>
      </c>
      <c r="H41" s="1094" t="s">
        <v>60</v>
      </c>
      <c r="I41" s="1094"/>
      <c r="J41" s="1095"/>
      <c r="K41" s="1096"/>
      <c r="L41" s="322"/>
      <c r="M41" s="403"/>
      <c r="N41" s="90">
        <v>1760</v>
      </c>
      <c r="O41" s="364">
        <f t="shared" si="59"/>
        <v>1760</v>
      </c>
      <c r="P41" s="373">
        <v>1630</v>
      </c>
      <c r="Q41" s="476">
        <f t="shared" si="60"/>
        <v>1630</v>
      </c>
      <c r="R41" s="665">
        <v>1506</v>
      </c>
      <c r="S41" s="293">
        <f t="shared" si="60"/>
        <v>1506</v>
      </c>
      <c r="T41" s="665">
        <v>1405</v>
      </c>
      <c r="U41" s="293">
        <f t="shared" si="61"/>
        <v>1405</v>
      </c>
      <c r="V41" s="665">
        <v>1350</v>
      </c>
      <c r="W41" s="330">
        <f t="shared" si="62"/>
        <v>1350</v>
      </c>
      <c r="X41" s="687"/>
      <c r="Y41" s="897"/>
      <c r="Z41" s="897"/>
      <c r="AA41" s="898"/>
      <c r="AB41" s="509" t="s">
        <v>61</v>
      </c>
    </row>
    <row r="42" spans="1:28" ht="12.6" customHeight="1" x14ac:dyDescent="0.2">
      <c r="A42" s="20"/>
      <c r="B42" s="816" t="s">
        <v>62</v>
      </c>
      <c r="C42" s="695"/>
      <c r="D42" s="695"/>
      <c r="E42" s="695"/>
      <c r="F42" s="331">
        <v>976</v>
      </c>
      <c r="G42" s="363">
        <f t="shared" si="85"/>
        <v>976</v>
      </c>
      <c r="H42" s="1108" t="s">
        <v>60</v>
      </c>
      <c r="I42" s="1108"/>
      <c r="J42" s="1109"/>
      <c r="K42" s="1110"/>
      <c r="L42" s="321"/>
      <c r="M42" s="404"/>
      <c r="N42" s="94">
        <v>1760</v>
      </c>
      <c r="O42" s="363">
        <f t="shared" ref="O42:O43" si="86">+N42*$X$1</f>
        <v>1760</v>
      </c>
      <c r="P42" s="323">
        <v>1630</v>
      </c>
      <c r="Q42" s="475">
        <f t="shared" ref="Q42:Q43" si="87">+P42*$X$1</f>
        <v>1630</v>
      </c>
      <c r="R42" s="650">
        <v>1506</v>
      </c>
      <c r="S42" s="356">
        <f t="shared" ref="S42:S43" si="88">+R42*$X$1</f>
        <v>1506</v>
      </c>
      <c r="T42" s="650">
        <v>1405</v>
      </c>
      <c r="U42" s="356">
        <f t="shared" ref="U42:U43" si="89">+T42*$X$1</f>
        <v>1405</v>
      </c>
      <c r="V42" s="650">
        <v>1350</v>
      </c>
      <c r="W42" s="331">
        <f t="shared" ref="W42:W43" si="90">+V42*$X$1</f>
        <v>1350</v>
      </c>
      <c r="X42" s="687"/>
      <c r="Y42" s="897"/>
      <c r="Z42" s="897"/>
      <c r="AA42" s="898"/>
      <c r="AB42" s="509" t="s">
        <v>63</v>
      </c>
    </row>
    <row r="43" spans="1:28" ht="12.6" customHeight="1" x14ac:dyDescent="0.2">
      <c r="A43" s="20"/>
      <c r="B43" s="703" t="s">
        <v>64</v>
      </c>
      <c r="C43" s="697"/>
      <c r="D43" s="697"/>
      <c r="E43" s="697"/>
      <c r="F43" s="330">
        <v>976</v>
      </c>
      <c r="G43" s="364">
        <f t="shared" si="85"/>
        <v>976</v>
      </c>
      <c r="H43" s="936" t="s">
        <v>60</v>
      </c>
      <c r="I43" s="936"/>
      <c r="J43" s="937"/>
      <c r="K43" s="938"/>
      <c r="L43" s="322"/>
      <c r="M43" s="403"/>
      <c r="N43" s="90">
        <v>1760</v>
      </c>
      <c r="O43" s="364">
        <f t="shared" si="86"/>
        <v>1760</v>
      </c>
      <c r="P43" s="373">
        <v>1630</v>
      </c>
      <c r="Q43" s="476">
        <f t="shared" si="87"/>
        <v>1630</v>
      </c>
      <c r="R43" s="665">
        <v>1506</v>
      </c>
      <c r="S43" s="293">
        <f t="shared" si="88"/>
        <v>1506</v>
      </c>
      <c r="T43" s="665">
        <v>1405</v>
      </c>
      <c r="U43" s="293">
        <f t="shared" si="89"/>
        <v>1405</v>
      </c>
      <c r="V43" s="665">
        <v>1350</v>
      </c>
      <c r="W43" s="330">
        <f t="shared" si="90"/>
        <v>1350</v>
      </c>
      <c r="X43" s="687"/>
      <c r="Y43" s="897"/>
      <c r="Z43" s="897"/>
      <c r="AA43" s="898"/>
      <c r="AB43" s="509" t="s">
        <v>65</v>
      </c>
    </row>
    <row r="44" spans="1:28" ht="12.6" customHeight="1" x14ac:dyDescent="0.2">
      <c r="A44" s="20"/>
      <c r="B44" s="816" t="s">
        <v>627</v>
      </c>
      <c r="C44" s="695"/>
      <c r="D44" s="695"/>
      <c r="E44" s="695"/>
      <c r="F44" s="331">
        <v>1071</v>
      </c>
      <c r="G44" s="363">
        <f t="shared" ref="G44" si="91">+F44*$X$1</f>
        <v>1071</v>
      </c>
      <c r="H44" s="933" t="s">
        <v>60</v>
      </c>
      <c r="I44" s="933"/>
      <c r="J44" s="934"/>
      <c r="K44" s="935"/>
      <c r="L44" s="321"/>
      <c r="M44" s="404"/>
      <c r="N44" s="94">
        <v>1860</v>
      </c>
      <c r="O44" s="363">
        <f t="shared" ref="O44" si="92">+N44*$X$1</f>
        <v>1860</v>
      </c>
      <c r="P44" s="323">
        <v>1736</v>
      </c>
      <c r="Q44" s="475">
        <f t="shared" ref="Q44" si="93">+P44*$X$1</f>
        <v>1736</v>
      </c>
      <c r="R44" s="650">
        <v>1592</v>
      </c>
      <c r="S44" s="356">
        <f t="shared" ref="S44" si="94">+R44*$X$1</f>
        <v>1592</v>
      </c>
      <c r="T44" s="650">
        <v>1495</v>
      </c>
      <c r="U44" s="356">
        <f t="shared" ref="U44" si="95">+T44*$X$1</f>
        <v>1495</v>
      </c>
      <c r="V44" s="650">
        <v>1430</v>
      </c>
      <c r="W44" s="331">
        <f t="shared" ref="W44" si="96">+V44*$X$1</f>
        <v>1430</v>
      </c>
      <c r="X44" s="687"/>
      <c r="Y44" s="897"/>
      <c r="Z44" s="897"/>
      <c r="AA44" s="898"/>
      <c r="AB44" s="510" t="s">
        <v>638</v>
      </c>
    </row>
    <row r="45" spans="1:28" ht="12.6" customHeight="1" x14ac:dyDescent="0.2">
      <c r="A45" s="20"/>
      <c r="B45" s="703" t="s">
        <v>628</v>
      </c>
      <c r="C45" s="697"/>
      <c r="D45" s="697"/>
      <c r="E45" s="697"/>
      <c r="F45" s="330">
        <v>1071</v>
      </c>
      <c r="G45" s="364">
        <f t="shared" ref="G45" si="97">+F45*$X$1</f>
        <v>1071</v>
      </c>
      <c r="H45" s="1094" t="s">
        <v>60</v>
      </c>
      <c r="I45" s="1094"/>
      <c r="J45" s="1095"/>
      <c r="K45" s="1096"/>
      <c r="L45" s="322"/>
      <c r="M45" s="403"/>
      <c r="N45" s="90">
        <v>1860</v>
      </c>
      <c r="O45" s="364">
        <f t="shared" ref="O45:O46" si="98">+N45*$X$1</f>
        <v>1860</v>
      </c>
      <c r="P45" s="373">
        <v>1736</v>
      </c>
      <c r="Q45" s="476">
        <f t="shared" ref="Q45:Q46" si="99">+P45*$X$1</f>
        <v>1736</v>
      </c>
      <c r="R45" s="665">
        <v>1592</v>
      </c>
      <c r="S45" s="293">
        <f t="shared" ref="S45:S46" si="100">+R45*$X$1</f>
        <v>1592</v>
      </c>
      <c r="T45" s="665">
        <v>1495</v>
      </c>
      <c r="U45" s="293">
        <f t="shared" ref="U45:U46" si="101">+T45*$X$1</f>
        <v>1495</v>
      </c>
      <c r="V45" s="665">
        <v>1430</v>
      </c>
      <c r="W45" s="330">
        <f t="shared" ref="W45:W46" si="102">+V45*$X$1</f>
        <v>1430</v>
      </c>
      <c r="X45" s="687"/>
      <c r="Y45" s="897"/>
      <c r="Z45" s="897"/>
      <c r="AA45" s="898"/>
      <c r="AB45" s="510" t="s">
        <v>639</v>
      </c>
    </row>
    <row r="46" spans="1:28" ht="12.6" customHeight="1" x14ac:dyDescent="0.2">
      <c r="A46" s="20"/>
      <c r="B46" s="816" t="s">
        <v>629</v>
      </c>
      <c r="C46" s="695"/>
      <c r="D46" s="695"/>
      <c r="E46" s="695"/>
      <c r="F46" s="331">
        <v>1071</v>
      </c>
      <c r="G46" s="363">
        <f t="shared" ref="G46" si="103">+F46*$X$1</f>
        <v>1071</v>
      </c>
      <c r="H46" s="933" t="s">
        <v>60</v>
      </c>
      <c r="I46" s="933"/>
      <c r="J46" s="934"/>
      <c r="K46" s="935"/>
      <c r="L46" s="321"/>
      <c r="M46" s="404"/>
      <c r="N46" s="94">
        <v>1860</v>
      </c>
      <c r="O46" s="363">
        <f t="shared" si="98"/>
        <v>1860</v>
      </c>
      <c r="P46" s="323">
        <v>1736</v>
      </c>
      <c r="Q46" s="475">
        <f t="shared" si="99"/>
        <v>1736</v>
      </c>
      <c r="R46" s="650">
        <v>1592</v>
      </c>
      <c r="S46" s="356">
        <f t="shared" si="100"/>
        <v>1592</v>
      </c>
      <c r="T46" s="650">
        <v>1495</v>
      </c>
      <c r="U46" s="356">
        <f t="shared" si="101"/>
        <v>1495</v>
      </c>
      <c r="V46" s="650">
        <v>1430</v>
      </c>
      <c r="W46" s="331">
        <f t="shared" si="102"/>
        <v>1430</v>
      </c>
      <c r="X46" s="687"/>
      <c r="Y46" s="897"/>
      <c r="Z46" s="897"/>
      <c r="AA46" s="898"/>
      <c r="AB46" s="510" t="s">
        <v>640</v>
      </c>
    </row>
    <row r="47" spans="1:28" ht="12.6" customHeight="1" x14ac:dyDescent="0.2">
      <c r="A47" s="20"/>
      <c r="B47" s="703" t="s">
        <v>66</v>
      </c>
      <c r="C47" s="697"/>
      <c r="D47" s="697"/>
      <c r="E47" s="697"/>
      <c r="F47" s="330">
        <v>1340</v>
      </c>
      <c r="G47" s="364">
        <f t="shared" si="85"/>
        <v>1340</v>
      </c>
      <c r="H47" s="936" t="s">
        <v>60</v>
      </c>
      <c r="I47" s="936"/>
      <c r="J47" s="937"/>
      <c r="K47" s="938"/>
      <c r="L47" s="322"/>
      <c r="M47" s="403"/>
      <c r="N47" s="75">
        <v>2450</v>
      </c>
      <c r="O47" s="358">
        <f t="shared" ref="O47" si="104">+N47*$X$1</f>
        <v>2450</v>
      </c>
      <c r="P47" s="373">
        <v>2266</v>
      </c>
      <c r="Q47" s="375">
        <f t="shared" si="60"/>
        <v>2266</v>
      </c>
      <c r="R47" s="665">
        <v>2097</v>
      </c>
      <c r="S47" s="330">
        <f t="shared" si="60"/>
        <v>2097</v>
      </c>
      <c r="T47" s="665">
        <v>1952</v>
      </c>
      <c r="U47" s="330">
        <f t="shared" si="61"/>
        <v>1952</v>
      </c>
      <c r="V47" s="665">
        <v>1890</v>
      </c>
      <c r="W47" s="330">
        <f t="shared" si="62"/>
        <v>1890</v>
      </c>
      <c r="X47" s="687"/>
      <c r="Y47" s="897"/>
      <c r="Z47" s="897"/>
      <c r="AA47" s="898"/>
      <c r="AB47" s="510" t="s">
        <v>67</v>
      </c>
    </row>
    <row r="48" spans="1:28" ht="12.6" customHeight="1" x14ac:dyDescent="0.2">
      <c r="A48" s="20"/>
      <c r="B48" s="816" t="s">
        <v>68</v>
      </c>
      <c r="C48" s="695"/>
      <c r="D48" s="695"/>
      <c r="E48" s="695"/>
      <c r="F48" s="331">
        <v>1340</v>
      </c>
      <c r="G48" s="363">
        <f t="shared" si="85"/>
        <v>1340</v>
      </c>
      <c r="H48" s="933" t="s">
        <v>60</v>
      </c>
      <c r="I48" s="933"/>
      <c r="J48" s="934"/>
      <c r="K48" s="935"/>
      <c r="L48" s="321"/>
      <c r="M48" s="404"/>
      <c r="N48" s="93">
        <v>2450</v>
      </c>
      <c r="O48" s="396">
        <f t="shared" ref="O48:O49" si="105">+N48*$X$1</f>
        <v>2450</v>
      </c>
      <c r="P48" s="323">
        <v>2266</v>
      </c>
      <c r="Q48" s="374">
        <f t="shared" ref="Q48:Q49" si="106">+P48*$X$1</f>
        <v>2266</v>
      </c>
      <c r="R48" s="650">
        <v>2097</v>
      </c>
      <c r="S48" s="331">
        <f t="shared" ref="S48:S49" si="107">+R48*$X$1</f>
        <v>2097</v>
      </c>
      <c r="T48" s="650">
        <v>1952</v>
      </c>
      <c r="U48" s="331">
        <f t="shared" ref="U48:U49" si="108">+T48*$X$1</f>
        <v>1952</v>
      </c>
      <c r="V48" s="650">
        <v>1890</v>
      </c>
      <c r="W48" s="331">
        <f t="shared" ref="W48:W49" si="109">+V48*$X$1</f>
        <v>1890</v>
      </c>
      <c r="X48" s="687"/>
      <c r="Y48" s="897"/>
      <c r="Z48" s="897"/>
      <c r="AA48" s="898"/>
      <c r="AB48" s="510" t="s">
        <v>69</v>
      </c>
    </row>
    <row r="49" spans="1:35" ht="12.6" customHeight="1" x14ac:dyDescent="0.2">
      <c r="A49" s="20"/>
      <c r="B49" s="703" t="s">
        <v>70</v>
      </c>
      <c r="C49" s="697"/>
      <c r="D49" s="697"/>
      <c r="E49" s="697"/>
      <c r="F49" s="330">
        <v>1340</v>
      </c>
      <c r="G49" s="395">
        <f t="shared" si="85"/>
        <v>1340</v>
      </c>
      <c r="H49" s="936" t="s">
        <v>60</v>
      </c>
      <c r="I49" s="936"/>
      <c r="J49" s="937"/>
      <c r="K49" s="1097"/>
      <c r="L49" s="322"/>
      <c r="M49" s="403"/>
      <c r="N49" s="75">
        <v>2450</v>
      </c>
      <c r="O49" s="358">
        <f t="shared" si="105"/>
        <v>2450</v>
      </c>
      <c r="P49" s="373">
        <v>2266</v>
      </c>
      <c r="Q49" s="375">
        <f t="shared" si="106"/>
        <v>2266</v>
      </c>
      <c r="R49" s="665">
        <v>2097</v>
      </c>
      <c r="S49" s="330">
        <f t="shared" si="107"/>
        <v>2097</v>
      </c>
      <c r="T49" s="665">
        <v>1952</v>
      </c>
      <c r="U49" s="330">
        <f t="shared" si="108"/>
        <v>1952</v>
      </c>
      <c r="V49" s="665">
        <v>1890</v>
      </c>
      <c r="W49" s="330">
        <f t="shared" si="109"/>
        <v>1890</v>
      </c>
      <c r="X49" s="687"/>
      <c r="Y49" s="897"/>
      <c r="Z49" s="897"/>
      <c r="AA49" s="898"/>
      <c r="AB49" s="510" t="s">
        <v>71</v>
      </c>
    </row>
    <row r="50" spans="1:35" ht="12.6" customHeight="1" x14ac:dyDescent="0.2">
      <c r="A50" s="20"/>
      <c r="B50" s="816" t="s">
        <v>72</v>
      </c>
      <c r="C50" s="695"/>
      <c r="D50" s="695"/>
      <c r="E50" s="702"/>
      <c r="F50" s="952" t="s">
        <v>481</v>
      </c>
      <c r="G50" s="937"/>
      <c r="H50" s="937"/>
      <c r="I50" s="937"/>
      <c r="J50" s="298"/>
      <c r="K50" s="471"/>
      <c r="L50" s="472"/>
      <c r="M50" s="331"/>
      <c r="N50" s="477"/>
      <c r="O50" s="363"/>
      <c r="P50" s="321"/>
      <c r="Q50" s="374"/>
      <c r="R50" s="107"/>
      <c r="S50" s="356"/>
      <c r="T50" s="107"/>
      <c r="U50" s="356"/>
      <c r="V50" s="107"/>
      <c r="W50" s="331"/>
      <c r="X50" s="141"/>
      <c r="Y50" s="141"/>
      <c r="Z50" s="141"/>
      <c r="AA50" s="141"/>
      <c r="AB50" s="508" t="s">
        <v>73</v>
      </c>
    </row>
    <row r="51" spans="1:35" ht="12.6" customHeight="1" x14ac:dyDescent="0.2">
      <c r="A51" s="20"/>
      <c r="B51" s="703" t="s">
        <v>74</v>
      </c>
      <c r="C51" s="697"/>
      <c r="D51" s="697"/>
      <c r="E51" s="701"/>
      <c r="F51" s="937"/>
      <c r="G51" s="937"/>
      <c r="H51" s="937"/>
      <c r="I51" s="937"/>
      <c r="J51" s="19"/>
      <c r="K51" s="327"/>
      <c r="L51" s="300"/>
      <c r="M51" s="330"/>
      <c r="N51" s="229"/>
      <c r="O51" s="364"/>
      <c r="P51" s="327"/>
      <c r="Q51" s="375"/>
      <c r="R51" s="368"/>
      <c r="S51" s="293"/>
      <c r="T51" s="368"/>
      <c r="U51" s="293"/>
      <c r="V51" s="368"/>
      <c r="W51" s="330"/>
      <c r="X51" s="141"/>
      <c r="Y51" s="141"/>
      <c r="Z51" s="141"/>
      <c r="AA51" s="141"/>
      <c r="AB51" s="508" t="s">
        <v>75</v>
      </c>
    </row>
    <row r="52" spans="1:35" ht="12.6" customHeight="1" x14ac:dyDescent="0.2">
      <c r="A52" s="20"/>
      <c r="B52" s="816" t="s">
        <v>502</v>
      </c>
      <c r="C52" s="695"/>
      <c r="D52" s="695"/>
      <c r="E52" s="702"/>
      <c r="F52" s="937"/>
      <c r="G52" s="937"/>
      <c r="H52" s="937"/>
      <c r="I52" s="937"/>
      <c r="J52" s="298"/>
      <c r="K52" s="321"/>
      <c r="L52" s="350"/>
      <c r="M52" s="331"/>
      <c r="N52" s="351"/>
      <c r="O52" s="416"/>
      <c r="P52" s="321"/>
      <c r="Q52" s="374"/>
      <c r="R52" s="99"/>
      <c r="S52" s="410"/>
      <c r="T52" s="99"/>
      <c r="U52" s="410"/>
      <c r="V52" s="99"/>
      <c r="W52" s="331"/>
      <c r="X52" s="141"/>
      <c r="Y52" s="141"/>
      <c r="Z52" s="141"/>
      <c r="AA52" s="141"/>
      <c r="AB52" s="38">
        <v>48</v>
      </c>
      <c r="AC52" s="511" t="s">
        <v>76</v>
      </c>
      <c r="AD52" s="511" t="s">
        <v>77</v>
      </c>
      <c r="AE52" s="511" t="s">
        <v>78</v>
      </c>
    </row>
    <row r="53" spans="1:35" ht="12.6" customHeight="1" x14ac:dyDescent="0.2">
      <c r="A53" s="20"/>
      <c r="B53" s="950" t="s">
        <v>79</v>
      </c>
      <c r="C53" s="951"/>
      <c r="D53" s="951"/>
      <c r="E53" s="951"/>
      <c r="F53" s="937"/>
      <c r="G53" s="937"/>
      <c r="H53" s="937"/>
      <c r="I53" s="937"/>
      <c r="J53" s="19"/>
      <c r="K53" s="19"/>
      <c r="L53" s="300"/>
      <c r="M53" s="296"/>
      <c r="N53" s="229"/>
      <c r="O53" s="258"/>
      <c r="P53" s="126"/>
      <c r="Q53" s="302"/>
      <c r="R53" s="258"/>
      <c r="S53" s="258"/>
      <c r="T53" s="258"/>
      <c r="U53" s="258"/>
      <c r="V53" s="96"/>
      <c r="W53" s="96"/>
      <c r="X53" s="180"/>
      <c r="Y53" s="180"/>
      <c r="Z53" s="180"/>
      <c r="AA53" s="180"/>
      <c r="AB53" s="208">
        <v>54</v>
      </c>
    </row>
    <row r="54" spans="1:35" ht="12.6" customHeight="1" x14ac:dyDescent="0.2">
      <c r="A54" s="20"/>
      <c r="B54" s="816" t="s">
        <v>80</v>
      </c>
      <c r="C54" s="695"/>
      <c r="D54" s="695"/>
      <c r="E54" s="695"/>
      <c r="F54" s="331">
        <v>780</v>
      </c>
      <c r="G54" s="356">
        <f t="shared" ref="G54:G57" si="110">+F54*$X$1</f>
        <v>780</v>
      </c>
      <c r="H54" s="133"/>
      <c r="I54" s="331"/>
      <c r="J54" s="565">
        <f>F54+120</f>
        <v>900</v>
      </c>
      <c r="K54" s="331">
        <f t="shared" ref="K54" si="111">+J54*$X$1</f>
        <v>900</v>
      </c>
      <c r="L54" s="565">
        <f>F54+90</f>
        <v>870</v>
      </c>
      <c r="M54" s="331">
        <f t="shared" ref="M54" si="112">+L54*$X$1</f>
        <v>870</v>
      </c>
      <c r="N54" s="107">
        <f>F54+60</f>
        <v>840</v>
      </c>
      <c r="O54" s="356">
        <f t="shared" ref="O54" si="113">+N54*$X$1</f>
        <v>840</v>
      </c>
      <c r="P54" s="107">
        <f>F54+50</f>
        <v>830</v>
      </c>
      <c r="Q54" s="331">
        <f t="shared" si="60"/>
        <v>830</v>
      </c>
      <c r="R54" s="107">
        <f>F54+40</f>
        <v>820</v>
      </c>
      <c r="S54" s="356">
        <f t="shared" ref="S54" si="114">+R54*$X$1</f>
        <v>820</v>
      </c>
      <c r="T54" s="107">
        <f>F54+36</f>
        <v>816</v>
      </c>
      <c r="U54" s="356">
        <f t="shared" ref="U54" si="115">+T54*$X$1</f>
        <v>816</v>
      </c>
      <c r="V54" s="107">
        <f>F54+33</f>
        <v>813</v>
      </c>
      <c r="W54" s="331">
        <f t="shared" ref="W54" si="116">+V54*$X$1</f>
        <v>813</v>
      </c>
      <c r="X54" s="140"/>
      <c r="Y54" s="141"/>
      <c r="Z54" s="141"/>
      <c r="AA54" s="141"/>
      <c r="AB54" s="508">
        <v>60</v>
      </c>
    </row>
    <row r="55" spans="1:35" ht="12.6" customHeight="1" x14ac:dyDescent="0.2">
      <c r="A55" s="20"/>
      <c r="B55" s="703" t="s">
        <v>606</v>
      </c>
      <c r="C55" s="697"/>
      <c r="D55" s="697"/>
      <c r="E55" s="697"/>
      <c r="F55" s="330">
        <v>840</v>
      </c>
      <c r="G55" s="293">
        <f t="shared" si="110"/>
        <v>840</v>
      </c>
      <c r="H55" s="132"/>
      <c r="I55" s="330"/>
      <c r="J55" s="368">
        <f>F55+120</f>
        <v>960</v>
      </c>
      <c r="K55" s="330">
        <f t="shared" ref="K55:K57" si="117">+J55*$X$1</f>
        <v>960</v>
      </c>
      <c r="L55" s="368">
        <f>F55+90</f>
        <v>930</v>
      </c>
      <c r="M55" s="330">
        <f t="shared" ref="M55:M57" si="118">+L55*$X$1</f>
        <v>930</v>
      </c>
      <c r="N55" s="108">
        <f>F55+60</f>
        <v>900</v>
      </c>
      <c r="O55" s="293">
        <f t="shared" ref="O55:O57" si="119">+N55*$X$1</f>
        <v>900</v>
      </c>
      <c r="P55" s="108">
        <f>F55+50</f>
        <v>890</v>
      </c>
      <c r="Q55" s="330">
        <f t="shared" ref="Q55:Q57" si="120">+P55*$X$1</f>
        <v>890</v>
      </c>
      <c r="R55" s="108">
        <f>F55+40</f>
        <v>880</v>
      </c>
      <c r="S55" s="293">
        <f t="shared" ref="S55:S57" si="121">+R55*$X$1</f>
        <v>880</v>
      </c>
      <c r="T55" s="108">
        <f>F55+36</f>
        <v>876</v>
      </c>
      <c r="U55" s="293">
        <f t="shared" ref="U55:U57" si="122">+T55*$X$1</f>
        <v>876</v>
      </c>
      <c r="V55" s="108">
        <f>F55+33</f>
        <v>873</v>
      </c>
      <c r="W55" s="330">
        <f t="shared" ref="W55:W57" si="123">+V55*$X$1</f>
        <v>873</v>
      </c>
      <c r="X55" s="140"/>
      <c r="Y55" s="141"/>
      <c r="Z55" s="141"/>
      <c r="AA55" s="141"/>
      <c r="AB55" s="508">
        <v>61</v>
      </c>
    </row>
    <row r="56" spans="1:35" ht="12.6" customHeight="1" x14ac:dyDescent="0.2">
      <c r="A56" s="20"/>
      <c r="B56" s="926" t="s">
        <v>81</v>
      </c>
      <c r="C56" s="927"/>
      <c r="D56" s="927"/>
      <c r="E56" s="927"/>
      <c r="F56" s="333">
        <v>800</v>
      </c>
      <c r="G56" s="410">
        <f t="shared" si="110"/>
        <v>800</v>
      </c>
      <c r="H56" s="544"/>
      <c r="I56" s="331"/>
      <c r="J56" s="565">
        <f>F56+120</f>
        <v>920</v>
      </c>
      <c r="K56" s="331">
        <f t="shared" si="117"/>
        <v>920</v>
      </c>
      <c r="L56" s="565">
        <f>F56+90</f>
        <v>890</v>
      </c>
      <c r="M56" s="331">
        <f t="shared" si="118"/>
        <v>890</v>
      </c>
      <c r="N56" s="107">
        <f>F56+60</f>
        <v>860</v>
      </c>
      <c r="O56" s="356">
        <f t="shared" si="119"/>
        <v>860</v>
      </c>
      <c r="P56" s="107">
        <f>F56+50</f>
        <v>850</v>
      </c>
      <c r="Q56" s="331">
        <f t="shared" si="120"/>
        <v>850</v>
      </c>
      <c r="R56" s="107">
        <f>F56+40</f>
        <v>840</v>
      </c>
      <c r="S56" s="356">
        <f t="shared" si="121"/>
        <v>840</v>
      </c>
      <c r="T56" s="107">
        <f>F56+36</f>
        <v>836</v>
      </c>
      <c r="U56" s="356">
        <f t="shared" si="122"/>
        <v>836</v>
      </c>
      <c r="V56" s="107">
        <f>F56+33</f>
        <v>833</v>
      </c>
      <c r="W56" s="331">
        <f t="shared" si="123"/>
        <v>833</v>
      </c>
      <c r="X56" s="140"/>
      <c r="Y56" s="141"/>
      <c r="Z56" s="141"/>
      <c r="AA56" s="141"/>
      <c r="AB56" s="508">
        <v>62</v>
      </c>
    </row>
    <row r="57" spans="1:35" ht="12.6" customHeight="1" x14ac:dyDescent="0.2">
      <c r="A57" s="20"/>
      <c r="B57" s="703" t="s">
        <v>82</v>
      </c>
      <c r="C57" s="704"/>
      <c r="D57" s="704"/>
      <c r="E57" s="704"/>
      <c r="F57" s="330">
        <v>860</v>
      </c>
      <c r="G57" s="330">
        <f t="shared" si="110"/>
        <v>860</v>
      </c>
      <c r="H57" s="132"/>
      <c r="I57" s="330"/>
      <c r="J57" s="368">
        <f>F57+120</f>
        <v>980</v>
      </c>
      <c r="K57" s="330">
        <f t="shared" si="117"/>
        <v>980</v>
      </c>
      <c r="L57" s="368">
        <f>F57+90</f>
        <v>950</v>
      </c>
      <c r="M57" s="330">
        <f t="shared" si="118"/>
        <v>950</v>
      </c>
      <c r="N57" s="108">
        <f>F57+60</f>
        <v>920</v>
      </c>
      <c r="O57" s="293">
        <f t="shared" si="119"/>
        <v>920</v>
      </c>
      <c r="P57" s="108">
        <f>F57+50</f>
        <v>910</v>
      </c>
      <c r="Q57" s="330">
        <f t="shared" si="120"/>
        <v>910</v>
      </c>
      <c r="R57" s="108">
        <f>F57+40</f>
        <v>900</v>
      </c>
      <c r="S57" s="293">
        <f t="shared" si="121"/>
        <v>900</v>
      </c>
      <c r="T57" s="108">
        <f>F57+36</f>
        <v>896</v>
      </c>
      <c r="U57" s="293">
        <f t="shared" si="122"/>
        <v>896</v>
      </c>
      <c r="V57" s="108">
        <f>F57+33</f>
        <v>893</v>
      </c>
      <c r="W57" s="330">
        <f t="shared" si="123"/>
        <v>893</v>
      </c>
      <c r="X57" s="140"/>
      <c r="Y57" s="141"/>
      <c r="Z57" s="141"/>
      <c r="AA57" s="141"/>
      <c r="AB57" s="508">
        <v>63</v>
      </c>
      <c r="AD57" s="4"/>
      <c r="AE57" s="4"/>
      <c r="AF57" s="4"/>
      <c r="AG57" s="4"/>
      <c r="AH57" s="4"/>
      <c r="AI57" s="4"/>
    </row>
    <row r="58" spans="1:35" ht="12.6" customHeight="1" x14ac:dyDescent="0.2">
      <c r="A58" s="20"/>
      <c r="B58" s="816" t="s">
        <v>601</v>
      </c>
      <c r="C58" s="695"/>
      <c r="D58" s="695"/>
      <c r="E58" s="695"/>
      <c r="F58" s="331">
        <v>910</v>
      </c>
      <c r="G58" s="331">
        <f t="shared" ref="G58" si="124">+F58*$X$1</f>
        <v>910</v>
      </c>
      <c r="H58" s="133"/>
      <c r="I58" s="331"/>
      <c r="J58" s="565">
        <f>F58+270</f>
        <v>1180</v>
      </c>
      <c r="K58" s="331">
        <f t="shared" ref="K58" si="125">+J58*$X$1</f>
        <v>1180</v>
      </c>
      <c r="L58" s="565">
        <f>F58+170</f>
        <v>1080</v>
      </c>
      <c r="M58" s="331">
        <f t="shared" ref="M58:M59" si="126">+L58*$X$1</f>
        <v>1080</v>
      </c>
      <c r="N58" s="107">
        <f>F58+110</f>
        <v>1020</v>
      </c>
      <c r="O58" s="356">
        <f t="shared" ref="O58:O59" si="127">+N58*$X$1</f>
        <v>1020</v>
      </c>
      <c r="P58" s="107">
        <f>F58+95</f>
        <v>1005</v>
      </c>
      <c r="Q58" s="331">
        <f t="shared" ref="Q58:Q59" si="128">+P58*$X$1</f>
        <v>1005</v>
      </c>
      <c r="R58" s="107">
        <f>F58+85</f>
        <v>995</v>
      </c>
      <c r="S58" s="356">
        <f t="shared" ref="S58:S59" si="129">+R58*$X$1</f>
        <v>995</v>
      </c>
      <c r="T58" s="107">
        <f>F58+79</f>
        <v>989</v>
      </c>
      <c r="U58" s="356">
        <f t="shared" ref="U58:U59" si="130">+T58*$X$1</f>
        <v>989</v>
      </c>
      <c r="V58" s="107">
        <f>F58+75</f>
        <v>985</v>
      </c>
      <c r="W58" s="331">
        <f t="shared" ref="W58:W59" si="131">+V58*$X$1</f>
        <v>985</v>
      </c>
      <c r="X58" s="140"/>
      <c r="Y58" s="141"/>
      <c r="Z58" s="141"/>
      <c r="AA58" s="141"/>
      <c r="AB58" s="508">
        <v>64</v>
      </c>
    </row>
    <row r="59" spans="1:35" ht="12.6" customHeight="1" x14ac:dyDescent="0.2">
      <c r="A59" s="20"/>
      <c r="B59" s="903" t="s">
        <v>817</v>
      </c>
      <c r="C59" s="904"/>
      <c r="D59" s="904"/>
      <c r="E59" s="904"/>
      <c r="F59" s="394">
        <v>250</v>
      </c>
      <c r="G59" s="394">
        <f t="shared" ref="G59:G69" si="132">+F59*$X$1</f>
        <v>250</v>
      </c>
      <c r="H59" s="328"/>
      <c r="I59" s="402"/>
      <c r="J59" s="569"/>
      <c r="K59" s="394"/>
      <c r="L59" s="667">
        <f>F59+110</f>
        <v>360</v>
      </c>
      <c r="M59" s="393">
        <f t="shared" si="126"/>
        <v>360</v>
      </c>
      <c r="N59" s="667">
        <f>F59+60</f>
        <v>310</v>
      </c>
      <c r="O59" s="393">
        <f t="shared" si="127"/>
        <v>310</v>
      </c>
      <c r="P59" s="667">
        <f>F59+50</f>
        <v>300</v>
      </c>
      <c r="Q59" s="393">
        <f t="shared" si="128"/>
        <v>300</v>
      </c>
      <c r="R59" s="667">
        <f>F59+45</f>
        <v>295</v>
      </c>
      <c r="S59" s="393">
        <f t="shared" si="129"/>
        <v>295</v>
      </c>
      <c r="T59" s="667">
        <f>F59+40</f>
        <v>290</v>
      </c>
      <c r="U59" s="393">
        <f t="shared" si="130"/>
        <v>290</v>
      </c>
      <c r="V59" s="667">
        <f>F59+34</f>
        <v>284</v>
      </c>
      <c r="W59" s="393">
        <f t="shared" si="131"/>
        <v>284</v>
      </c>
      <c r="X59" s="141"/>
      <c r="Y59" s="141"/>
      <c r="Z59" s="141"/>
      <c r="AA59" s="141"/>
      <c r="AB59" s="508">
        <v>85</v>
      </c>
    </row>
    <row r="60" spans="1:35" ht="12.6" customHeight="1" x14ac:dyDescent="0.2">
      <c r="A60" s="20"/>
      <c r="B60" s="957" t="s">
        <v>684</v>
      </c>
      <c r="C60" s="786"/>
      <c r="D60" s="786"/>
      <c r="E60" s="786"/>
      <c r="F60" s="371">
        <v>725</v>
      </c>
      <c r="G60" s="397">
        <f t="shared" si="132"/>
        <v>725</v>
      </c>
      <c r="H60" s="321"/>
      <c r="I60" s="404"/>
      <c r="J60" s="571"/>
      <c r="K60" s="371"/>
      <c r="L60" s="650">
        <f>F60+110</f>
        <v>835</v>
      </c>
      <c r="M60" s="331">
        <f t="shared" ref="M60" si="133">+L60*$X$1</f>
        <v>835</v>
      </c>
      <c r="N60" s="645">
        <f>F60+60</f>
        <v>785</v>
      </c>
      <c r="O60" s="331">
        <f t="shared" ref="O60" si="134">+N60*$X$1</f>
        <v>785</v>
      </c>
      <c r="P60" s="645">
        <f>F60+50</f>
        <v>775</v>
      </c>
      <c r="Q60" s="331">
        <f t="shared" ref="Q60" si="135">+P60*$X$1</f>
        <v>775</v>
      </c>
      <c r="R60" s="645">
        <f>F60+45</f>
        <v>770</v>
      </c>
      <c r="S60" s="331">
        <f t="shared" ref="S60" si="136">+R60*$X$1</f>
        <v>770</v>
      </c>
      <c r="T60" s="645">
        <f>F60+40</f>
        <v>765</v>
      </c>
      <c r="U60" s="331">
        <f t="shared" ref="U60" si="137">+T60*$X$1</f>
        <v>765</v>
      </c>
      <c r="V60" s="645">
        <f>F60+34</f>
        <v>759</v>
      </c>
      <c r="W60" s="331">
        <f t="shared" ref="W60" si="138">+V60*$X$1</f>
        <v>759</v>
      </c>
      <c r="X60" s="141"/>
      <c r="Y60" s="141"/>
      <c r="Z60" s="141"/>
      <c r="AA60" s="141"/>
      <c r="AB60" s="508" t="s">
        <v>908</v>
      </c>
    </row>
    <row r="61" spans="1:35" ht="12.6" customHeight="1" x14ac:dyDescent="0.2">
      <c r="A61" s="20"/>
      <c r="B61" s="789" t="s">
        <v>683</v>
      </c>
      <c r="C61" s="790"/>
      <c r="D61" s="790"/>
      <c r="E61" s="790"/>
      <c r="F61" s="357">
        <v>650</v>
      </c>
      <c r="G61" s="395">
        <f t="shared" ref="G61" si="139">+F61*$X$1</f>
        <v>650</v>
      </c>
      <c r="H61" s="322"/>
      <c r="I61" s="403"/>
      <c r="J61" s="570"/>
      <c r="K61" s="357"/>
      <c r="L61" s="665">
        <f>F61+110</f>
        <v>760</v>
      </c>
      <c r="M61" s="330">
        <f t="shared" ref="M61" si="140">+L61*$X$1</f>
        <v>760</v>
      </c>
      <c r="N61" s="665">
        <f>F61+60</f>
        <v>710</v>
      </c>
      <c r="O61" s="330">
        <f t="shared" ref="O61" si="141">+N61*$X$1</f>
        <v>710</v>
      </c>
      <c r="P61" s="665">
        <f>F61+50</f>
        <v>700</v>
      </c>
      <c r="Q61" s="330">
        <f t="shared" ref="Q61" si="142">+P61*$X$1</f>
        <v>700</v>
      </c>
      <c r="R61" s="665">
        <f>F61+45</f>
        <v>695</v>
      </c>
      <c r="S61" s="330">
        <f t="shared" ref="S61" si="143">+R61*$X$1</f>
        <v>695</v>
      </c>
      <c r="T61" s="665">
        <f>F61+40</f>
        <v>690</v>
      </c>
      <c r="U61" s="330">
        <f t="shared" ref="U61" si="144">+T61*$X$1</f>
        <v>690</v>
      </c>
      <c r="V61" s="665">
        <f>F61+34</f>
        <v>684</v>
      </c>
      <c r="W61" s="330">
        <f t="shared" ref="W61" si="145">+V61*$X$1</f>
        <v>684</v>
      </c>
      <c r="X61" s="141"/>
      <c r="Y61" s="141"/>
      <c r="Z61" s="141"/>
      <c r="AA61" s="141"/>
      <c r="AB61" s="508" t="s">
        <v>909</v>
      </c>
    </row>
    <row r="62" spans="1:35" ht="12.6" customHeight="1" x14ac:dyDescent="0.2">
      <c r="A62" s="20"/>
      <c r="B62" s="931" t="s">
        <v>890</v>
      </c>
      <c r="C62" s="932"/>
      <c r="D62" s="932"/>
      <c r="E62" s="932"/>
      <c r="F62" s="371">
        <v>570</v>
      </c>
      <c r="G62" s="397">
        <f t="shared" ref="G62:G63" si="146">+F62*$X$1</f>
        <v>570</v>
      </c>
      <c r="H62" s="321"/>
      <c r="I62" s="404"/>
      <c r="J62" s="571"/>
      <c r="K62" s="371"/>
      <c r="L62" s="650">
        <f>F62+110</f>
        <v>680</v>
      </c>
      <c r="M62" s="331">
        <f t="shared" ref="M62" si="147">+L62*$X$1</f>
        <v>680</v>
      </c>
      <c r="N62" s="650">
        <f>F62+60</f>
        <v>630</v>
      </c>
      <c r="O62" s="331">
        <f t="shared" ref="O62" si="148">+N62*$X$1</f>
        <v>630</v>
      </c>
      <c r="P62" s="650">
        <f>F62+50</f>
        <v>620</v>
      </c>
      <c r="Q62" s="331">
        <f t="shared" ref="Q62" si="149">+P62*$X$1</f>
        <v>620</v>
      </c>
      <c r="R62" s="650">
        <f>F62+45</f>
        <v>615</v>
      </c>
      <c r="S62" s="331">
        <f t="shared" ref="S62" si="150">+R62*$X$1</f>
        <v>615</v>
      </c>
      <c r="T62" s="650">
        <f>F62+40</f>
        <v>610</v>
      </c>
      <c r="U62" s="331">
        <f t="shared" ref="U62" si="151">+T62*$X$1</f>
        <v>610</v>
      </c>
      <c r="V62" s="650">
        <f>F62+34</f>
        <v>604</v>
      </c>
      <c r="W62" s="331">
        <f t="shared" ref="W62" si="152">+V62*$X$1</f>
        <v>604</v>
      </c>
      <c r="X62" s="141"/>
      <c r="Y62" s="141"/>
      <c r="Z62" s="141"/>
      <c r="AA62" s="141"/>
      <c r="AB62" s="508" t="s">
        <v>907</v>
      </c>
    </row>
    <row r="63" spans="1:35" ht="12.6" customHeight="1" x14ac:dyDescent="0.2">
      <c r="A63" s="20"/>
      <c r="B63" s="931" t="s">
        <v>905</v>
      </c>
      <c r="C63" s="932"/>
      <c r="D63" s="932"/>
      <c r="E63" s="932"/>
      <c r="F63" s="460">
        <f>2.55*X2</f>
        <v>2391.8999999999996</v>
      </c>
      <c r="G63" s="330">
        <f t="shared" si="146"/>
        <v>2391.8999999999996</v>
      </c>
      <c r="H63" s="75"/>
      <c r="I63" s="330"/>
      <c r="J63" s="75">
        <f>F63+130</f>
        <v>2521.8999999999996</v>
      </c>
      <c r="K63" s="330">
        <f t="shared" ref="K63" si="153">+J63*$X$1</f>
        <v>2521.8999999999996</v>
      </c>
      <c r="L63" s="368">
        <f>F63+80</f>
        <v>2471.8999999999996</v>
      </c>
      <c r="M63" s="330">
        <f t="shared" ref="M63" si="154">+L63*$X$1</f>
        <v>2471.8999999999996</v>
      </c>
      <c r="N63" s="368">
        <f>F63+50</f>
        <v>2441.8999999999996</v>
      </c>
      <c r="O63" s="330">
        <f t="shared" ref="O63" si="155">+N63*$X$1</f>
        <v>2441.8999999999996</v>
      </c>
      <c r="P63" s="368">
        <f>F63+45</f>
        <v>2436.8999999999996</v>
      </c>
      <c r="Q63" s="330">
        <f t="shared" ref="Q63" si="156">+P63*$X$1</f>
        <v>2436.8999999999996</v>
      </c>
      <c r="R63" s="368">
        <f>F63+37</f>
        <v>2428.8999999999996</v>
      </c>
      <c r="S63" s="330">
        <f t="shared" ref="S63" si="157">+R63*$X$1</f>
        <v>2428.8999999999996</v>
      </c>
      <c r="T63" s="368">
        <f>F63+30</f>
        <v>2421.8999999999996</v>
      </c>
      <c r="U63" s="330">
        <f t="shared" ref="U63" si="158">+T63*$X$1</f>
        <v>2421.8999999999996</v>
      </c>
      <c r="V63" s="368">
        <f>F63+25</f>
        <v>2416.8999999999996</v>
      </c>
      <c r="W63" s="330">
        <f t="shared" ref="W63" si="159">+V63*$X$1</f>
        <v>2416.8999999999996</v>
      </c>
      <c r="X63" s="141"/>
      <c r="Y63" s="141"/>
      <c r="Z63" s="141"/>
      <c r="AA63" s="141"/>
      <c r="AB63" s="508" t="s">
        <v>906</v>
      </c>
    </row>
    <row r="64" spans="1:35" ht="12.6" customHeight="1" x14ac:dyDescent="0.2">
      <c r="A64" s="20"/>
      <c r="B64" s="809" t="s">
        <v>472</v>
      </c>
      <c r="C64" s="810"/>
      <c r="D64" s="810"/>
      <c r="E64" s="811"/>
      <c r="F64" s="371">
        <v>962</v>
      </c>
      <c r="G64" s="397">
        <f t="shared" si="132"/>
        <v>962</v>
      </c>
      <c r="H64" s="321"/>
      <c r="I64" s="404"/>
      <c r="J64" s="93">
        <f>F64+150</f>
        <v>1112</v>
      </c>
      <c r="K64" s="331">
        <f t="shared" ref="K64" si="160">+J64*$X$1</f>
        <v>1112</v>
      </c>
      <c r="L64" s="650">
        <f>F64+110</f>
        <v>1072</v>
      </c>
      <c r="M64" s="331">
        <f t="shared" ref="M64" si="161">+L64*$X$1</f>
        <v>1072</v>
      </c>
      <c r="N64" s="650">
        <f>F64+80</f>
        <v>1042</v>
      </c>
      <c r="O64" s="331">
        <f t="shared" ref="O64" si="162">+N64*$X$1</f>
        <v>1042</v>
      </c>
      <c r="P64" s="650">
        <f>F64+60</f>
        <v>1022</v>
      </c>
      <c r="Q64" s="331">
        <f t="shared" ref="Q64" si="163">+P64*$X$1</f>
        <v>1022</v>
      </c>
      <c r="R64" s="650">
        <f>F64+50</f>
        <v>1012</v>
      </c>
      <c r="S64" s="331">
        <f t="shared" ref="S64" si="164">+R64*$X$1</f>
        <v>1012</v>
      </c>
      <c r="T64" s="650">
        <f>F64+43</f>
        <v>1005</v>
      </c>
      <c r="U64" s="331">
        <f t="shared" ref="U64" si="165">+T64*$X$1</f>
        <v>1005</v>
      </c>
      <c r="V64" s="650">
        <f>F64+39</f>
        <v>1001</v>
      </c>
      <c r="W64" s="331">
        <f t="shared" ref="W64" si="166">+V64*$X$1</f>
        <v>1001</v>
      </c>
      <c r="X64" s="141"/>
      <c r="Y64" s="141"/>
      <c r="Z64" s="141"/>
      <c r="AA64" s="141"/>
      <c r="AB64" s="508">
        <v>89</v>
      </c>
    </row>
    <row r="65" spans="1:38" ht="12.6" customHeight="1" x14ac:dyDescent="0.2">
      <c r="A65" s="20"/>
      <c r="B65" s="703" t="s">
        <v>576</v>
      </c>
      <c r="C65" s="697"/>
      <c r="D65" s="697"/>
      <c r="E65" s="697"/>
      <c r="F65" s="330">
        <v>484</v>
      </c>
      <c r="G65" s="395">
        <f t="shared" si="132"/>
        <v>484</v>
      </c>
      <c r="H65" s="322"/>
      <c r="I65" s="403"/>
      <c r="J65" s="75"/>
      <c r="K65" s="293"/>
      <c r="L65" s="368"/>
      <c r="M65" s="293"/>
      <c r="N65" s="368">
        <f t="shared" ref="N65:N66" si="167">F65+46</f>
        <v>530</v>
      </c>
      <c r="O65" s="330">
        <f t="shared" ref="O65:O66" si="168">+N65*$X$1</f>
        <v>530</v>
      </c>
      <c r="P65" s="368">
        <f t="shared" ref="P65:P66" si="169">F65+42</f>
        <v>526</v>
      </c>
      <c r="Q65" s="330">
        <f t="shared" ref="Q65:Q66" si="170">+P65*$X$1</f>
        <v>526</v>
      </c>
      <c r="R65" s="368">
        <f t="shared" ref="R65:R66" si="171">F65+35</f>
        <v>519</v>
      </c>
      <c r="S65" s="330">
        <f t="shared" ref="S65:S66" si="172">+R65*$X$1</f>
        <v>519</v>
      </c>
      <c r="T65" s="368">
        <f t="shared" ref="T65:T66" si="173">F65+29</f>
        <v>513</v>
      </c>
      <c r="U65" s="330">
        <f t="shared" ref="U65:U66" si="174">+T65*$X$1</f>
        <v>513</v>
      </c>
      <c r="V65" s="368">
        <f t="shared" ref="V65:V66" si="175">F65+24</f>
        <v>508</v>
      </c>
      <c r="W65" s="330">
        <f t="shared" ref="W65:W66" si="176">+V65*$X$1</f>
        <v>508</v>
      </c>
      <c r="X65" s="157"/>
      <c r="Y65" s="157"/>
      <c r="Z65" s="157" t="s">
        <v>83</v>
      </c>
      <c r="AA65" s="141"/>
      <c r="AB65" s="508">
        <v>91</v>
      </c>
    </row>
    <row r="66" spans="1:38" ht="12.6" customHeight="1" x14ac:dyDescent="0.2">
      <c r="A66" s="20"/>
      <c r="B66" s="947" t="s">
        <v>84</v>
      </c>
      <c r="C66" s="948"/>
      <c r="D66" s="948"/>
      <c r="E66" s="949"/>
      <c r="F66" s="331">
        <v>245</v>
      </c>
      <c r="G66" s="363">
        <f t="shared" si="132"/>
        <v>245</v>
      </c>
      <c r="H66" s="321"/>
      <c r="I66" s="404"/>
      <c r="J66" s="93"/>
      <c r="K66" s="356"/>
      <c r="L66" s="650"/>
      <c r="M66" s="356"/>
      <c r="N66" s="650">
        <f t="shared" si="167"/>
        <v>291</v>
      </c>
      <c r="O66" s="331">
        <f t="shared" si="168"/>
        <v>291</v>
      </c>
      <c r="P66" s="650">
        <f t="shared" si="169"/>
        <v>287</v>
      </c>
      <c r="Q66" s="331">
        <f t="shared" si="170"/>
        <v>287</v>
      </c>
      <c r="R66" s="650">
        <f t="shared" si="171"/>
        <v>280</v>
      </c>
      <c r="S66" s="331">
        <f t="shared" si="172"/>
        <v>280</v>
      </c>
      <c r="T66" s="650">
        <f t="shared" si="173"/>
        <v>274</v>
      </c>
      <c r="U66" s="331">
        <f t="shared" si="174"/>
        <v>274</v>
      </c>
      <c r="V66" s="650">
        <f t="shared" si="175"/>
        <v>269</v>
      </c>
      <c r="W66" s="331">
        <f t="shared" si="176"/>
        <v>269</v>
      </c>
      <c r="X66" s="157"/>
      <c r="Y66" s="157"/>
      <c r="Z66" s="157"/>
      <c r="AA66" s="141"/>
      <c r="AB66" s="508" t="s">
        <v>85</v>
      </c>
    </row>
    <row r="67" spans="1:38" ht="12.6" customHeight="1" x14ac:dyDescent="0.2">
      <c r="A67" s="20"/>
      <c r="B67" s="950" t="s">
        <v>392</v>
      </c>
      <c r="C67" s="951"/>
      <c r="D67" s="951"/>
      <c r="E67" s="1107"/>
      <c r="F67" s="330"/>
      <c r="G67" s="364"/>
      <c r="H67" s="322"/>
      <c r="I67" s="322"/>
      <c r="J67" s="75"/>
      <c r="K67" s="100"/>
      <c r="L67" s="368"/>
      <c r="M67" s="293"/>
      <c r="N67" s="108"/>
      <c r="O67" s="293"/>
      <c r="P67" s="108"/>
      <c r="Q67" s="330"/>
      <c r="R67" s="108"/>
      <c r="S67" s="293"/>
      <c r="T67" s="108"/>
      <c r="U67" s="293"/>
      <c r="V67" s="108"/>
      <c r="W67" s="330"/>
      <c r="X67" s="157"/>
      <c r="Y67" s="157"/>
      <c r="Z67" s="157"/>
      <c r="AA67" s="141"/>
      <c r="AB67" s="37"/>
    </row>
    <row r="68" spans="1:38" ht="12.6" customHeight="1" x14ac:dyDescent="0.2">
      <c r="A68" s="20"/>
      <c r="B68" s="947" t="s">
        <v>393</v>
      </c>
      <c r="C68" s="948"/>
      <c r="D68" s="948"/>
      <c r="E68" s="949"/>
      <c r="F68" s="331"/>
      <c r="G68" s="363"/>
      <c r="H68" s="321"/>
      <c r="I68" s="321"/>
      <c r="J68" s="93"/>
      <c r="K68" s="98"/>
      <c r="L68" s="650"/>
      <c r="M68" s="356"/>
      <c r="N68" s="107"/>
      <c r="O68" s="356"/>
      <c r="P68" s="107"/>
      <c r="Q68" s="331"/>
      <c r="R68" s="107"/>
      <c r="S68" s="356"/>
      <c r="T68" s="107"/>
      <c r="U68" s="356"/>
      <c r="V68" s="107"/>
      <c r="W68" s="331"/>
      <c r="X68" s="157"/>
      <c r="Y68" s="157"/>
      <c r="Z68" s="157"/>
      <c r="AA68" s="141"/>
      <c r="AB68" s="37"/>
    </row>
    <row r="69" spans="1:38" ht="12.6" customHeight="1" x14ac:dyDescent="0.2">
      <c r="A69" s="20"/>
      <c r="B69" s="703" t="s">
        <v>86</v>
      </c>
      <c r="C69" s="697"/>
      <c r="D69" s="697"/>
      <c r="E69" s="697"/>
      <c r="F69" s="330">
        <v>4924</v>
      </c>
      <c r="G69" s="364">
        <f t="shared" si="132"/>
        <v>4924</v>
      </c>
      <c r="H69" s="75">
        <f>F69+310</f>
        <v>5234</v>
      </c>
      <c r="I69" s="330">
        <f>+H69*$X$1</f>
        <v>5234</v>
      </c>
      <c r="J69" s="75">
        <f>F69+130</f>
        <v>5054</v>
      </c>
      <c r="K69" s="330">
        <f t="shared" ref="K69" si="177">+J69*$X$1</f>
        <v>5054</v>
      </c>
      <c r="L69" s="665">
        <f>F69+80</f>
        <v>5004</v>
      </c>
      <c r="M69" s="330">
        <f t="shared" ref="M69" si="178">+L69*$X$1</f>
        <v>5004</v>
      </c>
      <c r="N69" s="665">
        <f>F69+50</f>
        <v>4974</v>
      </c>
      <c r="O69" s="330">
        <f t="shared" ref="O69" si="179">+N69*$X$1</f>
        <v>4974</v>
      </c>
      <c r="P69" s="665">
        <f>F69+45</f>
        <v>4969</v>
      </c>
      <c r="Q69" s="330">
        <f t="shared" ref="Q69" si="180">+P69*$X$1</f>
        <v>4969</v>
      </c>
      <c r="R69" s="665">
        <f>F69+37</f>
        <v>4961</v>
      </c>
      <c r="S69" s="330">
        <f t="shared" ref="S69" si="181">+R69*$X$1</f>
        <v>4961</v>
      </c>
      <c r="T69" s="665">
        <f>F69+30</f>
        <v>4954</v>
      </c>
      <c r="U69" s="330">
        <f t="shared" ref="U69" si="182">+T69*$X$1</f>
        <v>4954</v>
      </c>
      <c r="V69" s="665">
        <f>F69+25</f>
        <v>4949</v>
      </c>
      <c r="W69" s="330">
        <f t="shared" ref="W69" si="183">+V69*$X$1</f>
        <v>4949</v>
      </c>
      <c r="X69" s="144"/>
      <c r="Y69" s="141"/>
      <c r="Z69" s="141"/>
      <c r="AA69" s="141"/>
      <c r="AB69" s="508">
        <v>92</v>
      </c>
    </row>
    <row r="70" spans="1:38" ht="12.6" customHeight="1" x14ac:dyDescent="0.25">
      <c r="A70" s="61"/>
      <c r="B70" s="816" t="s">
        <v>540</v>
      </c>
      <c r="C70" s="866"/>
      <c r="D70" s="866"/>
      <c r="E70" s="866"/>
      <c r="F70" s="331"/>
      <c r="G70" s="356"/>
      <c r="H70" s="275"/>
      <c r="I70" s="706" t="s">
        <v>548</v>
      </c>
      <c r="J70" s="707"/>
      <c r="K70" s="707"/>
      <c r="L70" s="708"/>
      <c r="M70" s="709"/>
      <c r="N70" s="650">
        <v>750</v>
      </c>
      <c r="O70" s="363">
        <f>+N70*$X$1</f>
        <v>750</v>
      </c>
      <c r="P70" s="323">
        <v>746</v>
      </c>
      <c r="Q70" s="396">
        <f>+P70*$X$1</f>
        <v>746</v>
      </c>
      <c r="R70" s="650">
        <v>707</v>
      </c>
      <c r="S70" s="356">
        <f>+R70*$X$1</f>
        <v>707</v>
      </c>
      <c r="T70" s="650">
        <v>677</v>
      </c>
      <c r="U70" s="331">
        <f>+T70*$X$1</f>
        <v>677</v>
      </c>
      <c r="V70" s="650">
        <v>616</v>
      </c>
      <c r="W70" s="331">
        <f>+V70*$X$1</f>
        <v>616</v>
      </c>
      <c r="X70" s="705"/>
      <c r="Y70" s="705"/>
      <c r="Z70" s="705"/>
      <c r="AA70" s="705"/>
      <c r="AB70" s="208" t="s">
        <v>541</v>
      </c>
    </row>
    <row r="71" spans="1:38" ht="12.6" customHeight="1" x14ac:dyDescent="0.25">
      <c r="A71" s="61"/>
      <c r="B71" s="703" t="s">
        <v>382</v>
      </c>
      <c r="C71" s="704"/>
      <c r="D71" s="704"/>
      <c r="E71" s="704"/>
      <c r="F71" s="330"/>
      <c r="G71" s="293"/>
      <c r="H71" s="113"/>
      <c r="I71" s="939" t="s">
        <v>548</v>
      </c>
      <c r="J71" s="940"/>
      <c r="K71" s="940"/>
      <c r="L71" s="941"/>
      <c r="M71" s="942"/>
      <c r="N71" s="368">
        <v>810</v>
      </c>
      <c r="O71" s="364">
        <f>+N71*$X$1</f>
        <v>810</v>
      </c>
      <c r="P71" s="345">
        <v>806</v>
      </c>
      <c r="Q71" s="358">
        <f>+P71*$X$1</f>
        <v>806</v>
      </c>
      <c r="R71" s="368">
        <v>760</v>
      </c>
      <c r="S71" s="293">
        <f>+R71*$X$1</f>
        <v>760</v>
      </c>
      <c r="T71" s="368">
        <v>741</v>
      </c>
      <c r="U71" s="330">
        <f>+T71*$X$1</f>
        <v>741</v>
      </c>
      <c r="V71" s="368">
        <v>670</v>
      </c>
      <c r="W71" s="330">
        <f>+V71*$X$1</f>
        <v>670</v>
      </c>
      <c r="X71" s="705"/>
      <c r="Y71" s="705"/>
      <c r="Z71" s="705"/>
      <c r="AA71" s="705"/>
      <c r="AB71" s="208" t="s">
        <v>87</v>
      </c>
    </row>
    <row r="72" spans="1:38" ht="12.6" customHeight="1" x14ac:dyDescent="0.25">
      <c r="A72" s="61"/>
      <c r="B72" s="816" t="s">
        <v>542</v>
      </c>
      <c r="C72" s="866"/>
      <c r="D72" s="866"/>
      <c r="E72" s="866"/>
      <c r="F72" s="331"/>
      <c r="G72" s="356"/>
      <c r="H72" s="275"/>
      <c r="I72" s="706" t="s">
        <v>548</v>
      </c>
      <c r="J72" s="707"/>
      <c r="K72" s="707"/>
      <c r="L72" s="708"/>
      <c r="M72" s="709"/>
      <c r="N72" s="650">
        <v>1160</v>
      </c>
      <c r="O72" s="363">
        <f>+N72*$X$1</f>
        <v>1160</v>
      </c>
      <c r="P72" s="344">
        <v>1155</v>
      </c>
      <c r="Q72" s="396">
        <f>+P72*$X$1</f>
        <v>1155</v>
      </c>
      <c r="R72" s="650">
        <v>1115</v>
      </c>
      <c r="S72" s="356">
        <f>+R72*$X$1</f>
        <v>1115</v>
      </c>
      <c r="T72" s="650">
        <v>1096</v>
      </c>
      <c r="U72" s="331">
        <f>+T72*$X$1</f>
        <v>1096</v>
      </c>
      <c r="V72" s="650">
        <v>1021</v>
      </c>
      <c r="W72" s="331">
        <f>+V72*$X$1</f>
        <v>1021</v>
      </c>
      <c r="X72" s="705"/>
      <c r="Y72" s="705"/>
      <c r="Z72" s="705"/>
      <c r="AA72" s="705"/>
      <c r="AB72" s="208" t="s">
        <v>543</v>
      </c>
    </row>
    <row r="73" spans="1:38" ht="12.6" customHeight="1" x14ac:dyDescent="0.25">
      <c r="A73" s="20"/>
      <c r="B73" s="703" t="s">
        <v>383</v>
      </c>
      <c r="C73" s="704"/>
      <c r="D73" s="704"/>
      <c r="E73" s="704"/>
      <c r="F73" s="330"/>
      <c r="G73" s="293"/>
      <c r="H73" s="113"/>
      <c r="I73" s="922"/>
      <c r="J73" s="923"/>
      <c r="K73" s="923"/>
      <c r="L73" s="322"/>
      <c r="M73" s="403"/>
      <c r="N73" s="368"/>
      <c r="O73" s="364"/>
      <c r="P73" s="368"/>
      <c r="Q73" s="330"/>
      <c r="R73" s="368"/>
      <c r="S73" s="293"/>
      <c r="T73" s="368"/>
      <c r="U73" s="330"/>
      <c r="V73" s="120"/>
      <c r="W73" s="330"/>
      <c r="X73" s="705"/>
      <c r="Y73" s="705"/>
      <c r="Z73" s="705"/>
      <c r="AA73" s="705"/>
      <c r="AB73" s="208" t="s">
        <v>88</v>
      </c>
      <c r="AH73" s="4"/>
      <c r="AI73" s="4"/>
      <c r="AJ73" s="4"/>
    </row>
    <row r="74" spans="1:38" s="6" customFormat="1" ht="12.6" customHeight="1" x14ac:dyDescent="0.25">
      <c r="A74" s="61"/>
      <c r="B74" s="692" t="s">
        <v>460</v>
      </c>
      <c r="C74" s="693"/>
      <c r="D74" s="693"/>
      <c r="E74" s="694"/>
      <c r="F74" s="331"/>
      <c r="G74" s="356"/>
      <c r="H74" s="650"/>
      <c r="I74" s="363"/>
      <c r="J74" s="337"/>
      <c r="K74" s="431"/>
      <c r="L74" s="654">
        <v>2050</v>
      </c>
      <c r="M74" s="331">
        <f>+L74*$X$1</f>
        <v>2050</v>
      </c>
      <c r="N74" s="650">
        <v>1905</v>
      </c>
      <c r="O74" s="363">
        <f>+N74*$X$1</f>
        <v>1905</v>
      </c>
      <c r="P74" s="479">
        <v>1760</v>
      </c>
      <c r="Q74" s="396">
        <f>+P74*$X$1</f>
        <v>1760</v>
      </c>
      <c r="R74" s="650">
        <v>1740</v>
      </c>
      <c r="S74" s="356">
        <f>+R74*$X$1</f>
        <v>1740</v>
      </c>
      <c r="T74" s="650">
        <v>1690</v>
      </c>
      <c r="U74" s="331">
        <f>+T74*$X$1</f>
        <v>1690</v>
      </c>
      <c r="V74" s="649"/>
      <c r="W74" s="429"/>
      <c r="X74" s="273"/>
      <c r="Y74" s="274"/>
      <c r="Z74" s="274"/>
      <c r="AA74" s="274"/>
      <c r="AB74" s="208" t="s">
        <v>89</v>
      </c>
      <c r="AC74" s="9"/>
      <c r="AD74" s="9"/>
      <c r="AE74" s="9"/>
      <c r="AF74" s="9"/>
      <c r="AG74" s="9"/>
      <c r="AH74" s="60"/>
      <c r="AI74" s="26"/>
      <c r="AJ74" s="60"/>
      <c r="AK74" s="9"/>
      <c r="AL74" s="9"/>
    </row>
    <row r="75" spans="1:38" s="6" customFormat="1" ht="12.6" customHeight="1" x14ac:dyDescent="0.25">
      <c r="A75" s="61"/>
      <c r="B75" s="899" t="s">
        <v>461</v>
      </c>
      <c r="C75" s="900"/>
      <c r="D75" s="900"/>
      <c r="E75" s="901"/>
      <c r="F75" s="330"/>
      <c r="G75" s="651"/>
      <c r="H75" s="368"/>
      <c r="I75" s="652"/>
      <c r="J75" s="369"/>
      <c r="K75" s="430"/>
      <c r="L75" s="653">
        <v>2900</v>
      </c>
      <c r="M75" s="330">
        <f>+L75*$X$1</f>
        <v>2900</v>
      </c>
      <c r="N75" s="368">
        <v>2670</v>
      </c>
      <c r="O75" s="652">
        <f>+N75*$X$1</f>
        <v>2670</v>
      </c>
      <c r="P75" s="478">
        <v>2615</v>
      </c>
      <c r="Q75" s="358">
        <f>+P75*$X$1</f>
        <v>2615</v>
      </c>
      <c r="R75" s="368">
        <v>2590</v>
      </c>
      <c r="S75" s="651">
        <f>+R75*$X$1</f>
        <v>2590</v>
      </c>
      <c r="T75" s="368">
        <v>2420</v>
      </c>
      <c r="U75" s="330">
        <f>+T75*$X$1</f>
        <v>2420</v>
      </c>
      <c r="V75" s="648"/>
      <c r="W75" s="428"/>
      <c r="X75" s="924"/>
      <c r="Y75" s="925"/>
      <c r="Z75" s="925"/>
      <c r="AA75" s="925"/>
      <c r="AB75" s="208" t="s">
        <v>90</v>
      </c>
      <c r="AC75" s="9"/>
      <c r="AD75" s="9"/>
      <c r="AE75" s="9"/>
      <c r="AF75" s="9"/>
      <c r="AG75" s="9"/>
      <c r="AH75" s="60"/>
      <c r="AI75" s="60"/>
      <c r="AJ75" s="60"/>
      <c r="AK75" s="9"/>
      <c r="AL75" s="9"/>
    </row>
    <row r="76" spans="1:38" ht="12.6" customHeight="1" x14ac:dyDescent="0.2">
      <c r="A76" s="101"/>
      <c r="B76" s="115"/>
      <c r="C76" s="71"/>
      <c r="D76" s="71"/>
      <c r="E76" s="71"/>
      <c r="F76" s="199"/>
      <c r="G76" s="199"/>
      <c r="H76" s="199"/>
      <c r="I76" s="199"/>
      <c r="J76" s="199"/>
      <c r="K76" s="199"/>
      <c r="L76" s="116"/>
      <c r="M76" s="116"/>
      <c r="N76" s="117"/>
      <c r="O76" s="117"/>
      <c r="P76" s="117"/>
      <c r="Q76" s="118"/>
      <c r="R76" s="92"/>
      <c r="S76" s="67"/>
      <c r="T76" s="67"/>
      <c r="U76" s="67"/>
      <c r="V76" s="67"/>
      <c r="W76" s="67"/>
      <c r="X76" s="80"/>
      <c r="AB76" s="114"/>
    </row>
    <row r="77" spans="1:38" ht="12.6" customHeight="1" x14ac:dyDescent="0.2">
      <c r="A77" s="101"/>
      <c r="B77" s="115"/>
      <c r="C77" s="367"/>
      <c r="D77" s="367"/>
      <c r="E77" s="367"/>
      <c r="F77" s="259"/>
      <c r="G77" s="259"/>
      <c r="H77" s="259"/>
      <c r="I77" s="259"/>
      <c r="J77" s="259"/>
      <c r="K77" s="259"/>
      <c r="L77" s="116"/>
      <c r="M77" s="116"/>
      <c r="N77" s="117"/>
      <c r="O77" s="117"/>
      <c r="P77" s="117"/>
      <c r="Q77" s="118"/>
      <c r="R77" s="92"/>
      <c r="S77" s="67"/>
      <c r="T77" s="67"/>
      <c r="U77" s="67"/>
      <c r="V77" s="67"/>
      <c r="W77" s="67"/>
      <c r="X77" s="80"/>
      <c r="AB77" s="114"/>
    </row>
    <row r="78" spans="1:38" ht="12.6" customHeight="1" thickBot="1" x14ac:dyDescent="0.25">
      <c r="A78" s="101"/>
      <c r="B78" s="115"/>
      <c r="C78" s="260"/>
      <c r="D78" s="260"/>
      <c r="E78" s="260"/>
      <c r="F78" s="259"/>
      <c r="G78" s="259"/>
      <c r="H78" s="259"/>
      <c r="I78" s="259"/>
      <c r="J78" s="259"/>
      <c r="K78" s="259"/>
      <c r="L78" s="116"/>
      <c r="M78" s="116"/>
      <c r="N78" s="117"/>
      <c r="O78" s="117"/>
      <c r="P78" s="117"/>
      <c r="Q78" s="118"/>
      <c r="R78" s="92"/>
      <c r="S78" s="67"/>
      <c r="T78" s="67"/>
      <c r="U78" s="67"/>
      <c r="V78" s="67"/>
      <c r="W78" s="67"/>
      <c r="X78" s="80"/>
      <c r="AB78" s="114"/>
    </row>
    <row r="79" spans="1:38" ht="15.75" customHeight="1" x14ac:dyDescent="0.2">
      <c r="A79" s="20"/>
      <c r="B79" s="763" t="s">
        <v>11</v>
      </c>
      <c r="C79" s="689" t="s">
        <v>12</v>
      </c>
      <c r="D79" s="690"/>
      <c r="E79" s="690"/>
      <c r="F79" s="895" t="s">
        <v>13</v>
      </c>
      <c r="G79" s="895" t="s">
        <v>13</v>
      </c>
      <c r="H79" s="746" t="s">
        <v>14</v>
      </c>
      <c r="I79" s="746"/>
      <c r="J79" s="747"/>
      <c r="K79" s="747"/>
      <c r="L79" s="747"/>
      <c r="M79" s="747"/>
      <c r="N79" s="747"/>
      <c r="O79" s="747"/>
      <c r="P79" s="747"/>
      <c r="Q79" s="747"/>
      <c r="R79" s="747"/>
      <c r="S79" s="747"/>
      <c r="T79" s="747"/>
      <c r="U79" s="747"/>
      <c r="V79" s="747"/>
      <c r="W79" s="748"/>
      <c r="X79" s="732" t="s">
        <v>15</v>
      </c>
      <c r="Y79" s="732"/>
      <c r="Z79" s="732"/>
      <c r="AA79" s="732"/>
      <c r="AB79" s="729" t="s">
        <v>16</v>
      </c>
      <c r="AF79" s="727" t="s">
        <v>3</v>
      </c>
      <c r="AG79" s="728"/>
      <c r="AH79" s="728"/>
    </row>
    <row r="80" spans="1:38" ht="12" customHeight="1" thickBot="1" x14ac:dyDescent="0.25">
      <c r="A80" s="20"/>
      <c r="B80" s="764"/>
      <c r="C80" s="691"/>
      <c r="D80" s="691"/>
      <c r="E80" s="691"/>
      <c r="F80" s="896"/>
      <c r="G80" s="896"/>
      <c r="H80" s="286"/>
      <c r="I80" s="282" t="s">
        <v>307</v>
      </c>
      <c r="J80" s="286"/>
      <c r="K80" s="282" t="s">
        <v>18</v>
      </c>
      <c r="L80" s="287"/>
      <c r="M80" s="287" t="s">
        <v>19</v>
      </c>
      <c r="N80" s="287"/>
      <c r="O80" s="282" t="s">
        <v>20</v>
      </c>
      <c r="P80" s="288"/>
      <c r="Q80" s="287" t="s">
        <v>309</v>
      </c>
      <c r="R80" s="287"/>
      <c r="S80" s="287" t="s">
        <v>21</v>
      </c>
      <c r="T80" s="287"/>
      <c r="U80" s="287" t="s">
        <v>22</v>
      </c>
      <c r="V80" s="287"/>
      <c r="W80" s="289" t="s">
        <v>23</v>
      </c>
      <c r="X80" s="734"/>
      <c r="Y80" s="734"/>
      <c r="Z80" s="734"/>
      <c r="AA80" s="734"/>
      <c r="AB80" s="902"/>
    </row>
    <row r="81" spans="1:34" ht="12.6" customHeight="1" x14ac:dyDescent="0.2">
      <c r="A81" s="20"/>
      <c r="B81" s="679" t="s">
        <v>91</v>
      </c>
      <c r="C81" s="695"/>
      <c r="D81" s="695"/>
      <c r="E81" s="702"/>
      <c r="F81" s="718" t="s">
        <v>777</v>
      </c>
      <c r="G81" s="719"/>
      <c r="H81" s="719"/>
      <c r="I81" s="719"/>
      <c r="J81" s="298"/>
      <c r="K81" s="321"/>
      <c r="L81" s="352"/>
      <c r="M81" s="331"/>
      <c r="N81" s="474"/>
      <c r="O81" s="396"/>
      <c r="P81" s="323"/>
      <c r="Q81" s="396"/>
      <c r="R81" s="474"/>
      <c r="S81" s="331"/>
      <c r="T81" s="474"/>
      <c r="U81" s="331"/>
      <c r="V81" s="474"/>
      <c r="W81" s="331"/>
      <c r="X81" s="141"/>
      <c r="Y81" s="141"/>
      <c r="Z81" s="141"/>
      <c r="AA81" s="141"/>
      <c r="AB81" s="515" t="s">
        <v>92</v>
      </c>
      <c r="AC81" s="511" t="s">
        <v>93</v>
      </c>
      <c r="AD81" s="511" t="s">
        <v>94</v>
      </c>
      <c r="AE81" s="511" t="s">
        <v>95</v>
      </c>
      <c r="AF81" s="511" t="s">
        <v>96</v>
      </c>
      <c r="AG81" s="511" t="s">
        <v>97</v>
      </c>
    </row>
    <row r="82" spans="1:34" ht="12.6" customHeight="1" x14ac:dyDescent="0.2">
      <c r="A82" s="20"/>
      <c r="B82" s="696" t="s">
        <v>98</v>
      </c>
      <c r="C82" s="697"/>
      <c r="D82" s="697"/>
      <c r="E82" s="701"/>
      <c r="F82" s="720"/>
      <c r="G82" s="721"/>
      <c r="H82" s="721"/>
      <c r="I82" s="721"/>
      <c r="J82" s="19"/>
      <c r="K82" s="327"/>
      <c r="L82" s="353"/>
      <c r="M82" s="330"/>
      <c r="N82" s="480"/>
      <c r="O82" s="364"/>
      <c r="P82" s="324"/>
      <c r="Q82" s="358"/>
      <c r="R82" s="480"/>
      <c r="S82" s="293"/>
      <c r="T82" s="480"/>
      <c r="U82" s="330"/>
      <c r="V82" s="119"/>
      <c r="W82" s="330"/>
      <c r="X82" s="145"/>
      <c r="Y82" s="145"/>
      <c r="Z82" s="145"/>
      <c r="AA82" s="145"/>
      <c r="AB82" s="515" t="s">
        <v>99</v>
      </c>
      <c r="AC82" s="511" t="s">
        <v>100</v>
      </c>
      <c r="AD82" s="511" t="s">
        <v>101</v>
      </c>
      <c r="AE82" s="511" t="s">
        <v>102</v>
      </c>
      <c r="AF82" s="511" t="s">
        <v>103</v>
      </c>
      <c r="AG82" s="511" t="s">
        <v>104</v>
      </c>
      <c r="AH82" s="511" t="s">
        <v>105</v>
      </c>
    </row>
    <row r="83" spans="1:34" ht="12.6" customHeight="1" x14ac:dyDescent="0.25">
      <c r="A83" s="20"/>
      <c r="B83" s="679" t="s">
        <v>106</v>
      </c>
      <c r="C83" s="695"/>
      <c r="D83" s="695"/>
      <c r="E83" s="702"/>
      <c r="F83" s="720"/>
      <c r="G83" s="721"/>
      <c r="H83" s="721"/>
      <c r="I83" s="721"/>
      <c r="J83" s="298"/>
      <c r="K83" s="321"/>
      <c r="L83" s="352"/>
      <c r="M83" s="331"/>
      <c r="N83" s="474"/>
      <c r="O83" s="363"/>
      <c r="P83" s="323"/>
      <c r="Q83" s="396"/>
      <c r="R83" s="474"/>
      <c r="S83" s="356"/>
      <c r="T83" s="474"/>
      <c r="U83" s="331"/>
      <c r="V83" s="474"/>
      <c r="W83" s="331"/>
      <c r="X83" s="819"/>
      <c r="Y83" s="820"/>
      <c r="Z83" s="820"/>
      <c r="AA83" s="201"/>
      <c r="AB83" s="515" t="s">
        <v>107</v>
      </c>
      <c r="AC83" s="511" t="s">
        <v>108</v>
      </c>
      <c r="AD83" s="511" t="s">
        <v>109</v>
      </c>
      <c r="AE83" s="511" t="s">
        <v>110</v>
      </c>
      <c r="AF83" s="511" t="s">
        <v>111</v>
      </c>
      <c r="AG83" s="516" t="s">
        <v>112</v>
      </c>
      <c r="AH83" s="511" t="s">
        <v>113</v>
      </c>
    </row>
    <row r="84" spans="1:34" ht="12.6" customHeight="1" x14ac:dyDescent="0.25">
      <c r="A84" s="20"/>
      <c r="B84" s="696" t="s">
        <v>114</v>
      </c>
      <c r="C84" s="697"/>
      <c r="D84" s="697"/>
      <c r="E84" s="701"/>
      <c r="F84" s="720"/>
      <c r="G84" s="721"/>
      <c r="H84" s="721"/>
      <c r="I84" s="721"/>
      <c r="J84" s="19"/>
      <c r="K84" s="327"/>
      <c r="L84" s="353"/>
      <c r="M84" s="330"/>
      <c r="N84" s="119"/>
      <c r="O84" s="364"/>
      <c r="P84" s="324"/>
      <c r="Q84" s="358"/>
      <c r="R84" s="119"/>
      <c r="S84" s="293"/>
      <c r="T84" s="119"/>
      <c r="U84" s="330"/>
      <c r="V84" s="119"/>
      <c r="W84" s="330"/>
      <c r="X84" s="819"/>
      <c r="Y84" s="820"/>
      <c r="Z84" s="820"/>
      <c r="AA84" s="201"/>
      <c r="AB84" s="515" t="s">
        <v>115</v>
      </c>
      <c r="AC84" s="517" t="s">
        <v>116</v>
      </c>
      <c r="AD84" s="517" t="s">
        <v>117</v>
      </c>
      <c r="AE84" s="517" t="s">
        <v>118</v>
      </c>
      <c r="AF84" s="517" t="s">
        <v>119</v>
      </c>
      <c r="AG84" s="32"/>
    </row>
    <row r="85" spans="1:34" ht="12.6" customHeight="1" x14ac:dyDescent="0.2">
      <c r="A85" s="20"/>
      <c r="B85" s="679" t="s">
        <v>120</v>
      </c>
      <c r="C85" s="695"/>
      <c r="D85" s="695"/>
      <c r="E85" s="702"/>
      <c r="F85" s="720"/>
      <c r="G85" s="721"/>
      <c r="H85" s="721"/>
      <c r="I85" s="721"/>
      <c r="J85" s="298"/>
      <c r="K85" s="321"/>
      <c r="L85" s="352"/>
      <c r="M85" s="331"/>
      <c r="N85" s="474"/>
      <c r="O85" s="363"/>
      <c r="P85" s="323"/>
      <c r="Q85" s="396"/>
      <c r="R85" s="474"/>
      <c r="S85" s="356"/>
      <c r="T85" s="474"/>
      <c r="U85" s="331"/>
      <c r="V85" s="474"/>
      <c r="W85" s="331"/>
      <c r="X85" s="162"/>
      <c r="Y85" s="162"/>
      <c r="Z85" s="162"/>
      <c r="AA85" s="162"/>
      <c r="AB85" s="33" t="s">
        <v>121</v>
      </c>
      <c r="AC85" s="511" t="s">
        <v>122</v>
      </c>
      <c r="AD85" s="511" t="s">
        <v>123</v>
      </c>
      <c r="AE85" s="511" t="s">
        <v>124</v>
      </c>
      <c r="AF85" s="511" t="s">
        <v>125</v>
      </c>
      <c r="AG85" s="511" t="s">
        <v>126</v>
      </c>
    </row>
    <row r="86" spans="1:34" ht="12.6" customHeight="1" x14ac:dyDescent="0.2">
      <c r="A86" s="20"/>
      <c r="B86" s="696" t="s">
        <v>127</v>
      </c>
      <c r="C86" s="697"/>
      <c r="D86" s="697"/>
      <c r="E86" s="701"/>
      <c r="F86" s="720"/>
      <c r="G86" s="721"/>
      <c r="H86" s="721"/>
      <c r="I86" s="721"/>
      <c r="J86" s="19"/>
      <c r="K86" s="327"/>
      <c r="L86" s="353"/>
      <c r="M86" s="330"/>
      <c r="N86" s="119"/>
      <c r="O86" s="364"/>
      <c r="P86" s="324"/>
      <c r="Q86" s="358"/>
      <c r="R86" s="119"/>
      <c r="S86" s="293"/>
      <c r="T86" s="119"/>
      <c r="U86" s="330"/>
      <c r="V86" s="119"/>
      <c r="W86" s="330"/>
      <c r="X86" s="162"/>
      <c r="Y86" s="162"/>
      <c r="Z86" s="162"/>
      <c r="AA86" s="162"/>
      <c r="AB86" s="33" t="s">
        <v>128</v>
      </c>
      <c r="AC86" s="517" t="s">
        <v>129</v>
      </c>
      <c r="AD86" s="517" t="s">
        <v>130</v>
      </c>
      <c r="AE86" s="517" t="s">
        <v>131</v>
      </c>
    </row>
    <row r="87" spans="1:34" ht="12.6" customHeight="1" x14ac:dyDescent="0.25">
      <c r="A87" s="20"/>
      <c r="B87" s="679" t="s">
        <v>132</v>
      </c>
      <c r="C87" s="695"/>
      <c r="D87" s="695"/>
      <c r="E87" s="702"/>
      <c r="F87" s="720"/>
      <c r="G87" s="721"/>
      <c r="H87" s="721"/>
      <c r="I87" s="721"/>
      <c r="J87" s="298"/>
      <c r="K87" s="321"/>
      <c r="L87" s="352"/>
      <c r="M87" s="331"/>
      <c r="N87" s="474"/>
      <c r="O87" s="363"/>
      <c r="P87" s="323"/>
      <c r="Q87" s="396"/>
      <c r="R87" s="474"/>
      <c r="S87" s="356"/>
      <c r="T87" s="474"/>
      <c r="U87" s="331"/>
      <c r="V87" s="474"/>
      <c r="W87" s="331"/>
      <c r="X87" s="819"/>
      <c r="Y87" s="820"/>
      <c r="Z87" s="820"/>
      <c r="AA87" s="201"/>
      <c r="AB87" s="33" t="s">
        <v>133</v>
      </c>
      <c r="AC87" s="511" t="s">
        <v>134</v>
      </c>
      <c r="AD87" s="511" t="s">
        <v>135</v>
      </c>
      <c r="AE87" s="511" t="s">
        <v>136</v>
      </c>
      <c r="AF87" s="511" t="s">
        <v>137</v>
      </c>
      <c r="AG87" s="511" t="s">
        <v>138</v>
      </c>
      <c r="AH87" s="511" t="s">
        <v>139</v>
      </c>
    </row>
    <row r="88" spans="1:34" ht="12.6" customHeight="1" x14ac:dyDescent="0.25">
      <c r="A88" s="20"/>
      <c r="B88" s="696" t="s">
        <v>140</v>
      </c>
      <c r="C88" s="697"/>
      <c r="D88" s="697"/>
      <c r="E88" s="701"/>
      <c r="F88" s="720"/>
      <c r="G88" s="721"/>
      <c r="H88" s="721"/>
      <c r="I88" s="721"/>
      <c r="J88" s="19"/>
      <c r="K88" s="327"/>
      <c r="L88" s="353"/>
      <c r="M88" s="330"/>
      <c r="N88" s="119"/>
      <c r="O88" s="364"/>
      <c r="P88" s="324"/>
      <c r="Q88" s="358"/>
      <c r="R88" s="119"/>
      <c r="S88" s="293"/>
      <c r="T88" s="119"/>
      <c r="U88" s="330"/>
      <c r="V88" s="119"/>
      <c r="W88" s="330"/>
      <c r="X88" s="819"/>
      <c r="Y88" s="820"/>
      <c r="Z88" s="820"/>
      <c r="AA88" s="201"/>
      <c r="AB88" s="513" t="s">
        <v>141</v>
      </c>
      <c r="AC88" s="68"/>
      <c r="AD88" s="68"/>
      <c r="AE88" s="68"/>
      <c r="AF88" s="68"/>
      <c r="AG88" s="68"/>
    </row>
    <row r="89" spans="1:34" ht="12.6" customHeight="1" x14ac:dyDescent="0.2">
      <c r="A89" s="20"/>
      <c r="B89" s="679" t="s">
        <v>142</v>
      </c>
      <c r="C89" s="695"/>
      <c r="D89" s="695"/>
      <c r="E89" s="702"/>
      <c r="F89" s="720"/>
      <c r="G89" s="721"/>
      <c r="H89" s="721"/>
      <c r="I89" s="721"/>
      <c r="J89" s="298"/>
      <c r="K89" s="321"/>
      <c r="L89" s="352"/>
      <c r="M89" s="331"/>
      <c r="N89" s="474"/>
      <c r="O89" s="363"/>
      <c r="P89" s="323"/>
      <c r="Q89" s="396"/>
      <c r="R89" s="474"/>
      <c r="S89" s="356"/>
      <c r="T89" s="474"/>
      <c r="U89" s="331"/>
      <c r="V89" s="474"/>
      <c r="W89" s="331"/>
      <c r="X89" s="161"/>
      <c r="Y89" s="161"/>
      <c r="Z89" s="161"/>
      <c r="AA89" s="161"/>
      <c r="AB89" s="511" t="s">
        <v>143</v>
      </c>
      <c r="AC89" s="68"/>
      <c r="AD89" s="68"/>
      <c r="AE89" s="68"/>
      <c r="AF89" s="68"/>
      <c r="AG89" s="68"/>
    </row>
    <row r="90" spans="1:34" ht="12.6" customHeight="1" x14ac:dyDescent="0.2">
      <c r="A90" s="20"/>
      <c r="B90" s="696" t="s">
        <v>144</v>
      </c>
      <c r="C90" s="697"/>
      <c r="D90" s="697"/>
      <c r="E90" s="701"/>
      <c r="F90" s="720"/>
      <c r="G90" s="721"/>
      <c r="H90" s="721"/>
      <c r="I90" s="721"/>
      <c r="J90" s="19"/>
      <c r="K90" s="327"/>
      <c r="L90" s="353"/>
      <c r="M90" s="330"/>
      <c r="N90" s="119"/>
      <c r="O90" s="364"/>
      <c r="P90" s="324"/>
      <c r="Q90" s="364"/>
      <c r="R90" s="119"/>
      <c r="S90" s="364"/>
      <c r="T90" s="119"/>
      <c r="U90" s="330"/>
      <c r="V90" s="119"/>
      <c r="W90" s="330"/>
      <c r="X90" s="161"/>
      <c r="Y90" s="161"/>
      <c r="Z90" s="161"/>
      <c r="AA90" s="161"/>
      <c r="AB90" s="511" t="s">
        <v>145</v>
      </c>
      <c r="AC90" s="68"/>
      <c r="AD90" s="68"/>
      <c r="AE90" s="68"/>
      <c r="AF90" s="68"/>
      <c r="AG90" s="68"/>
    </row>
    <row r="91" spans="1:34" ht="12.6" customHeight="1" x14ac:dyDescent="0.2">
      <c r="A91" s="20"/>
      <c r="B91" s="679" t="s">
        <v>146</v>
      </c>
      <c r="C91" s="695"/>
      <c r="D91" s="695"/>
      <c r="E91" s="702"/>
      <c r="F91" s="722"/>
      <c r="G91" s="723"/>
      <c r="H91" s="723"/>
      <c r="I91" s="723"/>
      <c r="J91" s="298"/>
      <c r="K91" s="321"/>
      <c r="L91" s="352"/>
      <c r="M91" s="331"/>
      <c r="N91" s="474"/>
      <c r="O91" s="416"/>
      <c r="P91" s="323"/>
      <c r="Q91" s="396"/>
      <c r="R91" s="99"/>
      <c r="S91" s="410"/>
      <c r="T91" s="474"/>
      <c r="U91" s="331"/>
      <c r="V91" s="474"/>
      <c r="W91" s="331"/>
      <c r="X91" s="141"/>
      <c r="Y91" s="141"/>
      <c r="Z91" s="141"/>
      <c r="AA91" s="141"/>
      <c r="AB91" s="514" t="s">
        <v>147</v>
      </c>
      <c r="AC91" s="511" t="s">
        <v>148</v>
      </c>
      <c r="AD91" s="511" t="s">
        <v>149</v>
      </c>
      <c r="AE91" s="511" t="s">
        <v>150</v>
      </c>
      <c r="AF91" s="511" t="s">
        <v>151</v>
      </c>
      <c r="AG91" s="511" t="s">
        <v>152</v>
      </c>
    </row>
    <row r="92" spans="1:34" ht="12.6" customHeight="1" x14ac:dyDescent="0.2">
      <c r="A92" s="20"/>
      <c r="B92" s="696" t="s">
        <v>571</v>
      </c>
      <c r="C92" s="697"/>
      <c r="D92" s="697"/>
      <c r="E92" s="697"/>
      <c r="F92" s="425"/>
      <c r="G92" s="358"/>
      <c r="H92" s="75"/>
      <c r="I92" s="384"/>
      <c r="J92" s="368"/>
      <c r="K92" s="330"/>
      <c r="L92" s="368"/>
      <c r="M92" s="330"/>
      <c r="N92" s="368"/>
      <c r="O92" s="330"/>
      <c r="P92" s="368"/>
      <c r="Q92" s="330"/>
      <c r="R92" s="368"/>
      <c r="S92" s="330"/>
      <c r="T92" s="368"/>
      <c r="U92" s="330"/>
      <c r="V92" s="368"/>
      <c r="W92" s="330"/>
      <c r="X92" s="173"/>
      <c r="Y92" s="145"/>
      <c r="Z92" s="145"/>
      <c r="AA92" s="148"/>
      <c r="AB92" s="172"/>
    </row>
    <row r="93" spans="1:34" ht="12.6" customHeight="1" x14ac:dyDescent="0.2">
      <c r="A93" s="20"/>
      <c r="B93" s="679" t="s">
        <v>536</v>
      </c>
      <c r="C93" s="695"/>
      <c r="D93" s="695"/>
      <c r="E93" s="695"/>
      <c r="F93" s="331"/>
      <c r="G93" s="396"/>
      <c r="H93" s="298"/>
      <c r="I93" s="336"/>
      <c r="J93" s="444"/>
      <c r="K93" s="331"/>
      <c r="L93" s="474"/>
      <c r="M93" s="331"/>
      <c r="N93" s="474"/>
      <c r="O93" s="331"/>
      <c r="P93" s="474"/>
      <c r="Q93" s="331"/>
      <c r="R93" s="474"/>
      <c r="S93" s="331"/>
      <c r="T93" s="474"/>
      <c r="U93" s="331"/>
      <c r="V93" s="93"/>
      <c r="W93" s="405"/>
      <c r="X93" s="173"/>
      <c r="Y93" s="145"/>
      <c r="Z93" s="145"/>
      <c r="AA93" s="148"/>
      <c r="AB93" s="512">
        <v>117</v>
      </c>
    </row>
    <row r="94" spans="1:34" ht="12.6" customHeight="1" x14ac:dyDescent="0.2">
      <c r="A94" s="20"/>
      <c r="B94" s="736" t="s">
        <v>555</v>
      </c>
      <c r="C94" s="739"/>
      <c r="D94" s="739"/>
      <c r="E94" s="740"/>
      <c r="F94" s="330"/>
      <c r="G94" s="358"/>
      <c r="H94" s="301"/>
      <c r="I94" s="322"/>
      <c r="J94" s="368"/>
      <c r="K94" s="330"/>
      <c r="L94" s="368"/>
      <c r="M94" s="330"/>
      <c r="N94" s="368"/>
      <c r="O94" s="330"/>
      <c r="P94" s="368"/>
      <c r="Q94" s="330"/>
      <c r="R94" s="368"/>
      <c r="S94" s="330"/>
      <c r="T94" s="368"/>
      <c r="U94" s="330"/>
      <c r="V94" s="75"/>
      <c r="W94" s="406"/>
      <c r="X94" s="173"/>
      <c r="Y94" s="145"/>
      <c r="Z94" s="145"/>
      <c r="AA94" s="148"/>
      <c r="AB94" s="512"/>
    </row>
    <row r="95" spans="1:34" ht="12.6" customHeight="1" x14ac:dyDescent="0.2">
      <c r="A95" s="20"/>
      <c r="B95" s="679" t="s">
        <v>537</v>
      </c>
      <c r="C95" s="695"/>
      <c r="D95" s="695"/>
      <c r="E95" s="695"/>
      <c r="F95" s="331"/>
      <c r="G95" s="396"/>
      <c r="H95" s="298"/>
      <c r="I95" s="321"/>
      <c r="J95" s="444"/>
      <c r="K95" s="331"/>
      <c r="L95" s="456"/>
      <c r="M95" s="331"/>
      <c r="N95" s="456"/>
      <c r="O95" s="331"/>
      <c r="P95" s="456"/>
      <c r="Q95" s="331"/>
      <c r="R95" s="456"/>
      <c r="S95" s="331"/>
      <c r="T95" s="456"/>
      <c r="U95" s="331"/>
      <c r="V95" s="93"/>
      <c r="W95" s="405"/>
      <c r="X95" s="173"/>
      <c r="Y95" s="145"/>
      <c r="Z95" s="145"/>
      <c r="AA95" s="148"/>
      <c r="AB95" s="512">
        <v>129</v>
      </c>
    </row>
    <row r="96" spans="1:34" ht="12.6" customHeight="1" x14ac:dyDescent="0.2">
      <c r="A96" s="111"/>
      <c r="B96" s="946" t="s">
        <v>451</v>
      </c>
      <c r="C96" s="904"/>
      <c r="D96" s="904"/>
      <c r="E96" s="904"/>
      <c r="F96" s="394">
        <v>480</v>
      </c>
      <c r="G96" s="426">
        <f t="shared" ref="G96:G101" si="184">+F96*$X$1</f>
        <v>480</v>
      </c>
      <c r="H96" s="299"/>
      <c r="I96" s="328"/>
      <c r="J96" s="267">
        <f t="shared" ref="J96:J104" si="185">F96+120</f>
        <v>600</v>
      </c>
      <c r="K96" s="458">
        <f>+J96*$X$1</f>
        <v>600</v>
      </c>
      <c r="L96" s="122">
        <f>F96+74</f>
        <v>554</v>
      </c>
      <c r="M96" s="458">
        <f t="shared" ref="M96:M97" si="186">+L96*$X$1</f>
        <v>554</v>
      </c>
      <c r="N96" s="110">
        <f>F96+7.2</f>
        <v>487.2</v>
      </c>
      <c r="O96" s="798" t="s">
        <v>153</v>
      </c>
      <c r="P96" s="799"/>
      <c r="Q96" s="799"/>
      <c r="R96" s="799"/>
      <c r="S96" s="799"/>
      <c r="T96" s="799"/>
      <c r="U96" s="799"/>
      <c r="V96" s="799"/>
      <c r="W96" s="799"/>
      <c r="X96" s="174"/>
      <c r="Y96" s="145"/>
      <c r="Z96" s="145"/>
      <c r="AA96" s="148"/>
      <c r="AB96" s="518">
        <v>247</v>
      </c>
    </row>
    <row r="97" spans="1:30" ht="12.6" customHeight="1" x14ac:dyDescent="0.2">
      <c r="A97" s="101"/>
      <c r="B97" s="698" t="s">
        <v>572</v>
      </c>
      <c r="C97" s="693"/>
      <c r="D97" s="693"/>
      <c r="E97" s="694"/>
      <c r="F97" s="461">
        <f>2.631*X2</f>
        <v>2467.8779999999997</v>
      </c>
      <c r="G97" s="363">
        <f>+F97*$X$1</f>
        <v>2467.8779999999997</v>
      </c>
      <c r="H97" s="321"/>
      <c r="I97" s="321"/>
      <c r="J97" s="93">
        <f t="shared" si="185"/>
        <v>2587.8779999999997</v>
      </c>
      <c r="K97" s="331">
        <f t="shared" ref="K97" si="187">+J97*$X$1</f>
        <v>2587.8779999999997</v>
      </c>
      <c r="L97" s="565">
        <f>F97+74</f>
        <v>2541.8779999999997</v>
      </c>
      <c r="M97" s="331">
        <f t="shared" si="186"/>
        <v>2541.8779999999997</v>
      </c>
      <c r="N97" s="565">
        <f>F97+46</f>
        <v>2513.8779999999997</v>
      </c>
      <c r="O97" s="331">
        <f t="shared" ref="O97" si="188">+N97*$X$1</f>
        <v>2513.8779999999997</v>
      </c>
      <c r="P97" s="565">
        <f>F97+42</f>
        <v>2509.8779999999997</v>
      </c>
      <c r="Q97" s="331">
        <f t="shared" ref="Q97" si="189">+P97*$X$1</f>
        <v>2509.8779999999997</v>
      </c>
      <c r="R97" s="565">
        <f>F97+35</f>
        <v>2502.8779999999997</v>
      </c>
      <c r="S97" s="331">
        <f t="shared" ref="S97" si="190">+R97*$X$1</f>
        <v>2502.8779999999997</v>
      </c>
      <c r="T97" s="565">
        <f>F97+29</f>
        <v>2496.8779999999997</v>
      </c>
      <c r="U97" s="331">
        <f t="shared" ref="U97" si="191">+T97*$X$1</f>
        <v>2496.8779999999997</v>
      </c>
      <c r="V97" s="565">
        <f>F97+24</f>
        <v>2491.8779999999997</v>
      </c>
      <c r="W97" s="331">
        <f t="shared" ref="W97" si="192">+V97*$X$1</f>
        <v>2491.8779999999997</v>
      </c>
      <c r="X97" s="174"/>
      <c r="Y97" s="145"/>
      <c r="Z97" s="145"/>
      <c r="AA97" s="148"/>
      <c r="AB97" s="518">
        <v>249</v>
      </c>
    </row>
    <row r="98" spans="1:30" ht="12.6" customHeight="1" x14ac:dyDescent="0.2">
      <c r="A98" s="111"/>
      <c r="B98" s="943" t="s">
        <v>450</v>
      </c>
      <c r="C98" s="944"/>
      <c r="D98" s="944"/>
      <c r="E98" s="944"/>
      <c r="F98" s="393">
        <v>40</v>
      </c>
      <c r="G98" s="427">
        <f t="shared" si="184"/>
        <v>40</v>
      </c>
      <c r="H98" s="335"/>
      <c r="I98" s="335"/>
      <c r="J98" s="109">
        <f t="shared" si="185"/>
        <v>160</v>
      </c>
      <c r="K98" s="393">
        <f t="shared" ref="K98" si="193">+J98*$X$1</f>
        <v>160</v>
      </c>
      <c r="L98" s="566">
        <f>F98+74</f>
        <v>114</v>
      </c>
      <c r="M98" s="393">
        <f t="shared" ref="M98" si="194">+L98*$X$1</f>
        <v>114</v>
      </c>
      <c r="N98" s="566">
        <f>F98+46</f>
        <v>86</v>
      </c>
      <c r="O98" s="393">
        <f t="shared" ref="O98" si="195">+N98*$X$1</f>
        <v>86</v>
      </c>
      <c r="P98" s="566">
        <f>F98+42</f>
        <v>82</v>
      </c>
      <c r="Q98" s="393">
        <f t="shared" ref="Q98" si="196">+P98*$X$1</f>
        <v>82</v>
      </c>
      <c r="R98" s="566">
        <f>F98+35</f>
        <v>75</v>
      </c>
      <c r="S98" s="393">
        <f t="shared" ref="S98" si="197">+R98*$X$1</f>
        <v>75</v>
      </c>
      <c r="T98" s="566">
        <f>F98+29</f>
        <v>69</v>
      </c>
      <c r="U98" s="393">
        <f t="shared" ref="U98" si="198">+T98*$X$1</f>
        <v>69</v>
      </c>
      <c r="V98" s="566">
        <f>F98+24</f>
        <v>64</v>
      </c>
      <c r="W98" s="393">
        <f t="shared" ref="W98" si="199">+V98*$X$1</f>
        <v>64</v>
      </c>
      <c r="X98" s="175"/>
      <c r="Y98" s="145"/>
      <c r="Z98" s="145"/>
      <c r="AA98" s="148"/>
      <c r="AB98" s="519">
        <v>251</v>
      </c>
    </row>
    <row r="99" spans="1:30" ht="12.6" customHeight="1" x14ac:dyDescent="0.2">
      <c r="A99" s="20"/>
      <c r="B99" s="679" t="s">
        <v>414</v>
      </c>
      <c r="C99" s="695"/>
      <c r="D99" s="695"/>
      <c r="E99" s="695"/>
      <c r="F99" s="331">
        <v>690</v>
      </c>
      <c r="G99" s="331">
        <f t="shared" si="184"/>
        <v>690</v>
      </c>
      <c r="H99" s="321"/>
      <c r="I99" s="321"/>
      <c r="J99" s="125">
        <f t="shared" si="185"/>
        <v>810</v>
      </c>
      <c r="K99" s="331">
        <f t="shared" ref="K99:K100" si="200">+J99*$X$1</f>
        <v>810</v>
      </c>
      <c r="L99" s="645"/>
      <c r="M99" s="645"/>
      <c r="N99" s="645">
        <f>F99+23</f>
        <v>713</v>
      </c>
      <c r="O99" s="645"/>
      <c r="P99" s="321"/>
      <c r="Q99" s="321"/>
      <c r="R99" s="645">
        <f>F99+15</f>
        <v>705</v>
      </c>
      <c r="S99" s="645"/>
      <c r="T99" s="645">
        <f>F99+12</f>
        <v>702</v>
      </c>
      <c r="U99" s="645"/>
      <c r="V99" s="645">
        <f>F99+10</f>
        <v>700</v>
      </c>
      <c r="W99" s="645"/>
      <c r="X99" s="175"/>
      <c r="Y99" s="145"/>
      <c r="Z99" s="145"/>
      <c r="AA99" s="148"/>
      <c r="AB99" s="519" t="s">
        <v>154</v>
      </c>
    </row>
    <row r="100" spans="1:30" ht="12.6" customHeight="1" x14ac:dyDescent="0.2">
      <c r="A100" s="20"/>
      <c r="B100" s="736" t="s">
        <v>560</v>
      </c>
      <c r="C100" s="737"/>
      <c r="D100" s="737"/>
      <c r="E100" s="738"/>
      <c r="F100" s="460">
        <f>12.097*X2</f>
        <v>11346.985999999999</v>
      </c>
      <c r="G100" s="330">
        <f t="shared" si="184"/>
        <v>11346.985999999999</v>
      </c>
      <c r="H100" s="75">
        <f>F100+290</f>
        <v>11636.985999999999</v>
      </c>
      <c r="I100" s="330">
        <f t="shared" ref="I100:I105" si="201">+H100*$X$1</f>
        <v>11636.985999999999</v>
      </c>
      <c r="J100" s="75">
        <f t="shared" si="185"/>
        <v>11466.985999999999</v>
      </c>
      <c r="K100" s="330">
        <f t="shared" si="200"/>
        <v>11466.985999999999</v>
      </c>
      <c r="L100" s="368">
        <f>F100+74</f>
        <v>11420.985999999999</v>
      </c>
      <c r="M100" s="330">
        <f t="shared" ref="M100" si="202">+L100*$X$1</f>
        <v>11420.985999999999</v>
      </c>
      <c r="N100" s="368">
        <f>F100+46</f>
        <v>11392.985999999999</v>
      </c>
      <c r="O100" s="330">
        <f t="shared" ref="O100" si="203">+N100*$X$1</f>
        <v>11392.985999999999</v>
      </c>
      <c r="P100" s="368">
        <f>F100+42</f>
        <v>11388.985999999999</v>
      </c>
      <c r="Q100" s="330">
        <f t="shared" ref="Q100" si="204">+P100*$X$1</f>
        <v>11388.985999999999</v>
      </c>
      <c r="R100" s="368">
        <f>F100+35</f>
        <v>11381.985999999999</v>
      </c>
      <c r="S100" s="330">
        <f t="shared" ref="S100" si="205">+R100*$X$1</f>
        <v>11381.985999999999</v>
      </c>
      <c r="T100" s="368">
        <f>F100+29</f>
        <v>11375.985999999999</v>
      </c>
      <c r="U100" s="330">
        <f t="shared" ref="U100" si="206">+T100*$X$1</f>
        <v>11375.985999999999</v>
      </c>
      <c r="V100" s="368">
        <f>F100+24</f>
        <v>11370.985999999999</v>
      </c>
      <c r="W100" s="330">
        <f t="shared" ref="W100" si="207">+V100*$X$1</f>
        <v>11370.985999999999</v>
      </c>
      <c r="X100" s="176"/>
      <c r="Y100" s="145"/>
      <c r="Z100" s="145"/>
      <c r="AA100" s="148"/>
      <c r="AB100" s="519">
        <v>268</v>
      </c>
    </row>
    <row r="101" spans="1:30" ht="12.6" customHeight="1" x14ac:dyDescent="0.2">
      <c r="A101" s="20"/>
      <c r="B101" s="679" t="s">
        <v>763</v>
      </c>
      <c r="C101" s="695"/>
      <c r="D101" s="695"/>
      <c r="E101" s="695"/>
      <c r="F101" s="461">
        <f>4.502*X2</f>
        <v>4222.8760000000002</v>
      </c>
      <c r="G101" s="331">
        <f t="shared" si="184"/>
        <v>4222.8760000000002</v>
      </c>
      <c r="H101" s="93">
        <f>F101+290</f>
        <v>4512.8760000000002</v>
      </c>
      <c r="I101" s="331">
        <f t="shared" si="201"/>
        <v>4512.8760000000002</v>
      </c>
      <c r="J101" s="93">
        <f t="shared" si="185"/>
        <v>4342.8760000000002</v>
      </c>
      <c r="K101" s="331">
        <f t="shared" ref="K101:K104" si="208">+J101*$X$1</f>
        <v>4342.8760000000002</v>
      </c>
      <c r="L101" s="645">
        <f>F101+74</f>
        <v>4296.8760000000002</v>
      </c>
      <c r="M101" s="331">
        <f t="shared" ref="M101:M104" si="209">+L101*$X$1</f>
        <v>4296.8760000000002</v>
      </c>
      <c r="N101" s="645">
        <f>F101+46</f>
        <v>4268.8760000000002</v>
      </c>
      <c r="O101" s="331">
        <f t="shared" ref="O101:O104" si="210">+N101*$X$1</f>
        <v>4268.8760000000002</v>
      </c>
      <c r="P101" s="645">
        <f>F101+42</f>
        <v>4264.8760000000002</v>
      </c>
      <c r="Q101" s="331">
        <f t="shared" ref="Q101:Q104" si="211">+P101*$X$1</f>
        <v>4264.8760000000002</v>
      </c>
      <c r="R101" s="645">
        <f>F101+35</f>
        <v>4257.8760000000002</v>
      </c>
      <c r="S101" s="331">
        <f t="shared" ref="S101:S104" si="212">+R101*$X$1</f>
        <v>4257.8760000000002</v>
      </c>
      <c r="T101" s="645">
        <f>F101+29</f>
        <v>4251.8760000000002</v>
      </c>
      <c r="U101" s="331">
        <f t="shared" ref="U101:U104" si="213">+T101*$X$1</f>
        <v>4251.8760000000002</v>
      </c>
      <c r="V101" s="645">
        <f>F101+24</f>
        <v>4246.8760000000002</v>
      </c>
      <c r="W101" s="331">
        <f t="shared" ref="W101:W104" si="214">+V101*$X$1</f>
        <v>4246.8760000000002</v>
      </c>
      <c r="X101" s="176"/>
      <c r="Y101" s="149"/>
      <c r="Z101" s="145"/>
      <c r="AA101" s="148"/>
      <c r="AB101" s="519">
        <v>270</v>
      </c>
      <c r="AC101" s="32"/>
    </row>
    <row r="102" spans="1:30" ht="12.6" customHeight="1" x14ac:dyDescent="0.2">
      <c r="A102" s="20"/>
      <c r="B102" s="696" t="s">
        <v>155</v>
      </c>
      <c r="C102" s="697"/>
      <c r="D102" s="697"/>
      <c r="E102" s="697"/>
      <c r="F102" s="460">
        <f>14.042*X2</f>
        <v>13171.396000000001</v>
      </c>
      <c r="G102" s="330">
        <f t="shared" ref="G102:G104" si="215">+F102*$X$1</f>
        <v>13171.396000000001</v>
      </c>
      <c r="H102" s="75">
        <f>F102+290</f>
        <v>13461.396000000001</v>
      </c>
      <c r="I102" s="330">
        <f t="shared" si="201"/>
        <v>13461.396000000001</v>
      </c>
      <c r="J102" s="75">
        <f t="shared" si="185"/>
        <v>13291.396000000001</v>
      </c>
      <c r="K102" s="330">
        <f t="shared" si="208"/>
        <v>13291.396000000001</v>
      </c>
      <c r="L102" s="368">
        <f>F102+74</f>
        <v>13245.396000000001</v>
      </c>
      <c r="M102" s="330">
        <f t="shared" si="209"/>
        <v>13245.396000000001</v>
      </c>
      <c r="N102" s="368">
        <f>F102+46</f>
        <v>13217.396000000001</v>
      </c>
      <c r="O102" s="330">
        <f t="shared" si="210"/>
        <v>13217.396000000001</v>
      </c>
      <c r="P102" s="368">
        <f>F102+42</f>
        <v>13213.396000000001</v>
      </c>
      <c r="Q102" s="330">
        <f t="shared" si="211"/>
        <v>13213.396000000001</v>
      </c>
      <c r="R102" s="368">
        <f>F102+35</f>
        <v>13206.396000000001</v>
      </c>
      <c r="S102" s="330">
        <f t="shared" si="212"/>
        <v>13206.396000000001</v>
      </c>
      <c r="T102" s="368">
        <f>F102+29</f>
        <v>13200.396000000001</v>
      </c>
      <c r="U102" s="330">
        <f t="shared" si="213"/>
        <v>13200.396000000001</v>
      </c>
      <c r="V102" s="368">
        <f>F102+24</f>
        <v>13195.396000000001</v>
      </c>
      <c r="W102" s="330">
        <f t="shared" si="214"/>
        <v>13195.396000000001</v>
      </c>
      <c r="X102" s="175"/>
      <c r="Y102" s="145"/>
      <c r="Z102" s="145"/>
      <c r="AA102" s="148"/>
      <c r="AB102" s="519">
        <v>273</v>
      </c>
      <c r="AC102" s="32"/>
    </row>
    <row r="103" spans="1:30" ht="12.6" customHeight="1" x14ac:dyDescent="0.2">
      <c r="A103" s="20"/>
      <c r="B103" s="679" t="s">
        <v>156</v>
      </c>
      <c r="C103" s="695"/>
      <c r="D103" s="695"/>
      <c r="E103" s="695"/>
      <c r="F103" s="461">
        <f>11.208*X2</f>
        <v>10513.103999999999</v>
      </c>
      <c r="G103" s="331">
        <f t="shared" si="215"/>
        <v>10513.103999999999</v>
      </c>
      <c r="H103" s="93">
        <f>F103+290</f>
        <v>10803.103999999999</v>
      </c>
      <c r="I103" s="331">
        <f t="shared" si="201"/>
        <v>10803.103999999999</v>
      </c>
      <c r="J103" s="93">
        <f t="shared" si="185"/>
        <v>10633.103999999999</v>
      </c>
      <c r="K103" s="331">
        <f t="shared" si="208"/>
        <v>10633.103999999999</v>
      </c>
      <c r="L103" s="645">
        <f>F103+74</f>
        <v>10587.103999999999</v>
      </c>
      <c r="M103" s="331">
        <f t="shared" si="209"/>
        <v>10587.103999999999</v>
      </c>
      <c r="N103" s="645">
        <f>F103+46</f>
        <v>10559.103999999999</v>
      </c>
      <c r="O103" s="331">
        <f t="shared" si="210"/>
        <v>10559.103999999999</v>
      </c>
      <c r="P103" s="645">
        <f>F103+42</f>
        <v>10555.103999999999</v>
      </c>
      <c r="Q103" s="331">
        <f t="shared" si="211"/>
        <v>10555.103999999999</v>
      </c>
      <c r="R103" s="645">
        <f>F103+35</f>
        <v>10548.103999999999</v>
      </c>
      <c r="S103" s="331">
        <f t="shared" si="212"/>
        <v>10548.103999999999</v>
      </c>
      <c r="T103" s="645">
        <f>F103+29</f>
        <v>10542.103999999999</v>
      </c>
      <c r="U103" s="331">
        <f t="shared" si="213"/>
        <v>10542.103999999999</v>
      </c>
      <c r="V103" s="645">
        <f>F103+24</f>
        <v>10537.103999999999</v>
      </c>
      <c r="W103" s="331">
        <f t="shared" si="214"/>
        <v>10537.103999999999</v>
      </c>
      <c r="X103" s="176"/>
      <c r="Y103" s="149"/>
      <c r="Z103" s="145"/>
      <c r="AA103" s="148"/>
      <c r="AB103" s="519" t="s">
        <v>157</v>
      </c>
      <c r="AC103" s="32"/>
    </row>
    <row r="104" spans="1:30" ht="12.6" customHeight="1" x14ac:dyDescent="0.2">
      <c r="A104" s="20"/>
      <c r="B104" s="696" t="s">
        <v>158</v>
      </c>
      <c r="C104" s="697"/>
      <c r="D104" s="697"/>
      <c r="E104" s="697"/>
      <c r="F104" s="460">
        <f>8.73*X2</f>
        <v>8188.7400000000007</v>
      </c>
      <c r="G104" s="330">
        <f t="shared" si="215"/>
        <v>8188.7400000000007</v>
      </c>
      <c r="H104" s="75">
        <f>F104+290</f>
        <v>8478.7400000000016</v>
      </c>
      <c r="I104" s="330">
        <f t="shared" si="201"/>
        <v>8478.7400000000016</v>
      </c>
      <c r="J104" s="75">
        <f t="shared" si="185"/>
        <v>8308.7400000000016</v>
      </c>
      <c r="K104" s="330">
        <f t="shared" si="208"/>
        <v>8308.7400000000016</v>
      </c>
      <c r="L104" s="368">
        <f>F104+74</f>
        <v>8262.7400000000016</v>
      </c>
      <c r="M104" s="330">
        <f t="shared" si="209"/>
        <v>8262.7400000000016</v>
      </c>
      <c r="N104" s="368">
        <f>F104+46</f>
        <v>8234.7400000000016</v>
      </c>
      <c r="O104" s="330">
        <f t="shared" si="210"/>
        <v>8234.7400000000016</v>
      </c>
      <c r="P104" s="368">
        <f>F104+42</f>
        <v>8230.7400000000016</v>
      </c>
      <c r="Q104" s="330">
        <f t="shared" si="211"/>
        <v>8230.7400000000016</v>
      </c>
      <c r="R104" s="368">
        <f>F104+35</f>
        <v>8223.7400000000016</v>
      </c>
      <c r="S104" s="330">
        <f t="shared" si="212"/>
        <v>8223.7400000000016</v>
      </c>
      <c r="T104" s="368">
        <f>F104+29</f>
        <v>8217.7400000000016</v>
      </c>
      <c r="U104" s="330">
        <f t="shared" si="213"/>
        <v>8217.7400000000016</v>
      </c>
      <c r="V104" s="368">
        <f>F104+24</f>
        <v>8212.7400000000016</v>
      </c>
      <c r="W104" s="330">
        <f t="shared" si="214"/>
        <v>8212.7400000000016</v>
      </c>
      <c r="X104" s="176"/>
      <c r="Y104" s="149"/>
      <c r="Z104" s="145"/>
      <c r="AA104" s="148"/>
      <c r="AB104" s="519">
        <v>278</v>
      </c>
      <c r="AC104" s="32"/>
    </row>
    <row r="105" spans="1:30" ht="12.6" customHeight="1" x14ac:dyDescent="0.2">
      <c r="A105" s="20"/>
      <c r="B105" s="905" t="s">
        <v>159</v>
      </c>
      <c r="C105" s="906"/>
      <c r="D105" s="906"/>
      <c r="E105" s="906"/>
      <c r="F105" s="461">
        <f>2.02*X2</f>
        <v>1894.76</v>
      </c>
      <c r="G105" s="331">
        <f>+F105*$X$1</f>
        <v>1894.76</v>
      </c>
      <c r="H105" s="93">
        <f>F105+250</f>
        <v>2144.7600000000002</v>
      </c>
      <c r="I105" s="331">
        <f t="shared" si="201"/>
        <v>2144.7600000000002</v>
      </c>
      <c r="J105" s="93">
        <f>F105+115</f>
        <v>2009.76</v>
      </c>
      <c r="K105" s="331">
        <f t="shared" ref="K105" si="216">+J105*$X$1</f>
        <v>2009.76</v>
      </c>
      <c r="L105" s="565">
        <f>F105+72</f>
        <v>1966.76</v>
      </c>
      <c r="M105" s="331">
        <f t="shared" ref="M105:M106" si="217">+L105*$X$1</f>
        <v>1966.76</v>
      </c>
      <c r="N105" s="565">
        <f>F105+43</f>
        <v>1937.76</v>
      </c>
      <c r="O105" s="331">
        <f t="shared" ref="O105" si="218">+N105*$X$1</f>
        <v>1937.76</v>
      </c>
      <c r="P105" s="565">
        <f>F105+39</f>
        <v>1933.76</v>
      </c>
      <c r="Q105" s="331">
        <f t="shared" ref="Q105:Q106" si="219">+P105*$X$1</f>
        <v>1933.76</v>
      </c>
      <c r="R105" s="565">
        <f>F105+30</f>
        <v>1924.76</v>
      </c>
      <c r="S105" s="331">
        <f t="shared" ref="S105" si="220">+R105*$X$1</f>
        <v>1924.76</v>
      </c>
      <c r="T105" s="565">
        <f>F105+25</f>
        <v>1919.76</v>
      </c>
      <c r="U105" s="331">
        <f t="shared" ref="U105" si="221">+T105*$X$1</f>
        <v>1919.76</v>
      </c>
      <c r="V105" s="565">
        <f>F105+21</f>
        <v>1915.76</v>
      </c>
      <c r="W105" s="331">
        <f t="shared" ref="W105" si="222">+V105*$X$1</f>
        <v>1915.76</v>
      </c>
      <c r="X105" s="173"/>
      <c r="Y105" s="149"/>
      <c r="Z105" s="145"/>
      <c r="AA105" s="148"/>
      <c r="AB105" s="519">
        <v>288</v>
      </c>
      <c r="AC105" s="32"/>
    </row>
    <row r="106" spans="1:30" ht="12.6" customHeight="1" x14ac:dyDescent="0.2">
      <c r="A106" s="20"/>
      <c r="B106" s="696" t="s">
        <v>160</v>
      </c>
      <c r="C106" s="697"/>
      <c r="D106" s="697"/>
      <c r="E106" s="697"/>
      <c r="F106" s="330">
        <v>370</v>
      </c>
      <c r="G106" s="330">
        <f>+F106*$X$1</f>
        <v>370</v>
      </c>
      <c r="H106" s="322"/>
      <c r="I106" s="322"/>
      <c r="J106" s="75">
        <f>F106+120</f>
        <v>490</v>
      </c>
      <c r="K106" s="330">
        <f>+J106*$X$1</f>
        <v>490</v>
      </c>
      <c r="L106" s="368">
        <f>F106+75</f>
        <v>445</v>
      </c>
      <c r="M106" s="330">
        <f t="shared" si="217"/>
        <v>445</v>
      </c>
      <c r="N106" s="368">
        <f>F106+50</f>
        <v>420</v>
      </c>
      <c r="O106" s="330">
        <f>+N106*$X$1</f>
        <v>420</v>
      </c>
      <c r="P106" s="368">
        <f>F106+45</f>
        <v>415</v>
      </c>
      <c r="Q106" s="330">
        <f t="shared" si="219"/>
        <v>415</v>
      </c>
      <c r="R106" s="368">
        <f>F106+37</f>
        <v>407</v>
      </c>
      <c r="S106" s="330">
        <f>+R106*$X$1</f>
        <v>407</v>
      </c>
      <c r="T106" s="108">
        <f>F106+31</f>
        <v>401</v>
      </c>
      <c r="U106" s="293">
        <f>+T106*$X$1</f>
        <v>401</v>
      </c>
      <c r="V106" s="108">
        <f>F106+27</f>
        <v>397</v>
      </c>
      <c r="W106" s="293">
        <f>+V106*$X$1</f>
        <v>397</v>
      </c>
      <c r="X106" s="173"/>
      <c r="Y106" s="149"/>
      <c r="Z106" s="145"/>
      <c r="AA106" s="148"/>
      <c r="AB106" s="519">
        <v>289</v>
      </c>
      <c r="AC106" s="32"/>
    </row>
    <row r="107" spans="1:30" ht="12.6" customHeight="1" x14ac:dyDescent="0.2">
      <c r="A107" s="20"/>
      <c r="B107" s="679" t="s">
        <v>161</v>
      </c>
      <c r="C107" s="695"/>
      <c r="D107" s="695"/>
      <c r="E107" s="695"/>
      <c r="F107" s="331"/>
      <c r="G107" s="681" t="s">
        <v>666</v>
      </c>
      <c r="H107" s="682"/>
      <c r="I107" s="682"/>
      <c r="J107" s="682"/>
      <c r="K107" s="682"/>
      <c r="L107" s="682"/>
      <c r="M107" s="682"/>
      <c r="N107" s="682"/>
      <c r="O107" s="683"/>
      <c r="P107" s="323">
        <v>383</v>
      </c>
      <c r="Q107" s="331">
        <f t="shared" ref="Q107:Q111" si="223">+P107*$X$1</f>
        <v>383</v>
      </c>
      <c r="R107" s="123">
        <v>380</v>
      </c>
      <c r="S107" s="356">
        <f t="shared" ref="S107:S110" si="224">+R107*$X$1</f>
        <v>380</v>
      </c>
      <c r="T107" s="107">
        <v>370</v>
      </c>
      <c r="U107" s="356">
        <f t="shared" ref="U107:U110" si="225">+T107*$X$1</f>
        <v>370</v>
      </c>
      <c r="V107" s="107">
        <v>361</v>
      </c>
      <c r="W107" s="356">
        <f t="shared" ref="W107:W110" si="226">+V107*$X$1</f>
        <v>361</v>
      </c>
      <c r="X107" s="676"/>
      <c r="Y107" s="677"/>
      <c r="Z107" s="677"/>
      <c r="AA107" s="678"/>
      <c r="AB107" s="519">
        <v>290</v>
      </c>
    </row>
    <row r="108" spans="1:30" ht="12.6" customHeight="1" x14ac:dyDescent="0.2">
      <c r="A108" s="20"/>
      <c r="B108" s="696" t="s">
        <v>466</v>
      </c>
      <c r="C108" s="697"/>
      <c r="D108" s="697"/>
      <c r="E108" s="697"/>
      <c r="F108" s="330"/>
      <c r="G108" s="681" t="s">
        <v>667</v>
      </c>
      <c r="H108" s="682"/>
      <c r="I108" s="682"/>
      <c r="J108" s="682"/>
      <c r="K108" s="682"/>
      <c r="L108" s="682"/>
      <c r="M108" s="682"/>
      <c r="N108" s="682"/>
      <c r="O108" s="683"/>
      <c r="P108" s="324">
        <v>504</v>
      </c>
      <c r="Q108" s="330">
        <f t="shared" si="223"/>
        <v>504</v>
      </c>
      <c r="R108" s="504">
        <v>501</v>
      </c>
      <c r="S108" s="293">
        <f t="shared" si="224"/>
        <v>501</v>
      </c>
      <c r="T108" s="665">
        <v>488</v>
      </c>
      <c r="U108" s="293">
        <f t="shared" si="225"/>
        <v>488</v>
      </c>
      <c r="V108" s="665">
        <v>479</v>
      </c>
      <c r="W108" s="293">
        <f t="shared" si="226"/>
        <v>479</v>
      </c>
      <c r="X108" s="676"/>
      <c r="Y108" s="677"/>
      <c r="Z108" s="677"/>
      <c r="AA108" s="678"/>
      <c r="AB108" s="519" t="s">
        <v>162</v>
      </c>
    </row>
    <row r="109" spans="1:30" ht="12.6" customHeight="1" x14ac:dyDescent="0.2">
      <c r="A109" s="20"/>
      <c r="B109" s="679" t="s">
        <v>467</v>
      </c>
      <c r="C109" s="695"/>
      <c r="D109" s="695"/>
      <c r="E109" s="695"/>
      <c r="F109" s="331"/>
      <c r="G109" s="681" t="s">
        <v>668</v>
      </c>
      <c r="H109" s="682"/>
      <c r="I109" s="682"/>
      <c r="J109" s="682"/>
      <c r="K109" s="682"/>
      <c r="L109" s="682"/>
      <c r="M109" s="683"/>
      <c r="N109" s="323">
        <v>565</v>
      </c>
      <c r="O109" s="331">
        <f t="shared" ref="O109:O110" si="227">+N109*$X$1</f>
        <v>565</v>
      </c>
      <c r="P109" s="323">
        <v>474</v>
      </c>
      <c r="Q109" s="331">
        <f t="shared" si="223"/>
        <v>474</v>
      </c>
      <c r="R109" s="661">
        <v>471</v>
      </c>
      <c r="S109" s="356">
        <f t="shared" si="224"/>
        <v>471</v>
      </c>
      <c r="T109" s="650">
        <v>462</v>
      </c>
      <c r="U109" s="356">
        <f t="shared" si="225"/>
        <v>462</v>
      </c>
      <c r="V109" s="650">
        <v>453</v>
      </c>
      <c r="W109" s="356">
        <f t="shared" si="226"/>
        <v>453</v>
      </c>
      <c r="X109" s="676"/>
      <c r="Y109" s="677"/>
      <c r="Z109" s="677"/>
      <c r="AA109" s="678"/>
      <c r="AB109" s="519">
        <v>291</v>
      </c>
    </row>
    <row r="110" spans="1:30" ht="12.6" customHeight="1" x14ac:dyDescent="0.2">
      <c r="A110" s="20"/>
      <c r="B110" s="696" t="s">
        <v>468</v>
      </c>
      <c r="C110" s="697"/>
      <c r="D110" s="697"/>
      <c r="E110" s="697"/>
      <c r="F110" s="330"/>
      <c r="G110" s="681" t="s">
        <v>669</v>
      </c>
      <c r="H110" s="682"/>
      <c r="I110" s="682"/>
      <c r="J110" s="682"/>
      <c r="K110" s="682"/>
      <c r="L110" s="682"/>
      <c r="M110" s="683"/>
      <c r="N110" s="324">
        <v>781</v>
      </c>
      <c r="O110" s="330">
        <f t="shared" si="227"/>
        <v>781</v>
      </c>
      <c r="P110" s="324">
        <v>654</v>
      </c>
      <c r="Q110" s="330">
        <f t="shared" si="223"/>
        <v>654</v>
      </c>
      <c r="R110" s="504">
        <v>651</v>
      </c>
      <c r="S110" s="293">
        <f t="shared" si="224"/>
        <v>651</v>
      </c>
      <c r="T110" s="665">
        <v>641</v>
      </c>
      <c r="U110" s="293">
        <f t="shared" si="225"/>
        <v>641</v>
      </c>
      <c r="V110" s="665">
        <v>631</v>
      </c>
      <c r="W110" s="293">
        <f t="shared" si="226"/>
        <v>631</v>
      </c>
      <c r="X110" s="676"/>
      <c r="Y110" s="677"/>
      <c r="Z110" s="677"/>
      <c r="AA110" s="678"/>
      <c r="AB110" s="519" t="s">
        <v>163</v>
      </c>
    </row>
    <row r="111" spans="1:30" ht="12.6" customHeight="1" x14ac:dyDescent="0.2">
      <c r="A111" s="20"/>
      <c r="B111" s="679" t="s">
        <v>164</v>
      </c>
      <c r="C111" s="679"/>
      <c r="D111" s="679"/>
      <c r="E111" s="679"/>
      <c r="F111" s="396">
        <v>220</v>
      </c>
      <c r="G111" s="331">
        <f t="shared" ref="G111:G114" si="228">+F111*$X$1</f>
        <v>220</v>
      </c>
      <c r="H111" s="777" t="s">
        <v>465</v>
      </c>
      <c r="I111" s="778"/>
      <c r="J111" s="778"/>
      <c r="K111" s="778"/>
      <c r="L111" s="779"/>
      <c r="M111" s="780"/>
      <c r="N111" s="123">
        <f>F111+50</f>
        <v>270</v>
      </c>
      <c r="O111" s="371">
        <f>+N111*$X$1</f>
        <v>270</v>
      </c>
      <c r="P111" s="123">
        <f>F111+40</f>
        <v>260</v>
      </c>
      <c r="Q111" s="331">
        <f t="shared" si="223"/>
        <v>260</v>
      </c>
      <c r="R111" s="572">
        <f>F111+33</f>
        <v>253</v>
      </c>
      <c r="S111" s="356">
        <f>+R111*$X$1</f>
        <v>253</v>
      </c>
      <c r="T111" s="565">
        <f>F111+28</f>
        <v>248</v>
      </c>
      <c r="U111" s="356">
        <f>+T111*$X$1</f>
        <v>248</v>
      </c>
      <c r="V111" s="565">
        <f>F111+24</f>
        <v>244</v>
      </c>
      <c r="W111" s="356">
        <f>+V111*$X$1</f>
        <v>244</v>
      </c>
      <c r="X111" s="676"/>
      <c r="Y111" s="677"/>
      <c r="Z111" s="677"/>
      <c r="AA111" s="678"/>
      <c r="AB111" s="208">
        <v>296</v>
      </c>
      <c r="AD111" s="68"/>
    </row>
    <row r="112" spans="1:30" ht="12.6" customHeight="1" x14ac:dyDescent="0.2">
      <c r="A112" s="20"/>
      <c r="B112" s="696" t="s">
        <v>165</v>
      </c>
      <c r="C112" s="696"/>
      <c r="D112" s="696"/>
      <c r="E112" s="696"/>
      <c r="F112" s="358">
        <v>300</v>
      </c>
      <c r="G112" s="330">
        <f t="shared" si="228"/>
        <v>300</v>
      </c>
      <c r="H112" s="781"/>
      <c r="I112" s="782"/>
      <c r="J112" s="782"/>
      <c r="K112" s="782"/>
      <c r="L112" s="783"/>
      <c r="M112" s="784"/>
      <c r="N112" s="334">
        <f>F112+50</f>
        <v>350</v>
      </c>
      <c r="O112" s="357">
        <f>+N112*$X$1</f>
        <v>350</v>
      </c>
      <c r="P112" s="334">
        <f>F112+40</f>
        <v>340</v>
      </c>
      <c r="Q112" s="330">
        <f t="shared" ref="Q112" si="229">+P112*$X$1</f>
        <v>340</v>
      </c>
      <c r="R112" s="229">
        <f>F112+33</f>
        <v>333</v>
      </c>
      <c r="S112" s="293">
        <f>+R112*$X$1</f>
        <v>333</v>
      </c>
      <c r="T112" s="368">
        <f>F112+28</f>
        <v>328</v>
      </c>
      <c r="U112" s="293">
        <f>+T112*$X$1</f>
        <v>328</v>
      </c>
      <c r="V112" s="368">
        <f>F112+24</f>
        <v>324</v>
      </c>
      <c r="W112" s="293">
        <f>+V112*$X$1</f>
        <v>324</v>
      </c>
      <c r="X112" s="676"/>
      <c r="Y112" s="677"/>
      <c r="Z112" s="677"/>
      <c r="AA112" s="678"/>
      <c r="AB112" s="208">
        <v>297</v>
      </c>
    </row>
    <row r="113" spans="1:28" ht="12.6" customHeight="1" x14ac:dyDescent="0.2">
      <c r="A113" s="20"/>
      <c r="B113" s="785" t="s">
        <v>399</v>
      </c>
      <c r="C113" s="786"/>
      <c r="D113" s="786"/>
      <c r="E113" s="786"/>
      <c r="F113" s="371">
        <v>330</v>
      </c>
      <c r="G113" s="371">
        <f t="shared" si="228"/>
        <v>330</v>
      </c>
      <c r="H113" s="97"/>
      <c r="I113" s="791" t="s">
        <v>400</v>
      </c>
      <c r="J113" s="792"/>
      <c r="K113" s="792"/>
      <c r="L113" s="792"/>
      <c r="M113" s="792"/>
      <c r="N113" s="792"/>
      <c r="O113" s="792"/>
      <c r="P113" s="792"/>
      <c r="Q113" s="792"/>
      <c r="R113" s="792"/>
      <c r="S113" s="792"/>
      <c r="T113" s="792"/>
      <c r="U113" s="792"/>
      <c r="V113" s="792"/>
      <c r="W113" s="793"/>
      <c r="X113" s="686"/>
      <c r="Y113" s="687"/>
      <c r="Z113" s="687"/>
      <c r="AA113" s="688"/>
      <c r="AB113" s="519"/>
    </row>
    <row r="114" spans="1:28" ht="12.6" customHeight="1" x14ac:dyDescent="0.2">
      <c r="A114" s="20"/>
      <c r="B114" s="945" t="s">
        <v>401</v>
      </c>
      <c r="C114" s="790"/>
      <c r="D114" s="790"/>
      <c r="E114" s="790"/>
      <c r="F114" s="357">
        <v>330</v>
      </c>
      <c r="G114" s="414">
        <f t="shared" si="228"/>
        <v>330</v>
      </c>
      <c r="H114" s="128"/>
      <c r="I114" s="794"/>
      <c r="J114" s="795"/>
      <c r="K114" s="795"/>
      <c r="L114" s="796"/>
      <c r="M114" s="796"/>
      <c r="N114" s="796"/>
      <c r="O114" s="795"/>
      <c r="P114" s="795"/>
      <c r="Q114" s="795"/>
      <c r="R114" s="795"/>
      <c r="S114" s="795"/>
      <c r="T114" s="796"/>
      <c r="U114" s="796"/>
      <c r="V114" s="796"/>
      <c r="W114" s="797"/>
      <c r="X114" s="686"/>
      <c r="Y114" s="687"/>
      <c r="Z114" s="687"/>
      <c r="AA114" s="688"/>
      <c r="AB114" s="519"/>
    </row>
    <row r="115" spans="1:28" ht="12.6" customHeight="1" x14ac:dyDescent="0.2">
      <c r="A115" s="20"/>
      <c r="B115" s="679" t="s">
        <v>897</v>
      </c>
      <c r="C115" s="695"/>
      <c r="D115" s="695"/>
      <c r="E115" s="695"/>
      <c r="F115" s="423"/>
      <c r="G115" s="681" t="s">
        <v>464</v>
      </c>
      <c r="H115" s="682"/>
      <c r="I115" s="682"/>
      <c r="J115" s="682"/>
      <c r="K115" s="683"/>
      <c r="L115" s="663">
        <v>1565</v>
      </c>
      <c r="M115" s="331">
        <f t="shared" ref="M115:O127" si="230">+L115*$X$1</f>
        <v>1565</v>
      </c>
      <c r="N115" s="134">
        <v>1333</v>
      </c>
      <c r="O115" s="331">
        <f t="shared" si="230"/>
        <v>1333</v>
      </c>
      <c r="P115" s="481">
        <v>1110</v>
      </c>
      <c r="Q115" s="331">
        <f t="shared" ref="Q115:Q126" si="231">+P115*$X$1</f>
        <v>1110</v>
      </c>
      <c r="R115" s="650">
        <v>1105</v>
      </c>
      <c r="S115" s="331">
        <f t="shared" ref="S115:S127" si="232">+R115*$X$1</f>
        <v>1105</v>
      </c>
      <c r="T115" s="650">
        <v>1093</v>
      </c>
      <c r="U115" s="371">
        <f t="shared" ref="U115:U125" si="233">+T115*$X$1</f>
        <v>1093</v>
      </c>
      <c r="V115" s="650">
        <v>827</v>
      </c>
      <c r="W115" s="371">
        <f t="shared" ref="W115:W125" si="234">+V115*$X$1</f>
        <v>827</v>
      </c>
      <c r="X115" s="676"/>
      <c r="Y115" s="677"/>
      <c r="Z115" s="677"/>
      <c r="AA115" s="678"/>
      <c r="AB115" s="519">
        <v>301</v>
      </c>
    </row>
    <row r="116" spans="1:28" ht="12.6" customHeight="1" x14ac:dyDescent="0.2">
      <c r="A116" s="20"/>
      <c r="B116" s="696" t="s">
        <v>898</v>
      </c>
      <c r="C116" s="697"/>
      <c r="D116" s="697"/>
      <c r="E116" s="697"/>
      <c r="F116" s="424"/>
      <c r="G116" s="681" t="s">
        <v>464</v>
      </c>
      <c r="H116" s="682"/>
      <c r="I116" s="682"/>
      <c r="J116" s="682"/>
      <c r="K116" s="683"/>
      <c r="L116" s="354">
        <v>1722</v>
      </c>
      <c r="M116" s="674">
        <f t="shared" si="230"/>
        <v>1722</v>
      </c>
      <c r="N116" s="504">
        <v>1468</v>
      </c>
      <c r="O116" s="674">
        <f t="shared" si="230"/>
        <v>1468</v>
      </c>
      <c r="P116" s="355">
        <v>1221</v>
      </c>
      <c r="Q116" s="330">
        <f t="shared" si="231"/>
        <v>1221</v>
      </c>
      <c r="R116" s="128">
        <v>1217</v>
      </c>
      <c r="S116" s="674">
        <f t="shared" si="232"/>
        <v>1217</v>
      </c>
      <c r="T116" s="665">
        <v>1205</v>
      </c>
      <c r="U116" s="357">
        <f t="shared" si="233"/>
        <v>1205</v>
      </c>
      <c r="V116" s="665">
        <v>949</v>
      </c>
      <c r="W116" s="357">
        <f t="shared" si="234"/>
        <v>949</v>
      </c>
      <c r="X116" s="676"/>
      <c r="Y116" s="677"/>
      <c r="Z116" s="677"/>
      <c r="AA116" s="678"/>
      <c r="AB116" s="519" t="s">
        <v>166</v>
      </c>
    </row>
    <row r="117" spans="1:28" ht="12.6" customHeight="1" x14ac:dyDescent="0.2">
      <c r="A117" s="20"/>
      <c r="B117" s="679" t="s">
        <v>899</v>
      </c>
      <c r="C117" s="695"/>
      <c r="D117" s="695"/>
      <c r="E117" s="695"/>
      <c r="F117" s="423"/>
      <c r="G117" s="681" t="s">
        <v>464</v>
      </c>
      <c r="H117" s="682"/>
      <c r="I117" s="682"/>
      <c r="J117" s="682"/>
      <c r="K117" s="683"/>
      <c r="L117" s="663">
        <v>4142</v>
      </c>
      <c r="M117" s="331">
        <f t="shared" ref="M117" si="235">+L117*$X$1</f>
        <v>4142</v>
      </c>
      <c r="N117" s="134">
        <v>3532</v>
      </c>
      <c r="O117" s="331">
        <f t="shared" ref="O117" si="236">+N117*$X$1</f>
        <v>3532</v>
      </c>
      <c r="P117" s="481">
        <v>3227</v>
      </c>
      <c r="Q117" s="331">
        <f t="shared" ref="Q117" si="237">+P117*$X$1</f>
        <v>3227</v>
      </c>
      <c r="R117" s="650">
        <v>3221</v>
      </c>
      <c r="S117" s="331">
        <f t="shared" ref="S117" si="238">+R117*$X$1</f>
        <v>3221</v>
      </c>
      <c r="T117" s="650">
        <v>3197</v>
      </c>
      <c r="U117" s="371">
        <f t="shared" ref="U117" si="239">+T117*$X$1</f>
        <v>3197</v>
      </c>
      <c r="V117" s="650">
        <v>2811</v>
      </c>
      <c r="W117" s="371">
        <f t="shared" ref="W117" si="240">+V117*$X$1</f>
        <v>2811</v>
      </c>
      <c r="X117" s="676"/>
      <c r="Y117" s="677"/>
      <c r="Z117" s="677"/>
      <c r="AA117" s="678"/>
      <c r="AB117" s="519" t="s">
        <v>167</v>
      </c>
    </row>
    <row r="118" spans="1:28" ht="12.6" customHeight="1" x14ac:dyDescent="0.2">
      <c r="A118" s="20"/>
      <c r="B118" s="696" t="s">
        <v>926</v>
      </c>
      <c r="C118" s="803"/>
      <c r="D118" s="803"/>
      <c r="E118" s="803"/>
      <c r="F118" s="424"/>
      <c r="G118" s="681" t="s">
        <v>464</v>
      </c>
      <c r="H118" s="682"/>
      <c r="I118" s="682"/>
      <c r="J118" s="682"/>
      <c r="K118" s="683"/>
      <c r="L118" s="663">
        <v>2895</v>
      </c>
      <c r="M118" s="330">
        <f t="shared" ref="M118" si="241">+L118*$X$1</f>
        <v>2895</v>
      </c>
      <c r="N118" s="75">
        <v>2467</v>
      </c>
      <c r="O118" s="330">
        <f t="shared" ref="O118" si="242">+N118*$X$1</f>
        <v>2467</v>
      </c>
      <c r="P118" s="373">
        <v>2270</v>
      </c>
      <c r="Q118" s="330">
        <f t="shared" ref="Q118" si="243">+P118*$X$1</f>
        <v>2270</v>
      </c>
      <c r="R118" s="665">
        <v>2250</v>
      </c>
      <c r="S118" s="330">
        <f t="shared" ref="S118" si="244">+R118*$X$1</f>
        <v>2250</v>
      </c>
      <c r="T118" s="665">
        <v>2232</v>
      </c>
      <c r="U118" s="330">
        <f t="shared" ref="U118" si="245">+T118*$X$1</f>
        <v>2232</v>
      </c>
      <c r="V118" s="665">
        <v>1851</v>
      </c>
      <c r="W118" s="330">
        <f t="shared" ref="W118" si="246">+V118*$X$1</f>
        <v>1851</v>
      </c>
      <c r="X118" s="676"/>
      <c r="Y118" s="677"/>
      <c r="Z118" s="677"/>
      <c r="AA118" s="678"/>
      <c r="AB118" s="519" t="s">
        <v>929</v>
      </c>
    </row>
    <row r="119" spans="1:28" ht="12.6" customHeight="1" x14ac:dyDescent="0.2">
      <c r="A119" s="20"/>
      <c r="B119" s="684" t="s">
        <v>928</v>
      </c>
      <c r="C119" s="685"/>
      <c r="D119" s="685"/>
      <c r="E119" s="685"/>
      <c r="F119" s="423"/>
      <c r="G119" s="681" t="s">
        <v>464</v>
      </c>
      <c r="H119" s="682"/>
      <c r="I119" s="682"/>
      <c r="J119" s="682"/>
      <c r="K119" s="683"/>
      <c r="L119" s="663">
        <v>2258</v>
      </c>
      <c r="M119" s="331">
        <f t="shared" ref="M119" si="247">+L119*$X$1</f>
        <v>2258</v>
      </c>
      <c r="N119" s="93">
        <v>1922</v>
      </c>
      <c r="O119" s="331">
        <f t="shared" ref="O119" si="248">+N119*$X$1</f>
        <v>1922</v>
      </c>
      <c r="P119" s="323">
        <v>1614</v>
      </c>
      <c r="Q119" s="331">
        <f t="shared" ref="Q119" si="249">+P119*$X$1</f>
        <v>1614</v>
      </c>
      <c r="R119" s="650">
        <v>1594</v>
      </c>
      <c r="S119" s="331">
        <f t="shared" ref="S119" si="250">+R119*$X$1</f>
        <v>1594</v>
      </c>
      <c r="T119" s="650">
        <v>1579</v>
      </c>
      <c r="U119" s="331">
        <f t="shared" ref="U119" si="251">+T119*$X$1</f>
        <v>1579</v>
      </c>
      <c r="V119" s="650">
        <v>1201</v>
      </c>
      <c r="W119" s="331">
        <f t="shared" ref="W119" si="252">+V119*$X$1</f>
        <v>1201</v>
      </c>
      <c r="X119" s="676"/>
      <c r="Y119" s="677"/>
      <c r="Z119" s="677"/>
      <c r="AA119" s="678"/>
      <c r="AB119" s="519" t="s">
        <v>932</v>
      </c>
    </row>
    <row r="120" spans="1:28" ht="12.6" customHeight="1" x14ac:dyDescent="0.2">
      <c r="A120" s="20"/>
      <c r="B120" s="696" t="s">
        <v>469</v>
      </c>
      <c r="C120" s="697"/>
      <c r="D120" s="697"/>
      <c r="E120" s="697"/>
      <c r="F120" s="406"/>
      <c r="G120" s="681" t="s">
        <v>463</v>
      </c>
      <c r="H120" s="682"/>
      <c r="I120" s="682"/>
      <c r="J120" s="682"/>
      <c r="K120" s="683"/>
      <c r="L120" s="666">
        <v>1060</v>
      </c>
      <c r="M120" s="330">
        <f t="shared" si="230"/>
        <v>1060</v>
      </c>
      <c r="N120" s="75">
        <v>901</v>
      </c>
      <c r="O120" s="330">
        <f t="shared" si="230"/>
        <v>901</v>
      </c>
      <c r="P120" s="373">
        <v>751</v>
      </c>
      <c r="Q120" s="330">
        <f t="shared" si="231"/>
        <v>751</v>
      </c>
      <c r="R120" s="665">
        <v>747</v>
      </c>
      <c r="S120" s="330">
        <f t="shared" si="232"/>
        <v>747</v>
      </c>
      <c r="T120" s="665">
        <v>737</v>
      </c>
      <c r="U120" s="330">
        <f t="shared" si="233"/>
        <v>737</v>
      </c>
      <c r="V120" s="665">
        <v>621</v>
      </c>
      <c r="W120" s="330">
        <f t="shared" si="234"/>
        <v>621</v>
      </c>
      <c r="X120" s="676"/>
      <c r="Y120" s="677"/>
      <c r="Z120" s="677"/>
      <c r="AA120" s="678"/>
      <c r="AB120" s="519">
        <v>302</v>
      </c>
    </row>
    <row r="121" spans="1:28" ht="12.6" customHeight="1" x14ac:dyDescent="0.2">
      <c r="A121" s="20"/>
      <c r="B121" s="679" t="s">
        <v>470</v>
      </c>
      <c r="C121" s="695"/>
      <c r="D121" s="695"/>
      <c r="E121" s="695"/>
      <c r="F121" s="331"/>
      <c r="G121" s="681" t="s">
        <v>463</v>
      </c>
      <c r="H121" s="682"/>
      <c r="I121" s="682"/>
      <c r="J121" s="682"/>
      <c r="K121" s="683"/>
      <c r="L121" s="663">
        <v>1215</v>
      </c>
      <c r="M121" s="331">
        <f t="shared" si="230"/>
        <v>1215</v>
      </c>
      <c r="N121" s="93">
        <v>1036</v>
      </c>
      <c r="O121" s="331">
        <f t="shared" si="230"/>
        <v>1036</v>
      </c>
      <c r="P121" s="323">
        <v>863</v>
      </c>
      <c r="Q121" s="331">
        <f t="shared" si="231"/>
        <v>863</v>
      </c>
      <c r="R121" s="650">
        <v>859</v>
      </c>
      <c r="S121" s="331">
        <f t="shared" si="232"/>
        <v>859</v>
      </c>
      <c r="T121" s="650">
        <v>848</v>
      </c>
      <c r="U121" s="331">
        <f t="shared" si="233"/>
        <v>848</v>
      </c>
      <c r="V121" s="650">
        <v>744</v>
      </c>
      <c r="W121" s="331">
        <f t="shared" si="234"/>
        <v>744</v>
      </c>
      <c r="X121" s="676"/>
      <c r="Y121" s="677"/>
      <c r="Z121" s="677"/>
      <c r="AA121" s="678"/>
      <c r="AB121" s="519" t="s">
        <v>168</v>
      </c>
    </row>
    <row r="122" spans="1:28" ht="12.6" customHeight="1" x14ac:dyDescent="0.2">
      <c r="A122" s="20"/>
      <c r="B122" s="696" t="s">
        <v>432</v>
      </c>
      <c r="C122" s="697"/>
      <c r="D122" s="697"/>
      <c r="E122" s="697"/>
      <c r="F122" s="406"/>
      <c r="G122" s="681" t="s">
        <v>463</v>
      </c>
      <c r="H122" s="682"/>
      <c r="I122" s="682"/>
      <c r="J122" s="682"/>
      <c r="K122" s="683"/>
      <c r="L122" s="666">
        <v>3635</v>
      </c>
      <c r="M122" s="330">
        <f t="shared" ref="M122" si="253">+L122*$X$1</f>
        <v>3635</v>
      </c>
      <c r="N122" s="75">
        <v>3100</v>
      </c>
      <c r="O122" s="330">
        <f t="shared" ref="O122" si="254">+N122*$X$1</f>
        <v>3100</v>
      </c>
      <c r="P122" s="373">
        <v>2833</v>
      </c>
      <c r="Q122" s="330">
        <f t="shared" ref="Q122" si="255">+P122*$X$1</f>
        <v>2833</v>
      </c>
      <c r="R122" s="665">
        <v>2827</v>
      </c>
      <c r="S122" s="330">
        <f t="shared" ref="S122" si="256">+R122*$X$1</f>
        <v>2827</v>
      </c>
      <c r="T122" s="665">
        <v>2806</v>
      </c>
      <c r="U122" s="330">
        <f t="shared" ref="U122" si="257">+T122*$X$1</f>
        <v>2806</v>
      </c>
      <c r="V122" s="665">
        <v>2606</v>
      </c>
      <c r="W122" s="330">
        <f t="shared" ref="W122" si="258">+V122*$X$1</f>
        <v>2606</v>
      </c>
      <c r="X122" s="676"/>
      <c r="Y122" s="677"/>
      <c r="Z122" s="677"/>
      <c r="AA122" s="678"/>
      <c r="AB122" s="519" t="s">
        <v>169</v>
      </c>
    </row>
    <row r="123" spans="1:28" ht="12.6" customHeight="1" x14ac:dyDescent="0.2">
      <c r="A123" s="20"/>
      <c r="B123" s="679" t="s">
        <v>927</v>
      </c>
      <c r="C123" s="680"/>
      <c r="D123" s="680"/>
      <c r="E123" s="680"/>
      <c r="F123" s="405"/>
      <c r="G123" s="681" t="s">
        <v>463</v>
      </c>
      <c r="H123" s="682"/>
      <c r="I123" s="682"/>
      <c r="J123" s="682"/>
      <c r="K123" s="683"/>
      <c r="L123" s="663">
        <v>2390</v>
      </c>
      <c r="M123" s="331">
        <f t="shared" ref="M123" si="259">+L123*$X$1</f>
        <v>2390</v>
      </c>
      <c r="N123" s="93">
        <v>2035</v>
      </c>
      <c r="O123" s="331">
        <f t="shared" ref="O123" si="260">+N123*$X$1</f>
        <v>2035</v>
      </c>
      <c r="P123" s="323">
        <v>1875</v>
      </c>
      <c r="Q123" s="331">
        <f t="shared" ref="Q123" si="261">+P123*$X$1</f>
        <v>1875</v>
      </c>
      <c r="R123" s="650">
        <v>1855</v>
      </c>
      <c r="S123" s="331">
        <f t="shared" ref="S123" si="262">+R123*$X$1</f>
        <v>1855</v>
      </c>
      <c r="T123" s="650">
        <v>1840</v>
      </c>
      <c r="U123" s="331">
        <f t="shared" ref="U123" si="263">+T123*$X$1</f>
        <v>1840</v>
      </c>
      <c r="V123" s="650">
        <v>1645</v>
      </c>
      <c r="W123" s="331">
        <f t="shared" ref="W123" si="264">+V123*$X$1</f>
        <v>1645</v>
      </c>
      <c r="X123" s="676"/>
      <c r="Y123" s="677"/>
      <c r="Z123" s="677"/>
      <c r="AA123" s="678"/>
      <c r="AB123" s="519" t="s">
        <v>930</v>
      </c>
    </row>
    <row r="124" spans="1:28" ht="12.6" customHeight="1" x14ac:dyDescent="0.2">
      <c r="A124" s="20"/>
      <c r="B124" s="684" t="s">
        <v>931</v>
      </c>
      <c r="C124" s="685"/>
      <c r="D124" s="685"/>
      <c r="E124" s="685"/>
      <c r="F124" s="406"/>
      <c r="G124" s="681" t="s">
        <v>463</v>
      </c>
      <c r="H124" s="682"/>
      <c r="I124" s="682"/>
      <c r="J124" s="682"/>
      <c r="K124" s="683"/>
      <c r="L124" s="666">
        <v>1701</v>
      </c>
      <c r="M124" s="330">
        <f t="shared" ref="M124" si="265">+L124*$X$1</f>
        <v>1701</v>
      </c>
      <c r="N124" s="75">
        <v>1447</v>
      </c>
      <c r="O124" s="330">
        <f t="shared" ref="O124" si="266">+N124*$X$1</f>
        <v>1447</v>
      </c>
      <c r="P124" s="373">
        <v>1220</v>
      </c>
      <c r="Q124" s="330">
        <f t="shared" ref="Q124" si="267">+P124*$X$1</f>
        <v>1220</v>
      </c>
      <c r="R124" s="665">
        <v>1200</v>
      </c>
      <c r="S124" s="330">
        <f t="shared" ref="S124" si="268">+R124*$X$1</f>
        <v>1200</v>
      </c>
      <c r="T124" s="665">
        <v>1188</v>
      </c>
      <c r="U124" s="330">
        <f t="shared" ref="U124" si="269">+T124*$X$1</f>
        <v>1188</v>
      </c>
      <c r="V124" s="665">
        <v>996</v>
      </c>
      <c r="W124" s="330">
        <f t="shared" ref="W124" si="270">+V124*$X$1</f>
        <v>996</v>
      </c>
      <c r="X124" s="676"/>
      <c r="Y124" s="677"/>
      <c r="Z124" s="677"/>
      <c r="AA124" s="678"/>
      <c r="AB124" s="519"/>
    </row>
    <row r="125" spans="1:28" ht="12.6" customHeight="1" x14ac:dyDescent="0.2">
      <c r="A125" s="20"/>
      <c r="B125" s="785" t="s">
        <v>729</v>
      </c>
      <c r="C125" s="786"/>
      <c r="D125" s="786"/>
      <c r="E125" s="786"/>
      <c r="F125" s="371"/>
      <c r="G125" s="681" t="s">
        <v>464</v>
      </c>
      <c r="H125" s="682"/>
      <c r="I125" s="682"/>
      <c r="J125" s="682"/>
      <c r="K125" s="683"/>
      <c r="L125" s="663">
        <v>1717</v>
      </c>
      <c r="M125" s="331">
        <f t="shared" si="230"/>
        <v>1717</v>
      </c>
      <c r="N125" s="505">
        <v>1465</v>
      </c>
      <c r="O125" s="331">
        <f t="shared" si="230"/>
        <v>1465</v>
      </c>
      <c r="P125" s="481">
        <v>1220</v>
      </c>
      <c r="Q125" s="331">
        <f t="shared" si="231"/>
        <v>1220</v>
      </c>
      <c r="R125" s="650">
        <v>1215</v>
      </c>
      <c r="S125" s="331">
        <f t="shared" si="232"/>
        <v>1215</v>
      </c>
      <c r="T125" s="129">
        <v>1201</v>
      </c>
      <c r="U125" s="506">
        <f t="shared" si="233"/>
        <v>1201</v>
      </c>
      <c r="V125" s="129">
        <v>1189</v>
      </c>
      <c r="W125" s="506">
        <f t="shared" si="234"/>
        <v>1189</v>
      </c>
      <c r="X125" s="676"/>
      <c r="Y125" s="677"/>
      <c r="Z125" s="677"/>
      <c r="AA125" s="678"/>
      <c r="AB125" s="519">
        <v>303</v>
      </c>
    </row>
    <row r="126" spans="1:28" ht="12.6" customHeight="1" x14ac:dyDescent="0.2">
      <c r="A126" s="20"/>
      <c r="B126" s="684" t="s">
        <v>896</v>
      </c>
      <c r="C126" s="817"/>
      <c r="D126" s="817"/>
      <c r="E126" s="817"/>
      <c r="F126" s="460">
        <v>2184</v>
      </c>
      <c r="G126" s="330">
        <f t="shared" ref="G126" si="271">+F126*$X$1</f>
        <v>2184</v>
      </c>
      <c r="H126" s="368"/>
      <c r="I126" s="330"/>
      <c r="J126" s="368"/>
      <c r="K126" s="330"/>
      <c r="L126" s="368">
        <f>F126+70</f>
        <v>2254</v>
      </c>
      <c r="M126" s="330">
        <f t="shared" si="230"/>
        <v>2254</v>
      </c>
      <c r="N126" s="368">
        <f>F126+52</f>
        <v>2236</v>
      </c>
      <c r="O126" s="330">
        <f>+N126*$X$1</f>
        <v>2236</v>
      </c>
      <c r="P126" s="368">
        <f>F126+46</f>
        <v>2230</v>
      </c>
      <c r="Q126" s="330">
        <f t="shared" si="231"/>
        <v>2230</v>
      </c>
      <c r="R126" s="368">
        <f>F126+41</f>
        <v>2225</v>
      </c>
      <c r="S126" s="330">
        <f>+R126*$X$1</f>
        <v>2225</v>
      </c>
      <c r="T126" s="368">
        <f>F126+36</f>
        <v>2220</v>
      </c>
      <c r="U126" s="330">
        <f>+T126*$X$1</f>
        <v>2220</v>
      </c>
      <c r="V126" s="368">
        <f>F126+32</f>
        <v>2216</v>
      </c>
      <c r="W126" s="330">
        <f>+V126*$X$1</f>
        <v>2216</v>
      </c>
      <c r="X126" s="686"/>
      <c r="Y126" s="687"/>
      <c r="Z126" s="687"/>
      <c r="AA126" s="688"/>
      <c r="AB126" s="519">
        <v>307</v>
      </c>
    </row>
    <row r="127" spans="1:28" ht="12.6" customHeight="1" x14ac:dyDescent="0.2">
      <c r="A127" s="20"/>
      <c r="B127" s="679" t="s">
        <v>626</v>
      </c>
      <c r="C127" s="695"/>
      <c r="D127" s="695"/>
      <c r="E127" s="695"/>
      <c r="F127" s="371">
        <v>1121</v>
      </c>
      <c r="G127" s="331">
        <f>+F127*$X$1</f>
        <v>1121</v>
      </c>
      <c r="H127" s="321"/>
      <c r="I127" s="404"/>
      <c r="J127" s="645"/>
      <c r="K127" s="331"/>
      <c r="L127" s="650">
        <v>2170</v>
      </c>
      <c r="M127" s="331">
        <f>+L127*$X$1</f>
        <v>2170</v>
      </c>
      <c r="N127" s="650">
        <v>1802</v>
      </c>
      <c r="O127" s="331">
        <f t="shared" si="230"/>
        <v>1802</v>
      </c>
      <c r="P127" s="323">
        <v>1667</v>
      </c>
      <c r="Q127" s="331">
        <f t="shared" ref="Q127" si="272">+P127*$X$1</f>
        <v>1667</v>
      </c>
      <c r="R127" s="650">
        <v>1544</v>
      </c>
      <c r="S127" s="331">
        <f t="shared" si="232"/>
        <v>1544</v>
      </c>
      <c r="T127" s="650">
        <v>1448</v>
      </c>
      <c r="U127" s="331">
        <f>+T127*$X$1</f>
        <v>1448</v>
      </c>
      <c r="V127" s="650">
        <v>1386</v>
      </c>
      <c r="W127" s="331">
        <f>+V127*$X$1</f>
        <v>1386</v>
      </c>
      <c r="X127" s="686"/>
      <c r="Y127" s="687"/>
      <c r="Z127" s="687"/>
      <c r="AA127" s="688"/>
      <c r="AB127" s="519">
        <v>308</v>
      </c>
    </row>
    <row r="128" spans="1:28" ht="12.6" customHeight="1" x14ac:dyDescent="0.2">
      <c r="A128" s="20"/>
      <c r="B128" s="696" t="s">
        <v>625</v>
      </c>
      <c r="C128" s="697"/>
      <c r="D128" s="697"/>
      <c r="E128" s="697"/>
      <c r="F128" s="357">
        <v>1121</v>
      </c>
      <c r="G128" s="330">
        <f>+F128*$X$1</f>
        <v>1121</v>
      </c>
      <c r="H128" s="322"/>
      <c r="I128" s="403"/>
      <c r="J128" s="368"/>
      <c r="K128" s="330"/>
      <c r="L128" s="665">
        <v>2170</v>
      </c>
      <c r="M128" s="330">
        <f>+L128*$X$1</f>
        <v>2170</v>
      </c>
      <c r="N128" s="665">
        <v>1802</v>
      </c>
      <c r="O128" s="330">
        <f t="shared" ref="O128" si="273">+N128*$X$1</f>
        <v>1802</v>
      </c>
      <c r="P128" s="373">
        <v>1667</v>
      </c>
      <c r="Q128" s="330">
        <f t="shared" ref="Q128" si="274">+P128*$X$1</f>
        <v>1667</v>
      </c>
      <c r="R128" s="665">
        <v>1544</v>
      </c>
      <c r="S128" s="330">
        <f t="shared" ref="S128" si="275">+R128*$X$1</f>
        <v>1544</v>
      </c>
      <c r="T128" s="665">
        <v>1448</v>
      </c>
      <c r="U128" s="330">
        <f>+T128*$X$1</f>
        <v>1448</v>
      </c>
      <c r="V128" s="665">
        <v>1386</v>
      </c>
      <c r="W128" s="330">
        <f>+V128*$X$1</f>
        <v>1386</v>
      </c>
      <c r="X128" s="686"/>
      <c r="Y128" s="687"/>
      <c r="Z128" s="687"/>
      <c r="AA128" s="688"/>
      <c r="AB128" s="519">
        <v>309</v>
      </c>
    </row>
    <row r="129" spans="1:33" ht="12.6" customHeight="1" x14ac:dyDescent="0.2">
      <c r="A129" s="20"/>
      <c r="B129" s="679" t="s">
        <v>170</v>
      </c>
      <c r="C129" s="695"/>
      <c r="D129" s="695"/>
      <c r="E129" s="695"/>
      <c r="F129" s="461">
        <f>0.761*X2</f>
        <v>713.81799999999998</v>
      </c>
      <c r="G129" s="331">
        <f t="shared" ref="G129" si="276">+F129*$X$1</f>
        <v>713.81799999999998</v>
      </c>
      <c r="H129" s="645"/>
      <c r="I129" s="331"/>
      <c r="J129" s="645">
        <f>F129+100</f>
        <v>813.81799999999998</v>
      </c>
      <c r="K129" s="331">
        <f t="shared" ref="K129" si="277">+J129*$X$1</f>
        <v>813.81799999999998</v>
      </c>
      <c r="L129" s="645">
        <f>F129+70</f>
        <v>783.81799999999998</v>
      </c>
      <c r="M129" s="331">
        <f t="shared" ref="M129" si="278">+L129*$X$1</f>
        <v>783.81799999999998</v>
      </c>
      <c r="N129" s="645">
        <f>F129+52</f>
        <v>765.81799999999998</v>
      </c>
      <c r="O129" s="331">
        <f>+N129*$X$1</f>
        <v>765.81799999999998</v>
      </c>
      <c r="P129" s="645"/>
      <c r="Q129" s="331"/>
      <c r="R129" s="645"/>
      <c r="S129" s="331"/>
      <c r="T129" s="645"/>
      <c r="U129" s="331"/>
      <c r="V129" s="645"/>
      <c r="W129" s="331"/>
      <c r="X129" s="686"/>
      <c r="Y129" s="687"/>
      <c r="Z129" s="687"/>
      <c r="AA129" s="688"/>
      <c r="AB129" s="519">
        <v>310</v>
      </c>
    </row>
    <row r="130" spans="1:33" ht="12.6" customHeight="1" x14ac:dyDescent="0.2">
      <c r="A130" s="20"/>
      <c r="B130" s="696" t="s">
        <v>554</v>
      </c>
      <c r="C130" s="697"/>
      <c r="D130" s="697"/>
      <c r="E130" s="697"/>
      <c r="F130" s="460">
        <f>1.815*X2</f>
        <v>1702.47</v>
      </c>
      <c r="G130" s="330">
        <f t="shared" ref="G130" si="279">+F130*$X$1</f>
        <v>1702.47</v>
      </c>
      <c r="H130" s="368"/>
      <c r="I130" s="330"/>
      <c r="J130" s="368">
        <f>F130+100</f>
        <v>1802.47</v>
      </c>
      <c r="K130" s="330">
        <f t="shared" ref="K130" si="280">+J130*$X$1</f>
        <v>1802.47</v>
      </c>
      <c r="L130" s="368">
        <f>F130+70</f>
        <v>1772.47</v>
      </c>
      <c r="M130" s="330">
        <f t="shared" ref="M130" si="281">+L130*$X$1</f>
        <v>1772.47</v>
      </c>
      <c r="N130" s="368">
        <f>F130+52</f>
        <v>1754.47</v>
      </c>
      <c r="O130" s="330">
        <f>+N130*$X$1</f>
        <v>1754.47</v>
      </c>
      <c r="P130" s="368">
        <f>F130+46</f>
        <v>1748.47</v>
      </c>
      <c r="Q130" s="330">
        <f t="shared" ref="Q130" si="282">+P130*$X$1</f>
        <v>1748.47</v>
      </c>
      <c r="R130" s="368">
        <f>F130+41</f>
        <v>1743.47</v>
      </c>
      <c r="S130" s="330">
        <f>+R130*$X$1</f>
        <v>1743.47</v>
      </c>
      <c r="T130" s="368">
        <f>F130+36</f>
        <v>1738.47</v>
      </c>
      <c r="U130" s="330">
        <f>+T130*$X$1</f>
        <v>1738.47</v>
      </c>
      <c r="V130" s="368">
        <f>F130+32</f>
        <v>1734.47</v>
      </c>
      <c r="W130" s="330">
        <f>+V130*$X$1</f>
        <v>1734.47</v>
      </c>
      <c r="X130" s="686"/>
      <c r="Y130" s="687"/>
      <c r="Z130" s="687"/>
      <c r="AA130" s="688"/>
      <c r="AB130" s="519">
        <v>312</v>
      </c>
    </row>
    <row r="131" spans="1:33" ht="12.6" customHeight="1" x14ac:dyDescent="0.2">
      <c r="A131" s="20"/>
      <c r="B131" s="698" t="s">
        <v>171</v>
      </c>
      <c r="C131" s="693"/>
      <c r="D131" s="693"/>
      <c r="E131" s="694"/>
      <c r="F131" s="331"/>
      <c r="G131" s="331"/>
      <c r="H131" s="645"/>
      <c r="I131" s="331"/>
      <c r="J131" s="93"/>
      <c r="K131" s="331"/>
      <c r="L131" s="645"/>
      <c r="M131" s="331"/>
      <c r="N131" s="645"/>
      <c r="O131" s="331"/>
      <c r="P131" s="645"/>
      <c r="Q131" s="331"/>
      <c r="R131" s="645"/>
      <c r="S131" s="331"/>
      <c r="T131" s="645"/>
      <c r="U131" s="331"/>
      <c r="V131" s="645"/>
      <c r="W131" s="331"/>
      <c r="X131" s="686"/>
      <c r="Y131" s="687"/>
      <c r="Z131" s="687"/>
      <c r="AA131" s="688"/>
      <c r="AB131" s="519" t="s">
        <v>172</v>
      </c>
    </row>
    <row r="132" spans="1:33" ht="12.6" customHeight="1" x14ac:dyDescent="0.2">
      <c r="A132" s="20"/>
      <c r="B132" s="1111" t="s">
        <v>173</v>
      </c>
      <c r="C132" s="1064"/>
      <c r="D132" s="1064"/>
      <c r="E132" s="1065"/>
      <c r="F132" s="357"/>
      <c r="G132" s="330"/>
      <c r="H132" s="368"/>
      <c r="I132" s="330"/>
      <c r="J132" s="75"/>
      <c r="K132" s="330"/>
      <c r="L132" s="368"/>
      <c r="M132" s="330"/>
      <c r="N132" s="368"/>
      <c r="O132" s="330"/>
      <c r="P132" s="368"/>
      <c r="Q132" s="330"/>
      <c r="R132" s="368"/>
      <c r="S132" s="330"/>
      <c r="T132" s="368"/>
      <c r="U132" s="330"/>
      <c r="V132" s="368"/>
      <c r="W132" s="330"/>
      <c r="X132" s="741"/>
      <c r="Y132" s="907"/>
      <c r="Z132" s="907"/>
      <c r="AA132" s="743"/>
      <c r="AB132" s="592" t="s">
        <v>174</v>
      </c>
    </row>
    <row r="133" spans="1:33" ht="12.6" customHeight="1" x14ac:dyDescent="0.2">
      <c r="A133" s="20"/>
      <c r="B133" s="698" t="s">
        <v>175</v>
      </c>
      <c r="C133" s="693"/>
      <c r="D133" s="693"/>
      <c r="E133" s="694"/>
      <c r="F133" s="331"/>
      <c r="G133" s="331"/>
      <c r="H133" s="645"/>
      <c r="I133" s="331"/>
      <c r="J133" s="93"/>
      <c r="K133" s="331"/>
      <c r="L133" s="645"/>
      <c r="M133" s="331"/>
      <c r="N133" s="645"/>
      <c r="O133" s="331"/>
      <c r="P133" s="645"/>
      <c r="Q133" s="331"/>
      <c r="R133" s="645"/>
      <c r="S133" s="331"/>
      <c r="T133" s="645"/>
      <c r="U133" s="331"/>
      <c r="V133" s="645"/>
      <c r="W133" s="331"/>
      <c r="X133" s="907"/>
      <c r="Y133" s="907"/>
      <c r="Z133" s="907"/>
      <c r="AA133" s="907"/>
      <c r="AB133" s="208" t="s">
        <v>176</v>
      </c>
    </row>
    <row r="134" spans="1:33" ht="12.6" customHeight="1" x14ac:dyDescent="0.2">
      <c r="A134" s="20"/>
      <c r="B134" s="736" t="s">
        <v>177</v>
      </c>
      <c r="C134" s="739"/>
      <c r="D134" s="739"/>
      <c r="E134" s="740"/>
      <c r="F134" s="330"/>
      <c r="G134" s="330"/>
      <c r="H134" s="368"/>
      <c r="I134" s="330"/>
      <c r="J134" s="75"/>
      <c r="K134" s="330"/>
      <c r="L134" s="368"/>
      <c r="M134" s="330"/>
      <c r="N134" s="368"/>
      <c r="O134" s="330"/>
      <c r="P134" s="368"/>
      <c r="Q134" s="330"/>
      <c r="R134" s="368"/>
      <c r="S134" s="330"/>
      <c r="T134" s="368"/>
      <c r="U134" s="330"/>
      <c r="V134" s="368"/>
      <c r="W134" s="330"/>
      <c r="X134" s="907"/>
      <c r="Y134" s="907"/>
      <c r="Z134" s="907"/>
      <c r="AA134" s="907"/>
      <c r="AB134" s="208" t="s">
        <v>178</v>
      </c>
    </row>
    <row r="135" spans="1:33" ht="12.6" customHeight="1" x14ac:dyDescent="0.2">
      <c r="A135" s="101"/>
      <c r="B135" s="698" t="s">
        <v>420</v>
      </c>
      <c r="C135" s="920"/>
      <c r="D135" s="920"/>
      <c r="E135" s="921"/>
      <c r="F135" s="331"/>
      <c r="G135" s="331"/>
      <c r="H135" s="93"/>
      <c r="I135" s="645"/>
      <c r="J135" s="645"/>
      <c r="K135" s="645"/>
      <c r="L135" s="645"/>
      <c r="M135" s="331"/>
      <c r="N135" s="645"/>
      <c r="O135" s="331"/>
      <c r="P135" s="645"/>
      <c r="Q135" s="331"/>
      <c r="R135" s="645"/>
      <c r="S135" s="331"/>
      <c r="T135" s="645"/>
      <c r="U135" s="331"/>
      <c r="V135" s="645"/>
      <c r="W135" s="331"/>
      <c r="X135" s="713"/>
      <c r="Y135" s="716"/>
      <c r="Z135" s="716"/>
      <c r="AA135" s="717"/>
      <c r="AB135" s="208"/>
    </row>
    <row r="136" spans="1:33" ht="12.6" customHeight="1" x14ac:dyDescent="0.2">
      <c r="A136" s="101"/>
      <c r="B136" s="696" t="s">
        <v>179</v>
      </c>
      <c r="C136" s="697"/>
      <c r="D136" s="697"/>
      <c r="E136" s="697"/>
      <c r="F136" s="330"/>
      <c r="G136" s="330"/>
      <c r="H136" s="75"/>
      <c r="I136" s="368"/>
      <c r="J136" s="368"/>
      <c r="K136" s="368"/>
      <c r="L136" s="368"/>
      <c r="M136" s="330"/>
      <c r="N136" s="368"/>
      <c r="O136" s="330"/>
      <c r="P136" s="368"/>
      <c r="Q136" s="330"/>
      <c r="R136" s="368"/>
      <c r="S136" s="330"/>
      <c r="T136" s="368"/>
      <c r="U136" s="330"/>
      <c r="V136" s="368"/>
      <c r="W136" s="330"/>
      <c r="X136" s="713"/>
      <c r="Y136" s="714"/>
      <c r="Z136" s="714"/>
      <c r="AA136" s="715"/>
      <c r="AB136" s="208">
        <v>316</v>
      </c>
      <c r="AC136" s="64"/>
      <c r="AD136" s="64"/>
      <c r="AE136" s="64"/>
      <c r="AF136" s="64"/>
    </row>
    <row r="137" spans="1:33" ht="12.6" customHeight="1" x14ac:dyDescent="0.2">
      <c r="A137" s="101"/>
      <c r="B137" s="679" t="s">
        <v>180</v>
      </c>
      <c r="C137" s="695"/>
      <c r="D137" s="695"/>
      <c r="E137" s="695"/>
      <c r="F137" s="331"/>
      <c r="G137" s="415"/>
      <c r="H137" s="93"/>
      <c r="I137" s="257"/>
      <c r="J137" s="645"/>
      <c r="K137" s="257"/>
      <c r="L137" s="645"/>
      <c r="M137" s="417"/>
      <c r="N137" s="645"/>
      <c r="O137" s="417"/>
      <c r="P137" s="645"/>
      <c r="Q137" s="417"/>
      <c r="R137" s="645"/>
      <c r="S137" s="417"/>
      <c r="T137" s="645"/>
      <c r="U137" s="331"/>
      <c r="V137" s="645"/>
      <c r="W137" s="331"/>
      <c r="X137" s="713"/>
      <c r="Y137" s="714"/>
      <c r="Z137" s="714"/>
      <c r="AA137" s="715"/>
      <c r="AB137" s="208">
        <v>318</v>
      </c>
      <c r="AC137" s="64"/>
      <c r="AD137" s="64"/>
      <c r="AE137" s="64"/>
      <c r="AF137" s="64"/>
    </row>
    <row r="138" spans="1:33" ht="12.6" customHeight="1" x14ac:dyDescent="0.2">
      <c r="A138" s="20"/>
      <c r="B138" s="787" t="s">
        <v>378</v>
      </c>
      <c r="C138" s="788"/>
      <c r="D138" s="788"/>
      <c r="E138" s="788"/>
      <c r="F138" s="330">
        <v>815</v>
      </c>
      <c r="G138" s="364">
        <f>+F138*$X$1</f>
        <v>815</v>
      </c>
      <c r="H138" s="209" t="s">
        <v>181</v>
      </c>
      <c r="I138" s="212"/>
      <c r="J138" s="89"/>
      <c r="K138" s="89"/>
      <c r="L138" s="181"/>
      <c r="M138" s="89"/>
      <c r="N138" s="89"/>
      <c r="O138" s="89"/>
      <c r="P138" s="86">
        <v>80</v>
      </c>
      <c r="Q138" s="211">
        <f>+P138*$X$1</f>
        <v>80</v>
      </c>
      <c r="R138" s="647"/>
      <c r="S138" s="421"/>
      <c r="T138" s="75"/>
      <c r="U138" s="330"/>
      <c r="V138" s="368"/>
      <c r="W138" s="330"/>
      <c r="X138" s="713"/>
      <c r="Y138" s="714"/>
      <c r="Z138" s="714"/>
      <c r="AA138" s="715"/>
      <c r="AB138" s="525"/>
      <c r="AC138" s="775"/>
      <c r="AD138" s="776"/>
      <c r="AE138" s="776"/>
      <c r="AF138" s="776"/>
      <c r="AG138" s="4"/>
    </row>
    <row r="139" spans="1:33" ht="12.6" customHeight="1" x14ac:dyDescent="0.2">
      <c r="A139" s="20"/>
      <c r="B139" s="1081" t="s">
        <v>379</v>
      </c>
      <c r="C139" s="1082"/>
      <c r="D139" s="1082"/>
      <c r="E139" s="1082"/>
      <c r="F139" s="331">
        <v>875</v>
      </c>
      <c r="G139" s="416">
        <f>+F139*$X$1</f>
        <v>875</v>
      </c>
      <c r="H139" s="303" t="s">
        <v>181</v>
      </c>
      <c r="I139" s="304"/>
      <c r="J139" s="305"/>
      <c r="K139" s="305"/>
      <c r="L139" s="306"/>
      <c r="M139" s="305"/>
      <c r="N139" s="305"/>
      <c r="O139" s="305"/>
      <c r="P139" s="307">
        <v>80</v>
      </c>
      <c r="Q139" s="308">
        <f>+P139*$X$1</f>
        <v>80</v>
      </c>
      <c r="R139" s="309"/>
      <c r="S139" s="422"/>
      <c r="T139" s="310"/>
      <c r="U139" s="333"/>
      <c r="V139" s="99"/>
      <c r="W139" s="333"/>
      <c r="X139" s="713"/>
      <c r="Y139" s="714"/>
      <c r="Z139" s="714"/>
      <c r="AA139" s="715"/>
      <c r="AB139" s="525"/>
    </row>
    <row r="140" spans="1:33" ht="12.6" customHeight="1" x14ac:dyDescent="0.2">
      <c r="A140" s="20"/>
      <c r="B140" s="787" t="s">
        <v>182</v>
      </c>
      <c r="C140" s="788"/>
      <c r="D140" s="788"/>
      <c r="E140" s="788"/>
      <c r="F140" s="330"/>
      <c r="G140" s="330"/>
      <c r="H140" s="312"/>
      <c r="I140" s="330"/>
      <c r="J140" s="368">
        <f>F139+110</f>
        <v>985</v>
      </c>
      <c r="K140" s="330">
        <f t="shared" ref="K140:K141" si="283">+J140*$X$1</f>
        <v>985</v>
      </c>
      <c r="L140" s="368">
        <f>F139+70</f>
        <v>945</v>
      </c>
      <c r="M140" s="330">
        <f>+L140*$X$1</f>
        <v>945</v>
      </c>
      <c r="N140" s="368">
        <f>F139+45</f>
        <v>920</v>
      </c>
      <c r="O140" s="330">
        <f>+N140*$X$1</f>
        <v>920</v>
      </c>
      <c r="P140" s="368">
        <f>F139+41</f>
        <v>916</v>
      </c>
      <c r="Q140" s="330">
        <f t="shared" ref="Q140:Q141" si="284">+P140*$X$1</f>
        <v>916</v>
      </c>
      <c r="R140" s="368">
        <f>F139+38</f>
        <v>913</v>
      </c>
      <c r="S140" s="330">
        <f>+R140*$X$1</f>
        <v>913</v>
      </c>
      <c r="T140" s="368">
        <f>F139+32</f>
        <v>907</v>
      </c>
      <c r="U140" s="330">
        <f t="shared" ref="U140:U141" si="285">+T140*$X$1</f>
        <v>907</v>
      </c>
      <c r="V140" s="368">
        <f>F139+28</f>
        <v>903</v>
      </c>
      <c r="W140" s="330">
        <f>+V140*$X$1</f>
        <v>903</v>
      </c>
      <c r="X140" s="713"/>
      <c r="Y140" s="714"/>
      <c r="Z140" s="714"/>
      <c r="AA140" s="715"/>
      <c r="AB140" s="519">
        <v>321</v>
      </c>
    </row>
    <row r="141" spans="1:33" ht="12.6" customHeight="1" x14ac:dyDescent="0.2">
      <c r="A141" s="20"/>
      <c r="B141" s="1081" t="s">
        <v>621</v>
      </c>
      <c r="C141" s="1082"/>
      <c r="D141" s="1082"/>
      <c r="E141" s="1082"/>
      <c r="F141" s="331"/>
      <c r="G141" s="331"/>
      <c r="H141" s="349"/>
      <c r="I141" s="331"/>
      <c r="J141" s="645">
        <f>F139+260</f>
        <v>1135</v>
      </c>
      <c r="K141" s="331">
        <f t="shared" si="283"/>
        <v>1135</v>
      </c>
      <c r="L141" s="645">
        <f>F139+162</f>
        <v>1037</v>
      </c>
      <c r="M141" s="331">
        <f>+L141*$X$1</f>
        <v>1037</v>
      </c>
      <c r="N141" s="645">
        <f>F139+120</f>
        <v>995</v>
      </c>
      <c r="O141" s="331">
        <f>+N141*$X$1</f>
        <v>995</v>
      </c>
      <c r="P141" s="645">
        <f>F139+108</f>
        <v>983</v>
      </c>
      <c r="Q141" s="331">
        <f t="shared" si="284"/>
        <v>983</v>
      </c>
      <c r="R141" s="645">
        <f>F139+92</f>
        <v>967</v>
      </c>
      <c r="S141" s="331">
        <f>+R141*$X$1</f>
        <v>967</v>
      </c>
      <c r="T141" s="645">
        <f>F139+81</f>
        <v>956</v>
      </c>
      <c r="U141" s="331">
        <f t="shared" si="285"/>
        <v>956</v>
      </c>
      <c r="V141" s="645">
        <f>F139+78</f>
        <v>953</v>
      </c>
      <c r="W141" s="331">
        <f>+V141*$X$1</f>
        <v>953</v>
      </c>
      <c r="X141" s="713"/>
      <c r="Y141" s="714"/>
      <c r="Z141" s="714"/>
      <c r="AA141" s="715"/>
      <c r="AB141" s="519">
        <v>322</v>
      </c>
    </row>
    <row r="142" spans="1:33" ht="12.6" customHeight="1" x14ac:dyDescent="0.2">
      <c r="A142" s="20"/>
      <c r="B142" s="787" t="s">
        <v>380</v>
      </c>
      <c r="C142" s="788"/>
      <c r="D142" s="788"/>
      <c r="E142" s="788"/>
      <c r="F142" s="330">
        <v>1020</v>
      </c>
      <c r="G142" s="364">
        <f>+F142*$X$1</f>
        <v>1020</v>
      </c>
      <c r="H142" s="646" t="s">
        <v>181</v>
      </c>
      <c r="I142" s="210"/>
      <c r="J142" s="87"/>
      <c r="K142" s="87"/>
      <c r="L142" s="87"/>
      <c r="M142" s="87"/>
      <c r="N142" s="87"/>
      <c r="O142" s="87"/>
      <c r="P142" s="88">
        <v>110</v>
      </c>
      <c r="Q142" s="311">
        <f>+P142*$X$1</f>
        <v>110</v>
      </c>
      <c r="R142" s="297"/>
      <c r="S142" s="411"/>
      <c r="T142" s="314"/>
      <c r="U142" s="418"/>
      <c r="V142" s="90"/>
      <c r="W142" s="420"/>
      <c r="X142" s="713"/>
      <c r="Y142" s="714"/>
      <c r="Z142" s="714"/>
      <c r="AA142" s="715"/>
      <c r="AB142" s="525"/>
    </row>
    <row r="143" spans="1:33" ht="12.6" customHeight="1" x14ac:dyDescent="0.2">
      <c r="A143" s="20"/>
      <c r="B143" s="679" t="s">
        <v>183</v>
      </c>
      <c r="C143" s="695"/>
      <c r="D143" s="695"/>
      <c r="E143" s="695"/>
      <c r="F143" s="333">
        <v>1090</v>
      </c>
      <c r="G143" s="416">
        <f>+F143*$X$1</f>
        <v>1090</v>
      </c>
      <c r="H143" s="303" t="s">
        <v>181</v>
      </c>
      <c r="I143" s="315"/>
      <c r="J143" s="87"/>
      <c r="K143" s="87"/>
      <c r="L143" s="87"/>
      <c r="M143" s="87"/>
      <c r="N143" s="87"/>
      <c r="O143" s="87"/>
      <c r="P143" s="88">
        <v>110</v>
      </c>
      <c r="Q143" s="211">
        <f>+P143*$X$1</f>
        <v>110</v>
      </c>
      <c r="R143" s="297"/>
      <c r="S143" s="401"/>
      <c r="T143" s="313"/>
      <c r="U143" s="419"/>
      <c r="V143" s="93"/>
      <c r="W143" s="371"/>
      <c r="X143" s="713"/>
      <c r="Y143" s="714"/>
      <c r="Z143" s="714"/>
      <c r="AA143" s="715"/>
      <c r="AB143" s="525"/>
    </row>
    <row r="144" spans="1:33" ht="12.6" customHeight="1" x14ac:dyDescent="0.2">
      <c r="A144" s="20"/>
      <c r="B144" s="696" t="s">
        <v>184</v>
      </c>
      <c r="C144" s="697"/>
      <c r="D144" s="697"/>
      <c r="E144" s="697"/>
      <c r="F144" s="406"/>
      <c r="G144" s="406"/>
      <c r="H144" s="322"/>
      <c r="I144" s="403"/>
      <c r="J144" s="368">
        <f>F143+110</f>
        <v>1200</v>
      </c>
      <c r="K144" s="330">
        <f t="shared" ref="K144" si="286">+J144*$X$1</f>
        <v>1200</v>
      </c>
      <c r="L144" s="368">
        <f>F143+70</f>
        <v>1160</v>
      </c>
      <c r="M144" s="330">
        <f>+L144*$X$1</f>
        <v>1160</v>
      </c>
      <c r="N144" s="368">
        <f>F143+45</f>
        <v>1135</v>
      </c>
      <c r="O144" s="330">
        <f>+N144*$X$1</f>
        <v>1135</v>
      </c>
      <c r="P144" s="368">
        <f>F143+41</f>
        <v>1131</v>
      </c>
      <c r="Q144" s="330">
        <f t="shared" ref="Q144:Q145" si="287">+P144*$X$1</f>
        <v>1131</v>
      </c>
      <c r="R144" s="368">
        <f>F143+38</f>
        <v>1128</v>
      </c>
      <c r="S144" s="330">
        <f>+R144*$X$1</f>
        <v>1128</v>
      </c>
      <c r="T144" s="368">
        <f>F143+32</f>
        <v>1122</v>
      </c>
      <c r="U144" s="330">
        <f t="shared" ref="U144:U145" si="288">+T144*$X$1</f>
        <v>1122</v>
      </c>
      <c r="V144" s="368">
        <f>F143+28</f>
        <v>1118</v>
      </c>
      <c r="W144" s="330">
        <f>+V144*$X$1</f>
        <v>1118</v>
      </c>
      <c r="X144" s="713"/>
      <c r="Y144" s="714"/>
      <c r="Z144" s="714"/>
      <c r="AA144" s="715"/>
      <c r="AB144" s="519">
        <v>325</v>
      </c>
    </row>
    <row r="145" spans="1:34" ht="12.6" customHeight="1" x14ac:dyDescent="0.2">
      <c r="A145" s="20"/>
      <c r="B145" s="679" t="s">
        <v>620</v>
      </c>
      <c r="C145" s="695"/>
      <c r="D145" s="695"/>
      <c r="E145" s="695"/>
      <c r="F145" s="405"/>
      <c r="G145" s="405"/>
      <c r="H145" s="321"/>
      <c r="I145" s="404"/>
      <c r="J145" s="645">
        <f>F143+265</f>
        <v>1355</v>
      </c>
      <c r="K145" s="331">
        <f t="shared" ref="K145:K147" si="289">+J145*$X$1</f>
        <v>1355</v>
      </c>
      <c r="L145" s="650">
        <f>F143+170</f>
        <v>1260</v>
      </c>
      <c r="M145" s="331">
        <f>+L145*$X$1</f>
        <v>1260</v>
      </c>
      <c r="N145" s="650">
        <f>F143+125</f>
        <v>1215</v>
      </c>
      <c r="O145" s="331">
        <f>+N145*$X$1</f>
        <v>1215</v>
      </c>
      <c r="P145" s="650">
        <f>F143+113</f>
        <v>1203</v>
      </c>
      <c r="Q145" s="331">
        <f t="shared" si="287"/>
        <v>1203</v>
      </c>
      <c r="R145" s="650">
        <f>F143+97</f>
        <v>1187</v>
      </c>
      <c r="S145" s="331">
        <f>+R145*$X$1</f>
        <v>1187</v>
      </c>
      <c r="T145" s="650">
        <f>F143+87</f>
        <v>1177</v>
      </c>
      <c r="U145" s="331">
        <f t="shared" si="288"/>
        <v>1177</v>
      </c>
      <c r="V145" s="650">
        <f>F143+83</f>
        <v>1173</v>
      </c>
      <c r="W145" s="331">
        <f>+V145*$X$1</f>
        <v>1173</v>
      </c>
      <c r="X145" s="713"/>
      <c r="Y145" s="714"/>
      <c r="Z145" s="714"/>
      <c r="AA145" s="715"/>
      <c r="AB145" s="519">
        <v>326</v>
      </c>
    </row>
    <row r="146" spans="1:34" ht="12.6" customHeight="1" x14ac:dyDescent="0.2">
      <c r="A146" s="20"/>
      <c r="B146" s="696" t="s">
        <v>402</v>
      </c>
      <c r="C146" s="697"/>
      <c r="D146" s="697"/>
      <c r="E146" s="697"/>
      <c r="F146" s="460">
        <f>8.3*X2</f>
        <v>7785.4000000000005</v>
      </c>
      <c r="G146" s="330">
        <f>+F146*$X$1</f>
        <v>7785.4000000000005</v>
      </c>
      <c r="H146" s="368">
        <f>F146+250</f>
        <v>8035.4000000000005</v>
      </c>
      <c r="I146" s="330">
        <f t="shared" ref="I146" si="290">+H146*$X$1</f>
        <v>8035.4000000000005</v>
      </c>
      <c r="J146" s="368">
        <f>F146+100</f>
        <v>7885.4000000000005</v>
      </c>
      <c r="K146" s="330">
        <f t="shared" si="289"/>
        <v>7885.4000000000005</v>
      </c>
      <c r="L146" s="368">
        <f>F146+70</f>
        <v>7855.4000000000005</v>
      </c>
      <c r="M146" s="330">
        <f t="shared" ref="M146" si="291">+L146*$X$1</f>
        <v>7855.4000000000005</v>
      </c>
      <c r="N146" s="368">
        <f>F146+52</f>
        <v>7837.4000000000005</v>
      </c>
      <c r="O146" s="330">
        <f>+N146*$X$1</f>
        <v>7837.4000000000005</v>
      </c>
      <c r="P146" s="368">
        <f>F146+46</f>
        <v>7831.4000000000005</v>
      </c>
      <c r="Q146" s="330">
        <f t="shared" ref="Q146:Q147" si="292">+P146*$X$1</f>
        <v>7831.4000000000005</v>
      </c>
      <c r="R146" s="368">
        <f>F146+41</f>
        <v>7826.4000000000005</v>
      </c>
      <c r="S146" s="330">
        <f>+R146*$X$1</f>
        <v>7826.4000000000005</v>
      </c>
      <c r="T146" s="368">
        <f>F146+36</f>
        <v>7821.4000000000005</v>
      </c>
      <c r="U146" s="330">
        <f>+T146*$X$1</f>
        <v>7821.4000000000005</v>
      </c>
      <c r="V146" s="368">
        <f>F146+32</f>
        <v>7817.4000000000005</v>
      </c>
      <c r="W146" s="330">
        <f>+V146*$X$1</f>
        <v>7817.4000000000005</v>
      </c>
      <c r="X146" s="735"/>
      <c r="Y146" s="711"/>
      <c r="Z146" s="711"/>
      <c r="AA146" s="712"/>
      <c r="AB146" s="208">
        <v>332</v>
      </c>
    </row>
    <row r="147" spans="1:34" ht="12.6" customHeight="1" x14ac:dyDescent="0.2">
      <c r="A147" s="20"/>
      <c r="B147" s="684" t="s">
        <v>764</v>
      </c>
      <c r="C147" s="817"/>
      <c r="D147" s="817"/>
      <c r="E147" s="817"/>
      <c r="F147" s="461">
        <f>5.54*X2</f>
        <v>5196.5200000000004</v>
      </c>
      <c r="G147" s="331">
        <f>+F147*$X$1</f>
        <v>5196.5200000000004</v>
      </c>
      <c r="H147" s="645">
        <f>F147+250</f>
        <v>5446.52</v>
      </c>
      <c r="I147" s="331">
        <f t="shared" ref="I147" si="293">+H147*$X$1</f>
        <v>5446.52</v>
      </c>
      <c r="J147" s="645">
        <f>F147+100</f>
        <v>5296.52</v>
      </c>
      <c r="K147" s="331">
        <f t="shared" si="289"/>
        <v>5296.52</v>
      </c>
      <c r="L147" s="645">
        <f>F147+70</f>
        <v>5266.52</v>
      </c>
      <c r="M147" s="331">
        <f t="shared" ref="M147" si="294">+L147*$X$1</f>
        <v>5266.52</v>
      </c>
      <c r="N147" s="645">
        <f>F147+52</f>
        <v>5248.52</v>
      </c>
      <c r="O147" s="331">
        <f>+N147*$X$1</f>
        <v>5248.52</v>
      </c>
      <c r="P147" s="645">
        <f>F147+46</f>
        <v>5242.5200000000004</v>
      </c>
      <c r="Q147" s="331">
        <f t="shared" si="292"/>
        <v>5242.5200000000004</v>
      </c>
      <c r="R147" s="645">
        <f>F147+41</f>
        <v>5237.5200000000004</v>
      </c>
      <c r="S147" s="331">
        <f>+R147*$X$1</f>
        <v>5237.5200000000004</v>
      </c>
      <c r="T147" s="645">
        <f>F147+36</f>
        <v>5232.5200000000004</v>
      </c>
      <c r="U147" s="331">
        <f>+T147*$X$1</f>
        <v>5232.5200000000004</v>
      </c>
      <c r="V147" s="645">
        <f>F147+32</f>
        <v>5228.5200000000004</v>
      </c>
      <c r="W147" s="331">
        <f>+V147*$X$1</f>
        <v>5228.5200000000004</v>
      </c>
      <c r="X147" s="735"/>
      <c r="Y147" s="711"/>
      <c r="Z147" s="711"/>
      <c r="AA147" s="712"/>
      <c r="AB147" s="208">
        <v>337</v>
      </c>
    </row>
    <row r="148" spans="1:34" ht="12.6" customHeight="1" x14ac:dyDescent="0.2">
      <c r="A148" s="22"/>
      <c r="B148" s="1086" t="s">
        <v>185</v>
      </c>
      <c r="C148" s="1087"/>
      <c r="D148" s="1087"/>
      <c r="E148" s="1087"/>
      <c r="F148" s="330">
        <v>390</v>
      </c>
      <c r="G148" s="330">
        <f t="shared" ref="G148" si="295">+F148*$X$1</f>
        <v>390</v>
      </c>
      <c r="H148" s="533"/>
      <c r="I148" s="567"/>
      <c r="J148" s="368">
        <f>F148+250</f>
        <v>640</v>
      </c>
      <c r="K148" s="330">
        <f t="shared" ref="K148" si="296">+J148*$X$1</f>
        <v>640</v>
      </c>
      <c r="L148" s="368">
        <f>F148+200</f>
        <v>590</v>
      </c>
      <c r="M148" s="330">
        <f>+L148*$X$1</f>
        <v>590</v>
      </c>
      <c r="N148" s="368">
        <f>F148+170</f>
        <v>560</v>
      </c>
      <c r="O148" s="330">
        <f>+N148*$X$1</f>
        <v>560</v>
      </c>
      <c r="P148" s="368">
        <f>F148+140</f>
        <v>530</v>
      </c>
      <c r="Q148" s="330">
        <f t="shared" ref="Q148" si="297">+P148*$X$1</f>
        <v>530</v>
      </c>
      <c r="R148" s="368">
        <f>F148+120</f>
        <v>510</v>
      </c>
      <c r="S148" s="330">
        <f>+R148*$X$1</f>
        <v>510</v>
      </c>
      <c r="T148" s="368">
        <f>F148+100</f>
        <v>490</v>
      </c>
      <c r="U148" s="330">
        <f t="shared" ref="U148" si="298">+T148*$X$1</f>
        <v>490</v>
      </c>
      <c r="V148" s="368">
        <f>F148+90</f>
        <v>480</v>
      </c>
      <c r="W148" s="330">
        <f>+V148*$X$1</f>
        <v>480</v>
      </c>
      <c r="X148" s="161"/>
      <c r="Y148" s="161"/>
      <c r="Z148" s="161"/>
      <c r="AA148" s="161"/>
      <c r="AB148" s="208">
        <v>347</v>
      </c>
    </row>
    <row r="149" spans="1:34" ht="12.6" customHeight="1" x14ac:dyDescent="0.2">
      <c r="A149" s="22"/>
      <c r="B149" s="679" t="s">
        <v>725</v>
      </c>
      <c r="C149" s="695"/>
      <c r="D149" s="695"/>
      <c r="E149" s="695"/>
      <c r="F149" s="346"/>
      <c r="G149" s="548"/>
      <c r="H149" s="534"/>
      <c r="I149" s="534"/>
      <c r="J149" s="534"/>
      <c r="K149" s="534"/>
      <c r="L149" s="298"/>
      <c r="M149" s="298"/>
      <c r="N149" s="326"/>
      <c r="O149" s="534"/>
      <c r="P149" s="298"/>
      <c r="Q149" s="298"/>
      <c r="R149" s="534"/>
      <c r="S149" s="534"/>
      <c r="T149" s="534"/>
      <c r="U149" s="98"/>
      <c r="V149" s="534"/>
      <c r="W149" s="98"/>
      <c r="X149" s="161"/>
      <c r="Y149" s="161"/>
      <c r="Z149" s="161"/>
      <c r="AA149" s="161"/>
      <c r="AB149" s="208">
        <v>348</v>
      </c>
    </row>
    <row r="150" spans="1:34" ht="12.6" customHeight="1" x14ac:dyDescent="0.2">
      <c r="A150" s="22"/>
      <c r="B150" s="696" t="s">
        <v>186</v>
      </c>
      <c r="C150" s="697"/>
      <c r="D150" s="697"/>
      <c r="E150" s="697"/>
      <c r="F150" s="347"/>
      <c r="G150" s="547"/>
      <c r="H150" s="368"/>
      <c r="I150" s="368"/>
      <c r="J150" s="368"/>
      <c r="K150" s="368"/>
      <c r="L150" s="301"/>
      <c r="M150" s="301"/>
      <c r="N150" s="319"/>
      <c r="O150" s="368"/>
      <c r="P150" s="301"/>
      <c r="Q150" s="301"/>
      <c r="R150" s="368"/>
      <c r="S150" s="368"/>
      <c r="T150" s="368"/>
      <c r="U150" s="100"/>
      <c r="V150" s="368"/>
      <c r="W150" s="100"/>
      <c r="X150" s="161"/>
      <c r="Y150" s="161"/>
      <c r="Z150" s="161"/>
      <c r="AA150" s="161"/>
      <c r="AB150" s="208">
        <v>349</v>
      </c>
    </row>
    <row r="151" spans="1:34" ht="12.6" customHeight="1" x14ac:dyDescent="0.2">
      <c r="A151" s="22"/>
      <c r="B151" s="679" t="s">
        <v>187</v>
      </c>
      <c r="C151" s="695"/>
      <c r="D151" s="695"/>
      <c r="E151" s="695"/>
      <c r="F151" s="346"/>
      <c r="G151" s="548"/>
      <c r="H151" s="534"/>
      <c r="I151" s="534"/>
      <c r="J151" s="534"/>
      <c r="K151" s="534"/>
      <c r="L151" s="298"/>
      <c r="M151" s="298"/>
      <c r="N151" s="326"/>
      <c r="O151" s="534"/>
      <c r="P151" s="298"/>
      <c r="Q151" s="298"/>
      <c r="R151" s="534"/>
      <c r="S151" s="534"/>
      <c r="T151" s="534"/>
      <c r="U151" s="98"/>
      <c r="V151" s="534"/>
      <c r="W151" s="98"/>
      <c r="X151" s="161"/>
      <c r="Y151" s="161"/>
      <c r="Z151" s="161"/>
      <c r="AA151" s="161"/>
      <c r="AB151" s="208">
        <v>350</v>
      </c>
    </row>
    <row r="152" spans="1:34" ht="12.6" customHeight="1" x14ac:dyDescent="0.2">
      <c r="A152" s="22"/>
      <c r="B152" s="696" t="s">
        <v>188</v>
      </c>
      <c r="C152" s="697"/>
      <c r="D152" s="697"/>
      <c r="E152" s="697"/>
      <c r="F152" s="347"/>
      <c r="G152" s="547"/>
      <c r="H152" s="368"/>
      <c r="I152" s="368"/>
      <c r="J152" s="368"/>
      <c r="K152" s="368"/>
      <c r="L152" s="301"/>
      <c r="M152" s="301"/>
      <c r="N152" s="319"/>
      <c r="O152" s="368"/>
      <c r="P152" s="301"/>
      <c r="Q152" s="301"/>
      <c r="R152" s="368"/>
      <c r="S152" s="368"/>
      <c r="T152" s="368"/>
      <c r="U152" s="100"/>
      <c r="V152" s="368"/>
      <c r="W152" s="100"/>
      <c r="X152" s="161"/>
      <c r="Y152" s="161"/>
      <c r="Z152" s="161"/>
      <c r="AA152" s="161"/>
      <c r="AB152" s="208">
        <v>351</v>
      </c>
    </row>
    <row r="153" spans="1:34" ht="12.6" customHeight="1" x14ac:dyDescent="0.2">
      <c r="A153" s="22"/>
      <c r="B153" s="679" t="s">
        <v>189</v>
      </c>
      <c r="C153" s="695"/>
      <c r="D153" s="695"/>
      <c r="E153" s="695"/>
      <c r="F153" s="346"/>
      <c r="G153" s="548"/>
      <c r="H153" s="534"/>
      <c r="I153" s="534"/>
      <c r="J153" s="534"/>
      <c r="K153" s="534"/>
      <c r="L153" s="298"/>
      <c r="M153" s="298"/>
      <c r="N153" s="107"/>
      <c r="O153" s="534"/>
      <c r="P153" s="298"/>
      <c r="Q153" s="298"/>
      <c r="R153" s="534"/>
      <c r="S153" s="534"/>
      <c r="T153" s="107"/>
      <c r="U153" s="539"/>
      <c r="V153" s="107"/>
      <c r="W153" s="539"/>
      <c r="X153" s="161"/>
      <c r="Y153" s="161"/>
      <c r="Z153" s="161"/>
      <c r="AA153" s="161"/>
      <c r="AB153" s="208">
        <v>352</v>
      </c>
    </row>
    <row r="154" spans="1:34" ht="12.6" customHeight="1" x14ac:dyDescent="0.2">
      <c r="A154" s="22"/>
      <c r="B154" s="1083" t="s">
        <v>428</v>
      </c>
      <c r="C154" s="1084"/>
      <c r="D154" s="1084"/>
      <c r="E154" s="1085"/>
      <c r="F154" s="561">
        <f>0.71*X2</f>
        <v>665.98</v>
      </c>
      <c r="G154" s="458">
        <f t="shared" ref="G154" si="299">+F154*$X$1</f>
        <v>665.98</v>
      </c>
      <c r="H154" s="660"/>
      <c r="I154" s="393"/>
      <c r="J154" s="658"/>
      <c r="K154" s="393"/>
      <c r="L154" s="658">
        <f t="shared" ref="L154" si="300">F154+70</f>
        <v>735.98</v>
      </c>
      <c r="M154" s="393">
        <f t="shared" ref="M154" si="301">+L154*$X$1</f>
        <v>735.98</v>
      </c>
      <c r="N154" s="658">
        <f>F154+50</f>
        <v>715.98</v>
      </c>
      <c r="O154" s="393">
        <f t="shared" ref="O154" si="302">+N154*$X$1</f>
        <v>715.98</v>
      </c>
      <c r="P154" s="658">
        <f>F154+40</f>
        <v>705.98</v>
      </c>
      <c r="Q154" s="393">
        <f t="shared" ref="Q154" si="303">+P154*$X$1</f>
        <v>705.98</v>
      </c>
      <c r="R154" s="658">
        <f>F154+33</f>
        <v>698.98</v>
      </c>
      <c r="S154" s="393">
        <f t="shared" ref="S154" si="304">+R154*$X$1</f>
        <v>698.98</v>
      </c>
      <c r="T154" s="122">
        <f>F154+28</f>
        <v>693.98</v>
      </c>
      <c r="U154" s="458">
        <f t="shared" ref="U154" si="305">+T154*$X$1</f>
        <v>693.98</v>
      </c>
      <c r="V154" s="122">
        <f>F154+24</f>
        <v>689.98</v>
      </c>
      <c r="W154" s="458">
        <f t="shared" ref="W154" si="306">+V154*$X$1</f>
        <v>689.98</v>
      </c>
      <c r="X154" s="741"/>
      <c r="Y154" s="897"/>
      <c r="Z154" s="897"/>
      <c r="AA154" s="898"/>
      <c r="AB154" s="208">
        <v>370</v>
      </c>
    </row>
    <row r="155" spans="1:34" ht="12.6" customHeight="1" x14ac:dyDescent="0.2">
      <c r="A155" s="22"/>
      <c r="B155" s="698" t="s">
        <v>624</v>
      </c>
      <c r="C155" s="693"/>
      <c r="D155" s="693"/>
      <c r="E155" s="694"/>
      <c r="F155" s="331">
        <v>1154</v>
      </c>
      <c r="G155" s="356">
        <f>+F155*$X$1</f>
        <v>1154</v>
      </c>
      <c r="H155" s="565"/>
      <c r="I155" s="331"/>
      <c r="J155" s="565">
        <f>F155+120</f>
        <v>1274</v>
      </c>
      <c r="K155" s="331">
        <f t="shared" ref="K155" si="307">+J155*$X$1</f>
        <v>1274</v>
      </c>
      <c r="L155" s="565">
        <f t="shared" ref="L155" si="308">F155+70</f>
        <v>1224</v>
      </c>
      <c r="M155" s="331">
        <f t="shared" ref="M155" si="309">+L155*$X$1</f>
        <v>1224</v>
      </c>
      <c r="N155" s="565">
        <f>F155+50</f>
        <v>1204</v>
      </c>
      <c r="O155" s="331">
        <f>+N155*$X$1</f>
        <v>1204</v>
      </c>
      <c r="P155" s="565"/>
      <c r="Q155" s="331"/>
      <c r="R155" s="565"/>
      <c r="S155" s="331"/>
      <c r="T155" s="107"/>
      <c r="U155" s="356"/>
      <c r="V155" s="107"/>
      <c r="W155" s="356"/>
      <c r="X155" s="741"/>
      <c r="Y155" s="897"/>
      <c r="Z155" s="897"/>
      <c r="AA155" s="898"/>
      <c r="AB155" s="208">
        <v>373</v>
      </c>
    </row>
    <row r="156" spans="1:34" ht="12.75" customHeight="1" x14ac:dyDescent="0.2">
      <c r="A156" s="20"/>
      <c r="B156" s="3"/>
      <c r="C156" s="3"/>
      <c r="D156" s="3"/>
      <c r="E156" s="3"/>
      <c r="F156" s="138"/>
      <c r="G156" s="4"/>
      <c r="H156" s="3"/>
      <c r="I156" s="3"/>
      <c r="J156" s="3"/>
      <c r="K156" s="3"/>
      <c r="L156" s="3"/>
      <c r="M156" s="3"/>
      <c r="N156" s="3"/>
      <c r="O156" s="3"/>
      <c r="P156" s="3"/>
      <c r="Q156" s="3"/>
      <c r="R156" s="3"/>
      <c r="S156" s="3"/>
      <c r="T156" s="3"/>
      <c r="U156" s="3"/>
      <c r="V156" s="8"/>
      <c r="W156" s="8"/>
      <c r="Y156" s="4"/>
      <c r="Z156" s="4"/>
      <c r="AA156" s="4"/>
      <c r="AB156" s="4"/>
      <c r="AC156" s="4"/>
      <c r="AD156" s="4"/>
    </row>
    <row r="157" spans="1:34" ht="12.75" customHeight="1" x14ac:dyDescent="0.2">
      <c r="A157" s="20"/>
      <c r="B157" s="3"/>
      <c r="C157" s="3"/>
      <c r="D157" s="3"/>
      <c r="E157" s="69"/>
      <c r="F157" s="138"/>
      <c r="G157" s="4"/>
      <c r="H157" s="3"/>
      <c r="I157" s="3"/>
      <c r="J157" s="3"/>
      <c r="K157" s="3"/>
      <c r="L157" s="3"/>
      <c r="M157" s="3"/>
      <c r="N157" s="3"/>
      <c r="O157" s="3"/>
      <c r="P157" s="3"/>
      <c r="Q157" s="3"/>
      <c r="R157" s="3"/>
      <c r="S157" s="3"/>
      <c r="T157" s="3"/>
      <c r="U157" s="3"/>
      <c r="V157" s="8"/>
      <c r="W157" s="8"/>
      <c r="Y157" s="4"/>
      <c r="Z157" s="4"/>
      <c r="AA157" s="4"/>
      <c r="AB157" s="4"/>
      <c r="AC157" s="4"/>
      <c r="AD157" s="4"/>
    </row>
    <row r="158" spans="1:34" ht="12.75" customHeight="1" thickBot="1" x14ac:dyDescent="0.25">
      <c r="A158" s="20"/>
      <c r="B158" s="3"/>
      <c r="C158" s="3"/>
      <c r="D158" s="3"/>
      <c r="E158" s="3"/>
      <c r="F158" s="104"/>
      <c r="G158" s="4"/>
      <c r="H158" s="3"/>
      <c r="I158" s="3"/>
      <c r="J158" s="3"/>
      <c r="K158" s="3"/>
      <c r="L158" s="3"/>
      <c r="M158" s="3"/>
      <c r="N158" s="3"/>
      <c r="O158" s="3"/>
      <c r="P158" s="3"/>
      <c r="Q158" s="3"/>
      <c r="R158" s="3"/>
      <c r="S158" s="3"/>
      <c r="T158" s="3"/>
      <c r="U158" s="3"/>
      <c r="V158" s="8"/>
      <c r="W158" s="8"/>
      <c r="Y158" s="4"/>
      <c r="Z158" s="4"/>
      <c r="AA158" s="4"/>
      <c r="AB158" s="4"/>
      <c r="AC158" s="4"/>
      <c r="AD158" s="4"/>
    </row>
    <row r="159" spans="1:34" ht="14.25" customHeight="1" x14ac:dyDescent="0.2">
      <c r="A159" s="20"/>
      <c r="B159" s="763" t="s">
        <v>11</v>
      </c>
      <c r="C159" s="689" t="s">
        <v>12</v>
      </c>
      <c r="D159" s="690"/>
      <c r="E159" s="690"/>
      <c r="F159" s="895" t="s">
        <v>13</v>
      </c>
      <c r="G159" s="895" t="s">
        <v>13</v>
      </c>
      <c r="H159" s="746" t="s">
        <v>14</v>
      </c>
      <c r="I159" s="746"/>
      <c r="J159" s="747"/>
      <c r="K159" s="747"/>
      <c r="L159" s="747"/>
      <c r="M159" s="747"/>
      <c r="N159" s="747"/>
      <c r="O159" s="747"/>
      <c r="P159" s="747"/>
      <c r="Q159" s="747"/>
      <c r="R159" s="747"/>
      <c r="S159" s="747"/>
      <c r="T159" s="747"/>
      <c r="U159" s="747"/>
      <c r="V159" s="747"/>
      <c r="W159" s="748"/>
      <c r="X159" s="731" t="s">
        <v>15</v>
      </c>
      <c r="Y159" s="732"/>
      <c r="Z159" s="732"/>
      <c r="AA159" s="1098"/>
      <c r="AB159" s="729" t="s">
        <v>16</v>
      </c>
      <c r="AF159" s="727" t="s">
        <v>3</v>
      </c>
      <c r="AG159" s="728"/>
      <c r="AH159" s="728"/>
    </row>
    <row r="160" spans="1:34" ht="12.6" customHeight="1" thickBot="1" x14ac:dyDescent="0.25">
      <c r="A160" s="20"/>
      <c r="B160" s="764"/>
      <c r="C160" s="691"/>
      <c r="D160" s="691"/>
      <c r="E160" s="691"/>
      <c r="F160" s="896"/>
      <c r="G160" s="896"/>
      <c r="H160" s="286"/>
      <c r="I160" s="282" t="s">
        <v>307</v>
      </c>
      <c r="J160" s="286"/>
      <c r="K160" s="282" t="s">
        <v>18</v>
      </c>
      <c r="L160" s="287"/>
      <c r="M160" s="287" t="s">
        <v>19</v>
      </c>
      <c r="N160" s="287"/>
      <c r="O160" s="282" t="s">
        <v>20</v>
      </c>
      <c r="P160" s="287"/>
      <c r="Q160" s="287" t="s">
        <v>309</v>
      </c>
      <c r="R160" s="287"/>
      <c r="S160" s="287" t="s">
        <v>21</v>
      </c>
      <c r="T160" s="287"/>
      <c r="U160" s="287" t="s">
        <v>22</v>
      </c>
      <c r="V160" s="287"/>
      <c r="W160" s="289" t="s">
        <v>23</v>
      </c>
      <c r="X160" s="733"/>
      <c r="Y160" s="734"/>
      <c r="Z160" s="734"/>
      <c r="AA160" s="1099"/>
      <c r="AB160" s="730"/>
      <c r="AG160" s="35"/>
    </row>
    <row r="161" spans="1:28" ht="12.6" customHeight="1" x14ac:dyDescent="0.2">
      <c r="A161" s="22"/>
      <c r="B161" s="736" t="s">
        <v>190</v>
      </c>
      <c r="C161" s="739"/>
      <c r="D161" s="739"/>
      <c r="E161" s="740"/>
      <c r="F161" s="460">
        <f>1.352*X2</f>
        <v>1268.1760000000002</v>
      </c>
      <c r="G161" s="293">
        <f>+F161*$X$1</f>
        <v>1268.1760000000002</v>
      </c>
      <c r="H161" s="370"/>
      <c r="I161" s="403"/>
      <c r="J161" s="368">
        <f>F161+120</f>
        <v>1388.1760000000002</v>
      </c>
      <c r="K161" s="330">
        <f>+J161*$X$1</f>
        <v>1388.1760000000002</v>
      </c>
      <c r="L161" s="368">
        <f>F161+70</f>
        <v>1338.1760000000002</v>
      </c>
      <c r="M161" s="330">
        <f>+L161*$X$1</f>
        <v>1338.1760000000002</v>
      </c>
      <c r="N161" s="368">
        <f>F161+50</f>
        <v>1318.1760000000002</v>
      </c>
      <c r="O161" s="330">
        <f>+N161*$X$1</f>
        <v>1318.1760000000002</v>
      </c>
      <c r="P161" s="368">
        <f>F161+40</f>
        <v>1308.1760000000002</v>
      </c>
      <c r="Q161" s="330">
        <f t="shared" ref="Q161" si="310">+P161*$X$1</f>
        <v>1308.1760000000002</v>
      </c>
      <c r="R161" s="368">
        <f>F161+33</f>
        <v>1301.1760000000002</v>
      </c>
      <c r="S161" s="330">
        <f t="shared" ref="S161" si="311">+R161*$X$1</f>
        <v>1301.1760000000002</v>
      </c>
      <c r="T161" s="108">
        <f>F161+28</f>
        <v>1296.1760000000002</v>
      </c>
      <c r="U161" s="293">
        <f t="shared" ref="U161" si="312">+T161*$X$1</f>
        <v>1296.1760000000002</v>
      </c>
      <c r="V161" s="108">
        <f>F161+24</f>
        <v>1292.1760000000002</v>
      </c>
      <c r="W161" s="293">
        <f t="shared" ref="W161" si="313">+V161*$X$1</f>
        <v>1292.1760000000002</v>
      </c>
      <c r="X161" s="741"/>
      <c r="Y161" s="897"/>
      <c r="Z161" s="897"/>
      <c r="AA161" s="898"/>
      <c r="AB161" s="208">
        <v>375</v>
      </c>
    </row>
    <row r="162" spans="1:28" ht="12.6" customHeight="1" x14ac:dyDescent="0.2">
      <c r="A162" s="22"/>
      <c r="B162" s="698" t="s">
        <v>191</v>
      </c>
      <c r="C162" s="693"/>
      <c r="D162" s="693"/>
      <c r="E162" s="694"/>
      <c r="F162" s="461">
        <f>4.65*X2</f>
        <v>4361.7000000000007</v>
      </c>
      <c r="G162" s="356">
        <f>+F162*$X$1</f>
        <v>4361.7000000000007</v>
      </c>
      <c r="H162" s="565">
        <f>F162+250</f>
        <v>4611.7000000000007</v>
      </c>
      <c r="I162" s="331">
        <f t="shared" ref="I162" si="314">+H162*$X$1</f>
        <v>4611.7000000000007</v>
      </c>
      <c r="J162" s="565">
        <f>F162+100</f>
        <v>4461.7000000000007</v>
      </c>
      <c r="K162" s="331">
        <f t="shared" ref="K162" si="315">+J162*$X$1</f>
        <v>4461.7000000000007</v>
      </c>
      <c r="L162" s="565">
        <f>F162+70</f>
        <v>4431.7000000000007</v>
      </c>
      <c r="M162" s="331">
        <f t="shared" ref="M162" si="316">+L162*$X$1</f>
        <v>4431.7000000000007</v>
      </c>
      <c r="N162" s="565">
        <f>F162+52</f>
        <v>4413.7000000000007</v>
      </c>
      <c r="O162" s="331">
        <f>+N162*$X$1</f>
        <v>4413.7000000000007</v>
      </c>
      <c r="P162" s="565">
        <f>F162+46</f>
        <v>4407.7000000000007</v>
      </c>
      <c r="Q162" s="331">
        <f t="shared" ref="Q162" si="317">+P162*$X$1</f>
        <v>4407.7000000000007</v>
      </c>
      <c r="R162" s="565">
        <f>F162+41</f>
        <v>4402.7000000000007</v>
      </c>
      <c r="S162" s="331">
        <f>+R162*$X$1</f>
        <v>4402.7000000000007</v>
      </c>
      <c r="T162" s="565">
        <f>F162+36</f>
        <v>4397.7000000000007</v>
      </c>
      <c r="U162" s="331">
        <f>+T162*$X$1</f>
        <v>4397.7000000000007</v>
      </c>
      <c r="V162" s="565">
        <f>F162+32</f>
        <v>4393.7000000000007</v>
      </c>
      <c r="W162" s="331">
        <f>+V162*$X$1</f>
        <v>4393.7000000000007</v>
      </c>
      <c r="X162" s="735"/>
      <c r="Y162" s="711"/>
      <c r="Z162" s="711"/>
      <c r="AA162" s="712"/>
      <c r="AB162" s="208">
        <v>376</v>
      </c>
    </row>
    <row r="163" spans="1:28" ht="12.6" customHeight="1" x14ac:dyDescent="0.2">
      <c r="A163" s="22"/>
      <c r="B163" s="736" t="s">
        <v>192</v>
      </c>
      <c r="C163" s="739"/>
      <c r="D163" s="739"/>
      <c r="E163" s="740"/>
      <c r="F163" s="460">
        <f>3.54*X2</f>
        <v>3320.52</v>
      </c>
      <c r="G163" s="293">
        <f t="shared" ref="G163:G164" si="318">+F163*$X$1</f>
        <v>3320.52</v>
      </c>
      <c r="H163" s="370"/>
      <c r="I163" s="403"/>
      <c r="J163" s="368">
        <f>F163+120</f>
        <v>3440.52</v>
      </c>
      <c r="K163" s="330">
        <f t="shared" ref="K163:K166" si="319">+J163*$X$1</f>
        <v>3440.52</v>
      </c>
      <c r="L163" s="368">
        <f>F163+75</f>
        <v>3395.52</v>
      </c>
      <c r="M163" s="330">
        <f t="shared" ref="M163:M166" si="320">+L163*$X$1</f>
        <v>3395.52</v>
      </c>
      <c r="N163" s="368">
        <f>F163+44</f>
        <v>3364.52</v>
      </c>
      <c r="O163" s="330">
        <f t="shared" ref="O163:O166" si="321">+N163*$X$1</f>
        <v>3364.52</v>
      </c>
      <c r="P163" s="368">
        <f>F163+40</f>
        <v>3360.52</v>
      </c>
      <c r="Q163" s="330">
        <f t="shared" ref="Q163" si="322">+P163*$X$1</f>
        <v>3360.52</v>
      </c>
      <c r="R163" s="368">
        <f>F163+30</f>
        <v>3350.52</v>
      </c>
      <c r="S163" s="330">
        <f t="shared" ref="S163:S166" si="323">+R163*$X$1</f>
        <v>3350.52</v>
      </c>
      <c r="T163" s="108"/>
      <c r="U163" s="293"/>
      <c r="V163" s="108"/>
      <c r="W163" s="293"/>
      <c r="X163" s="741"/>
      <c r="Y163" s="897"/>
      <c r="Z163" s="897"/>
      <c r="AA163" s="898"/>
      <c r="AB163" s="208">
        <v>379</v>
      </c>
    </row>
    <row r="164" spans="1:28" ht="12.6" customHeight="1" x14ac:dyDescent="0.2">
      <c r="A164" s="111"/>
      <c r="B164" s="698" t="s">
        <v>452</v>
      </c>
      <c r="C164" s="693"/>
      <c r="D164" s="693"/>
      <c r="E164" s="694"/>
      <c r="F164" s="461">
        <f>1.843*X2</f>
        <v>1728.7339999999999</v>
      </c>
      <c r="G164" s="356">
        <f t="shared" si="318"/>
        <v>1728.7339999999999</v>
      </c>
      <c r="H164" s="650">
        <f>F164+300</f>
        <v>2028.7339999999999</v>
      </c>
      <c r="I164" s="331">
        <f>+H164*$X$1</f>
        <v>2028.7339999999999</v>
      </c>
      <c r="J164" s="650">
        <f>F164+120</f>
        <v>1848.7339999999999</v>
      </c>
      <c r="K164" s="331">
        <f t="shared" si="319"/>
        <v>1848.7339999999999</v>
      </c>
      <c r="L164" s="565"/>
      <c r="M164" s="331"/>
      <c r="N164" s="565"/>
      <c r="O164" s="331"/>
      <c r="P164" s="565"/>
      <c r="Q164" s="331"/>
      <c r="R164" s="565"/>
      <c r="S164" s="331"/>
      <c r="T164" s="107"/>
      <c r="U164" s="356"/>
      <c r="V164" s="107"/>
      <c r="W164" s="356"/>
      <c r="X164" s="741"/>
      <c r="Y164" s="897"/>
      <c r="Z164" s="897"/>
      <c r="AA164" s="898"/>
      <c r="AB164" s="208">
        <v>382</v>
      </c>
    </row>
    <row r="165" spans="1:28" ht="12.6" customHeight="1" x14ac:dyDescent="0.2">
      <c r="A165" s="22"/>
      <c r="B165" s="736" t="s">
        <v>648</v>
      </c>
      <c r="C165" s="739"/>
      <c r="D165" s="739"/>
      <c r="E165" s="740"/>
      <c r="F165" s="460">
        <f>17.8*X2</f>
        <v>16696.400000000001</v>
      </c>
      <c r="G165" s="293">
        <f t="shared" ref="G165:G166" si="324">+F165*$X$1</f>
        <v>16696.400000000001</v>
      </c>
      <c r="H165" s="368">
        <f>F165+300</f>
        <v>16996.400000000001</v>
      </c>
      <c r="I165" s="330">
        <f>+H165*$X$1</f>
        <v>16996.400000000001</v>
      </c>
      <c r="J165" s="368">
        <f>F165+120</f>
        <v>16816.400000000001</v>
      </c>
      <c r="K165" s="330">
        <f t="shared" si="319"/>
        <v>16816.400000000001</v>
      </c>
      <c r="L165" s="368">
        <f>F165+74</f>
        <v>16770.400000000001</v>
      </c>
      <c r="M165" s="330">
        <f t="shared" si="320"/>
        <v>16770.400000000001</v>
      </c>
      <c r="N165" s="368">
        <f>F165+46</f>
        <v>16742.400000000001</v>
      </c>
      <c r="O165" s="330">
        <f t="shared" si="321"/>
        <v>16742.400000000001</v>
      </c>
      <c r="P165" s="368">
        <f>F165+42</f>
        <v>16738.400000000001</v>
      </c>
      <c r="Q165" s="330">
        <f t="shared" ref="Q165:Q166" si="325">+P165*$X$1</f>
        <v>16738.400000000001</v>
      </c>
      <c r="R165" s="368">
        <f>F165+35</f>
        <v>16731.400000000001</v>
      </c>
      <c r="S165" s="330">
        <f t="shared" si="323"/>
        <v>16731.400000000001</v>
      </c>
      <c r="T165" s="108">
        <f>F165+29</f>
        <v>16725.400000000001</v>
      </c>
      <c r="U165" s="293">
        <f t="shared" ref="U165:U166" si="326">+T165*$X$1</f>
        <v>16725.400000000001</v>
      </c>
      <c r="V165" s="108">
        <f>F165+24</f>
        <v>16720.400000000001</v>
      </c>
      <c r="W165" s="293">
        <f t="shared" ref="W165" si="327">+V165*$X$1</f>
        <v>16720.400000000001</v>
      </c>
      <c r="X165" s="741"/>
      <c r="Y165" s="897"/>
      <c r="Z165" s="897"/>
      <c r="AA165" s="898"/>
      <c r="AB165" s="208">
        <v>395</v>
      </c>
    </row>
    <row r="166" spans="1:28" ht="12.6" customHeight="1" x14ac:dyDescent="0.2">
      <c r="A166" s="22"/>
      <c r="B166" s="698" t="s">
        <v>649</v>
      </c>
      <c r="C166" s="693"/>
      <c r="D166" s="693"/>
      <c r="E166" s="694"/>
      <c r="F166" s="461">
        <f>32.42*X2</f>
        <v>30409.960000000003</v>
      </c>
      <c r="G166" s="356">
        <f t="shared" si="324"/>
        <v>30409.960000000003</v>
      </c>
      <c r="H166" s="565">
        <f>F166+260</f>
        <v>30669.960000000003</v>
      </c>
      <c r="I166" s="331">
        <f t="shared" ref="I166" si="328">+H166*$X$1</f>
        <v>30669.960000000003</v>
      </c>
      <c r="J166" s="93">
        <f>F166+95</f>
        <v>30504.960000000003</v>
      </c>
      <c r="K166" s="331">
        <f t="shared" si="319"/>
        <v>30504.960000000003</v>
      </c>
      <c r="L166" s="565">
        <f>F166+70</f>
        <v>30479.960000000003</v>
      </c>
      <c r="M166" s="331">
        <f t="shared" si="320"/>
        <v>30479.960000000003</v>
      </c>
      <c r="N166" s="565">
        <f>F166+59</f>
        <v>30468.960000000003</v>
      </c>
      <c r="O166" s="331">
        <f t="shared" si="321"/>
        <v>30468.960000000003</v>
      </c>
      <c r="P166" s="565">
        <f>F166+55</f>
        <v>30464.960000000003</v>
      </c>
      <c r="Q166" s="331">
        <f t="shared" si="325"/>
        <v>30464.960000000003</v>
      </c>
      <c r="R166" s="565">
        <f>F166+51</f>
        <v>30460.960000000003</v>
      </c>
      <c r="S166" s="331">
        <f t="shared" si="323"/>
        <v>30460.960000000003</v>
      </c>
      <c r="T166" s="565">
        <f>F166+46</f>
        <v>30455.960000000003</v>
      </c>
      <c r="U166" s="331">
        <f t="shared" si="326"/>
        <v>30455.960000000003</v>
      </c>
      <c r="V166" s="565"/>
      <c r="W166" s="331"/>
      <c r="X166" s="741"/>
      <c r="Y166" s="897"/>
      <c r="Z166" s="897"/>
      <c r="AA166" s="898"/>
      <c r="AB166" s="208">
        <v>397</v>
      </c>
    </row>
    <row r="167" spans="1:28" ht="12.6" customHeight="1" x14ac:dyDescent="0.2">
      <c r="A167" s="22"/>
      <c r="B167" s="736" t="s">
        <v>650</v>
      </c>
      <c r="C167" s="739"/>
      <c r="D167" s="739"/>
      <c r="E167" s="740"/>
      <c r="F167" s="460">
        <f>22.04*X2</f>
        <v>20673.52</v>
      </c>
      <c r="G167" s="293">
        <f t="shared" ref="G167" si="329">+F167*$X$1</f>
        <v>20673.52</v>
      </c>
      <c r="H167" s="75">
        <f>F167+280</f>
        <v>20953.52</v>
      </c>
      <c r="I167" s="330">
        <f t="shared" ref="I167" si="330">+H167*$X$1</f>
        <v>20953.52</v>
      </c>
      <c r="J167" s="368">
        <f>F167+110</f>
        <v>20783.52</v>
      </c>
      <c r="K167" s="330">
        <f t="shared" ref="K167" si="331">+J167*$X$1</f>
        <v>20783.52</v>
      </c>
      <c r="L167" s="368">
        <f>F167+80</f>
        <v>20753.52</v>
      </c>
      <c r="M167" s="330">
        <f t="shared" ref="M167" si="332">+L167*$X$1</f>
        <v>20753.52</v>
      </c>
      <c r="N167" s="368">
        <f>F167+67</f>
        <v>20740.52</v>
      </c>
      <c r="O167" s="330">
        <f t="shared" ref="O167" si="333">+N167*$X$1</f>
        <v>20740.52</v>
      </c>
      <c r="P167" s="368">
        <f>F167+62</f>
        <v>20735.52</v>
      </c>
      <c r="Q167" s="330">
        <f t="shared" ref="Q167" si="334">+P167*$X$1</f>
        <v>20735.52</v>
      </c>
      <c r="R167" s="368">
        <f>F167+58</f>
        <v>20731.52</v>
      </c>
      <c r="S167" s="330">
        <f t="shared" ref="S167" si="335">+R167*$X$1</f>
        <v>20731.52</v>
      </c>
      <c r="T167" s="368">
        <f>F167+53</f>
        <v>20726.52</v>
      </c>
      <c r="U167" s="330">
        <f t="shared" ref="U167" si="336">+T167*$X$1</f>
        <v>20726.52</v>
      </c>
      <c r="V167" s="368"/>
      <c r="W167" s="330"/>
      <c r="X167" s="741"/>
      <c r="Y167" s="897"/>
      <c r="Z167" s="897"/>
      <c r="AA167" s="898"/>
      <c r="AB167" s="208">
        <v>398</v>
      </c>
    </row>
    <row r="168" spans="1:28" ht="12.6" customHeight="1" x14ac:dyDescent="0.2">
      <c r="A168" s="22"/>
      <c r="B168" s="1088" t="s">
        <v>381</v>
      </c>
      <c r="C168" s="1089"/>
      <c r="D168" s="1089"/>
      <c r="E168" s="1089"/>
      <c r="F168" s="461"/>
      <c r="G168" s="356"/>
      <c r="H168" s="565"/>
      <c r="I168" s="331"/>
      <c r="J168" s="565"/>
      <c r="K168" s="331"/>
      <c r="L168" s="565"/>
      <c r="M168" s="331"/>
      <c r="N168" s="565"/>
      <c r="O168" s="331"/>
      <c r="P168" s="565"/>
      <c r="Q168" s="331"/>
      <c r="R168" s="565"/>
      <c r="S168" s="331"/>
      <c r="T168" s="565"/>
      <c r="U168" s="331"/>
      <c r="V168" s="93"/>
      <c r="W168" s="93"/>
      <c r="X168" s="710"/>
      <c r="Y168" s="711"/>
      <c r="Z168" s="711"/>
      <c r="AA168" s="712"/>
      <c r="AB168" s="208" t="s">
        <v>193</v>
      </c>
    </row>
    <row r="169" spans="1:28" ht="12.6" customHeight="1" x14ac:dyDescent="0.2">
      <c r="A169" s="22"/>
      <c r="B169" s="773" t="s">
        <v>693</v>
      </c>
      <c r="C169" s="970"/>
      <c r="D169" s="970"/>
      <c r="E169" s="970"/>
      <c r="F169" s="460">
        <f>13.317*X2</f>
        <v>12491.346</v>
      </c>
      <c r="G169" s="293">
        <f t="shared" ref="G169" si="337">+F169*$X$1</f>
        <v>12491.346</v>
      </c>
      <c r="H169" s="368">
        <f>F169+250</f>
        <v>12741.346</v>
      </c>
      <c r="I169" s="330">
        <f t="shared" ref="I169:I170" si="338">+H169*$X$1</f>
        <v>12741.346</v>
      </c>
      <c r="J169" s="368">
        <f>F169+100</f>
        <v>12591.346</v>
      </c>
      <c r="K169" s="330">
        <f t="shared" ref="K169:K170" si="339">+J169*$X$1</f>
        <v>12591.346</v>
      </c>
      <c r="L169" s="368">
        <f>F169+70</f>
        <v>12561.346</v>
      </c>
      <c r="M169" s="330">
        <f t="shared" ref="M169:M170" si="340">+L169*$X$1</f>
        <v>12561.346</v>
      </c>
      <c r="N169" s="368">
        <f>F169+52</f>
        <v>12543.346</v>
      </c>
      <c r="O169" s="330">
        <f>+N169*$X$1</f>
        <v>12543.346</v>
      </c>
      <c r="P169" s="368">
        <f>F169+46</f>
        <v>12537.346</v>
      </c>
      <c r="Q169" s="330">
        <f t="shared" ref="Q169:Q170" si="341">+P169*$X$1</f>
        <v>12537.346</v>
      </c>
      <c r="R169" s="368">
        <f>F169+41</f>
        <v>12532.346</v>
      </c>
      <c r="S169" s="330">
        <f>+R169*$X$1</f>
        <v>12532.346</v>
      </c>
      <c r="T169" s="368">
        <f>F169+36</f>
        <v>12527.346</v>
      </c>
      <c r="U169" s="330">
        <f>+T169*$X$1</f>
        <v>12527.346</v>
      </c>
      <c r="V169" s="368"/>
      <c r="W169" s="330"/>
      <c r="X169" s="710"/>
      <c r="Y169" s="711"/>
      <c r="Z169" s="711"/>
      <c r="AA169" s="712"/>
      <c r="AB169" s="208" t="s">
        <v>694</v>
      </c>
    </row>
    <row r="170" spans="1:28" ht="12.6" customHeight="1" x14ac:dyDescent="0.2">
      <c r="A170" s="22"/>
      <c r="B170" s="768" t="s">
        <v>702</v>
      </c>
      <c r="C170" s="919"/>
      <c r="D170" s="919"/>
      <c r="E170" s="919"/>
      <c r="F170" s="461">
        <f>17.78*X2</f>
        <v>16677.64</v>
      </c>
      <c r="G170" s="356">
        <f t="shared" ref="G170" si="342">+F170*$X$1</f>
        <v>16677.64</v>
      </c>
      <c r="H170" s="645">
        <f>F170+250</f>
        <v>16927.64</v>
      </c>
      <c r="I170" s="331">
        <f t="shared" si="338"/>
        <v>16927.64</v>
      </c>
      <c r="J170" s="645">
        <f>F170+100</f>
        <v>16777.64</v>
      </c>
      <c r="K170" s="331">
        <f t="shared" si="339"/>
        <v>16777.64</v>
      </c>
      <c r="L170" s="645">
        <f>F170+70</f>
        <v>16747.64</v>
      </c>
      <c r="M170" s="331">
        <f t="shared" si="340"/>
        <v>16747.64</v>
      </c>
      <c r="N170" s="645">
        <f>F170+52</f>
        <v>16729.64</v>
      </c>
      <c r="O170" s="331">
        <f>+N170*$X$1</f>
        <v>16729.64</v>
      </c>
      <c r="P170" s="645">
        <f>F170+46</f>
        <v>16723.64</v>
      </c>
      <c r="Q170" s="331">
        <f t="shared" si="341"/>
        <v>16723.64</v>
      </c>
      <c r="R170" s="645">
        <f>F170+41</f>
        <v>16718.64</v>
      </c>
      <c r="S170" s="331">
        <f>+R170*$X$1</f>
        <v>16718.64</v>
      </c>
      <c r="T170" s="645">
        <f>F170+36</f>
        <v>16713.64</v>
      </c>
      <c r="U170" s="331">
        <f>+T170*$X$1</f>
        <v>16713.64</v>
      </c>
      <c r="V170" s="93"/>
      <c r="W170" s="93"/>
      <c r="X170" s="194"/>
      <c r="Y170" s="196"/>
      <c r="Z170" s="196"/>
      <c r="AA170" s="194"/>
      <c r="AB170" s="208" t="s">
        <v>701</v>
      </c>
    </row>
    <row r="171" spans="1:28" ht="12.6" customHeight="1" x14ac:dyDescent="0.2">
      <c r="A171" s="22"/>
      <c r="B171" s="773" t="s">
        <v>696</v>
      </c>
      <c r="C171" s="970"/>
      <c r="D171" s="970"/>
      <c r="E171" s="970"/>
      <c r="F171" s="460">
        <f>12.84*X2</f>
        <v>12043.92</v>
      </c>
      <c r="G171" s="293">
        <f t="shared" ref="G171" si="343">+F171*$X$1</f>
        <v>12043.92</v>
      </c>
      <c r="H171" s="368">
        <f>F171+300</f>
        <v>12343.92</v>
      </c>
      <c r="I171" s="330">
        <f>+H171*$X$1</f>
        <v>12343.92</v>
      </c>
      <c r="J171" s="368">
        <f>F171+120</f>
        <v>12163.92</v>
      </c>
      <c r="K171" s="330">
        <f t="shared" ref="K171:K174" si="344">+J171*$X$1</f>
        <v>12163.92</v>
      </c>
      <c r="L171" s="368">
        <f>F171+80</f>
        <v>12123.92</v>
      </c>
      <c r="M171" s="330">
        <f t="shared" ref="M171:M174" si="345">+L171*$X$1</f>
        <v>12123.92</v>
      </c>
      <c r="N171" s="368">
        <f>F171+60</f>
        <v>12103.92</v>
      </c>
      <c r="O171" s="330">
        <f t="shared" ref="O171:O174" si="346">+N171*$X$1</f>
        <v>12103.92</v>
      </c>
      <c r="P171" s="368">
        <f>F171+43</f>
        <v>12086.92</v>
      </c>
      <c r="Q171" s="330">
        <f t="shared" ref="Q171:Q174" si="347">+P171*$X$1</f>
        <v>12086.92</v>
      </c>
      <c r="R171" s="368">
        <f>F171+37</f>
        <v>12080.92</v>
      </c>
      <c r="S171" s="330">
        <f t="shared" ref="S171:S174" si="348">+R171*$X$1</f>
        <v>12080.92</v>
      </c>
      <c r="T171" s="108">
        <f>F171+30</f>
        <v>12073.92</v>
      </c>
      <c r="U171" s="293">
        <f t="shared" ref="U171:U174" si="349">+T171*$X$1</f>
        <v>12073.92</v>
      </c>
      <c r="V171" s="75"/>
      <c r="W171" s="75"/>
      <c r="X171" s="741"/>
      <c r="Y171" s="897"/>
      <c r="Z171" s="897"/>
      <c r="AA171" s="898"/>
      <c r="AB171" s="208" t="s">
        <v>695</v>
      </c>
    </row>
    <row r="172" spans="1:28" ht="12.6" customHeight="1" x14ac:dyDescent="0.2">
      <c r="A172" s="22"/>
      <c r="B172" s="1088" t="s">
        <v>394</v>
      </c>
      <c r="C172" s="1089"/>
      <c r="D172" s="1089"/>
      <c r="E172" s="1089"/>
      <c r="F172" s="461">
        <f>15.93*X2</f>
        <v>14942.34</v>
      </c>
      <c r="G172" s="356">
        <f t="shared" ref="G172:G173" si="350">+F172*$X$1</f>
        <v>14942.34</v>
      </c>
      <c r="H172" s="565"/>
      <c r="I172" s="331"/>
      <c r="J172" s="565">
        <f>F172+120</f>
        <v>15062.34</v>
      </c>
      <c r="K172" s="331">
        <f t="shared" si="344"/>
        <v>15062.34</v>
      </c>
      <c r="L172" s="565">
        <f>F172+75</f>
        <v>15017.34</v>
      </c>
      <c r="M172" s="331">
        <f t="shared" si="345"/>
        <v>15017.34</v>
      </c>
      <c r="N172" s="565">
        <f>F172+47</f>
        <v>14989.34</v>
      </c>
      <c r="O172" s="331">
        <f t="shared" si="346"/>
        <v>14989.34</v>
      </c>
      <c r="P172" s="565">
        <f>F172+44</f>
        <v>14986.34</v>
      </c>
      <c r="Q172" s="331">
        <f t="shared" si="347"/>
        <v>14986.34</v>
      </c>
      <c r="R172" s="565">
        <f>F172+35</f>
        <v>14977.34</v>
      </c>
      <c r="S172" s="331">
        <f t="shared" si="348"/>
        <v>14977.34</v>
      </c>
      <c r="T172" s="107">
        <f>F172+30</f>
        <v>14972.34</v>
      </c>
      <c r="U172" s="356">
        <f t="shared" si="349"/>
        <v>14972.34</v>
      </c>
      <c r="V172" s="93"/>
      <c r="W172" s="93"/>
      <c r="X172" s="741"/>
      <c r="Y172" s="897"/>
      <c r="Z172" s="897"/>
      <c r="AA172" s="898"/>
      <c r="AB172" s="208">
        <v>405</v>
      </c>
    </row>
    <row r="173" spans="1:28" ht="12.6" customHeight="1" x14ac:dyDescent="0.2">
      <c r="A173" s="22"/>
      <c r="B173" s="773" t="s">
        <v>700</v>
      </c>
      <c r="C173" s="970"/>
      <c r="D173" s="970"/>
      <c r="E173" s="970"/>
      <c r="F173" s="460">
        <f>15.6*X2</f>
        <v>14632.8</v>
      </c>
      <c r="G173" s="293">
        <f t="shared" si="350"/>
        <v>14632.8</v>
      </c>
      <c r="H173" s="368">
        <f>F173+250</f>
        <v>14882.8</v>
      </c>
      <c r="I173" s="330">
        <f t="shared" ref="I173" si="351">+H173*$X$1</f>
        <v>14882.8</v>
      </c>
      <c r="J173" s="368">
        <f>F173+100</f>
        <v>14732.8</v>
      </c>
      <c r="K173" s="330">
        <f t="shared" si="344"/>
        <v>14732.8</v>
      </c>
      <c r="L173" s="368">
        <f>F173+70</f>
        <v>14702.8</v>
      </c>
      <c r="M173" s="330">
        <f t="shared" si="345"/>
        <v>14702.8</v>
      </c>
      <c r="N173" s="368">
        <f>F173+52</f>
        <v>14684.8</v>
      </c>
      <c r="O173" s="330">
        <f>+N173*$X$1</f>
        <v>14684.8</v>
      </c>
      <c r="P173" s="368">
        <f>F173+46</f>
        <v>14678.8</v>
      </c>
      <c r="Q173" s="330">
        <f t="shared" si="347"/>
        <v>14678.8</v>
      </c>
      <c r="R173" s="368">
        <f>F173+41</f>
        <v>14673.8</v>
      </c>
      <c r="S173" s="330">
        <f>+R173*$X$1</f>
        <v>14673.8</v>
      </c>
      <c r="T173" s="368">
        <f>F173+36</f>
        <v>14668.8</v>
      </c>
      <c r="U173" s="330">
        <f>+T173*$X$1</f>
        <v>14668.8</v>
      </c>
      <c r="V173" s="75"/>
      <c r="W173" s="75"/>
      <c r="X173" s="710"/>
      <c r="Y173" s="711"/>
      <c r="Z173" s="711"/>
      <c r="AA173" s="712"/>
      <c r="AB173" s="208" t="s">
        <v>699</v>
      </c>
    </row>
    <row r="174" spans="1:28" ht="12.6" customHeight="1" x14ac:dyDescent="0.2">
      <c r="A174" s="22"/>
      <c r="B174" s="684" t="s">
        <v>698</v>
      </c>
      <c r="C174" s="817"/>
      <c r="D174" s="817"/>
      <c r="E174" s="817"/>
      <c r="F174" s="461">
        <f>16.54*X2</f>
        <v>15514.519999999999</v>
      </c>
      <c r="G174" s="356">
        <f t="shared" ref="G174" si="352">+F174*$X$1</f>
        <v>15514.519999999999</v>
      </c>
      <c r="H174" s="565">
        <f>F174+260</f>
        <v>15774.519999999999</v>
      </c>
      <c r="I174" s="331">
        <f t="shared" ref="I174" si="353">+H174*$X$1</f>
        <v>15774.519999999999</v>
      </c>
      <c r="J174" s="93">
        <f>F174+95</f>
        <v>15609.519999999999</v>
      </c>
      <c r="K174" s="331">
        <f t="shared" si="344"/>
        <v>15609.519999999999</v>
      </c>
      <c r="L174" s="565">
        <f>F174+70</f>
        <v>15584.519999999999</v>
      </c>
      <c r="M174" s="331">
        <f t="shared" si="345"/>
        <v>15584.519999999999</v>
      </c>
      <c r="N174" s="565">
        <f>F174+59</f>
        <v>15573.519999999999</v>
      </c>
      <c r="O174" s="331">
        <f t="shared" si="346"/>
        <v>15573.519999999999</v>
      </c>
      <c r="P174" s="565">
        <f>F174+55</f>
        <v>15569.519999999999</v>
      </c>
      <c r="Q174" s="331">
        <f t="shared" si="347"/>
        <v>15569.519999999999</v>
      </c>
      <c r="R174" s="565">
        <f>F174+51</f>
        <v>15565.519999999999</v>
      </c>
      <c r="S174" s="331">
        <f t="shared" si="348"/>
        <v>15565.519999999999</v>
      </c>
      <c r="T174" s="565">
        <f>F174+46</f>
        <v>15560.519999999999</v>
      </c>
      <c r="U174" s="331">
        <f t="shared" si="349"/>
        <v>15560.519999999999</v>
      </c>
      <c r="V174" s="93"/>
      <c r="W174" s="93"/>
      <c r="X174" s="741"/>
      <c r="Y174" s="897"/>
      <c r="Z174" s="897"/>
      <c r="AA174" s="898"/>
      <c r="AB174" s="208" t="s">
        <v>697</v>
      </c>
    </row>
    <row r="175" spans="1:28" ht="12.6" customHeight="1" x14ac:dyDescent="0.2">
      <c r="A175" s="27"/>
      <c r="B175" s="945" t="s">
        <v>727</v>
      </c>
      <c r="C175" s="790"/>
      <c r="D175" s="790"/>
      <c r="E175" s="790"/>
      <c r="F175" s="357">
        <v>115</v>
      </c>
      <c r="G175" s="637">
        <f t="shared" ref="G175:G178" si="354">+F175*$X$1</f>
        <v>115</v>
      </c>
      <c r="H175" s="441"/>
      <c r="I175" s="1101" t="s">
        <v>660</v>
      </c>
      <c r="J175" s="779"/>
      <c r="K175" s="779"/>
      <c r="L175" s="779"/>
      <c r="M175" s="780"/>
      <c r="N175" s="368">
        <f>F175+140</f>
        <v>255</v>
      </c>
      <c r="O175" s="330">
        <f t="shared" ref="O175" si="355">+N175*$X$1</f>
        <v>255</v>
      </c>
      <c r="P175" s="368">
        <f>F175+125</f>
        <v>240</v>
      </c>
      <c r="Q175" s="330">
        <f t="shared" ref="Q175" si="356">+P175*$X$1</f>
        <v>240</v>
      </c>
      <c r="R175" s="368">
        <f>F175+115</f>
        <v>230</v>
      </c>
      <c r="S175" s="330">
        <f t="shared" ref="S175" si="357">+R175*$X$1</f>
        <v>230</v>
      </c>
      <c r="T175" s="368">
        <f>F175+95</f>
        <v>210</v>
      </c>
      <c r="U175" s="330">
        <f t="shared" ref="U175" si="358">+T175*$X$1</f>
        <v>210</v>
      </c>
      <c r="V175" s="368">
        <f>F175+85</f>
        <v>200</v>
      </c>
      <c r="W175" s="330">
        <f t="shared" ref="W175" si="359">+V175*$X$1</f>
        <v>200</v>
      </c>
      <c r="X175" s="171"/>
      <c r="Y175" s="161"/>
      <c r="Z175" s="161"/>
      <c r="AA175" s="161"/>
      <c r="AB175" s="208">
        <v>415</v>
      </c>
    </row>
    <row r="176" spans="1:28" ht="12.6" customHeight="1" x14ac:dyDescent="0.2">
      <c r="A176" s="27"/>
      <c r="B176" s="679" t="s">
        <v>603</v>
      </c>
      <c r="C176" s="695"/>
      <c r="D176" s="695"/>
      <c r="E176" s="695"/>
      <c r="F176" s="371">
        <v>126</v>
      </c>
      <c r="G176" s="638">
        <f t="shared" si="354"/>
        <v>126</v>
      </c>
      <c r="H176" s="442"/>
      <c r="I176" s="1102"/>
      <c r="J176" s="1102"/>
      <c r="K176" s="1102"/>
      <c r="L176" s="1102"/>
      <c r="M176" s="1103"/>
      <c r="N176" s="630">
        <f t="shared" ref="N176:N178" si="360">F176+140</f>
        <v>266</v>
      </c>
      <c r="O176" s="331">
        <f t="shared" ref="O176:O178" si="361">+N176*$X$1</f>
        <v>266</v>
      </c>
      <c r="P176" s="630">
        <f t="shared" ref="P176:P178" si="362">F176+125</f>
        <v>251</v>
      </c>
      <c r="Q176" s="331">
        <f t="shared" ref="Q176:Q178" si="363">+P176*$X$1</f>
        <v>251</v>
      </c>
      <c r="R176" s="630">
        <f t="shared" ref="R176:R178" si="364">F176+115</f>
        <v>241</v>
      </c>
      <c r="S176" s="331">
        <f t="shared" ref="S176:S178" si="365">+R176*$X$1</f>
        <v>241</v>
      </c>
      <c r="T176" s="630">
        <f t="shared" ref="T176:T178" si="366">F176+95</f>
        <v>221</v>
      </c>
      <c r="U176" s="331">
        <f t="shared" ref="U176:U178" si="367">+T176*$X$1</f>
        <v>221</v>
      </c>
      <c r="V176" s="630">
        <f t="shared" ref="V176:V178" si="368">F176+85</f>
        <v>211</v>
      </c>
      <c r="W176" s="331">
        <f t="shared" ref="W176:W178" si="369">+V176*$X$1</f>
        <v>211</v>
      </c>
      <c r="X176" s="171"/>
      <c r="Y176" s="161"/>
      <c r="Z176" s="161"/>
      <c r="AA176" s="161"/>
      <c r="AB176" s="208">
        <v>416</v>
      </c>
    </row>
    <row r="177" spans="1:28" ht="12.6" customHeight="1" x14ac:dyDescent="0.2">
      <c r="A177" s="27"/>
      <c r="B177" s="696" t="s">
        <v>604</v>
      </c>
      <c r="C177" s="697"/>
      <c r="D177" s="697"/>
      <c r="E177" s="697"/>
      <c r="F177" s="357">
        <v>121</v>
      </c>
      <c r="G177" s="637">
        <f t="shared" si="354"/>
        <v>121</v>
      </c>
      <c r="H177" s="442"/>
      <c r="I177" s="1102"/>
      <c r="J177" s="1102"/>
      <c r="K177" s="1102"/>
      <c r="L177" s="1102"/>
      <c r="M177" s="1103"/>
      <c r="N177" s="368">
        <f t="shared" si="360"/>
        <v>261</v>
      </c>
      <c r="O177" s="330">
        <f t="shared" si="361"/>
        <v>261</v>
      </c>
      <c r="P177" s="368">
        <f t="shared" si="362"/>
        <v>246</v>
      </c>
      <c r="Q177" s="330">
        <f t="shared" si="363"/>
        <v>246</v>
      </c>
      <c r="R177" s="368">
        <f t="shared" si="364"/>
        <v>236</v>
      </c>
      <c r="S177" s="330">
        <f t="shared" si="365"/>
        <v>236</v>
      </c>
      <c r="T177" s="368">
        <f t="shared" si="366"/>
        <v>216</v>
      </c>
      <c r="U177" s="330">
        <f t="shared" si="367"/>
        <v>216</v>
      </c>
      <c r="V177" s="368">
        <f t="shared" si="368"/>
        <v>206</v>
      </c>
      <c r="W177" s="330">
        <f t="shared" si="369"/>
        <v>206</v>
      </c>
      <c r="X177" s="171"/>
      <c r="Y177" s="161"/>
      <c r="Z177" s="161"/>
      <c r="AA177" s="161"/>
      <c r="AB177" s="208">
        <v>417</v>
      </c>
    </row>
    <row r="178" spans="1:28" ht="12.6" customHeight="1" x14ac:dyDescent="0.2">
      <c r="A178" s="27"/>
      <c r="B178" s="679" t="s">
        <v>605</v>
      </c>
      <c r="C178" s="695"/>
      <c r="D178" s="695"/>
      <c r="E178" s="695"/>
      <c r="F178" s="371">
        <v>121</v>
      </c>
      <c r="G178" s="638">
        <f t="shared" si="354"/>
        <v>121</v>
      </c>
      <c r="H178" s="443"/>
      <c r="I178" s="783"/>
      <c r="J178" s="783"/>
      <c r="K178" s="783"/>
      <c r="L178" s="783"/>
      <c r="M178" s="784"/>
      <c r="N178" s="630">
        <f t="shared" si="360"/>
        <v>261</v>
      </c>
      <c r="O178" s="331">
        <f t="shared" si="361"/>
        <v>261</v>
      </c>
      <c r="P178" s="630">
        <f t="shared" si="362"/>
        <v>246</v>
      </c>
      <c r="Q178" s="331">
        <f t="shared" si="363"/>
        <v>246</v>
      </c>
      <c r="R178" s="630">
        <f t="shared" si="364"/>
        <v>236</v>
      </c>
      <c r="S178" s="331">
        <f t="shared" si="365"/>
        <v>236</v>
      </c>
      <c r="T178" s="630">
        <f t="shared" si="366"/>
        <v>216</v>
      </c>
      <c r="U178" s="331">
        <f t="shared" si="367"/>
        <v>216</v>
      </c>
      <c r="V178" s="630">
        <f t="shared" si="368"/>
        <v>206</v>
      </c>
      <c r="W178" s="331">
        <f t="shared" si="369"/>
        <v>206</v>
      </c>
      <c r="X178" s="171"/>
      <c r="Y178" s="161"/>
      <c r="Z178" s="161"/>
      <c r="AA178" s="161"/>
      <c r="AB178" s="208">
        <v>418</v>
      </c>
    </row>
    <row r="179" spans="1:28" ht="12.6" customHeight="1" x14ac:dyDescent="0.2">
      <c r="A179" s="27"/>
      <c r="B179" s="696" t="s">
        <v>194</v>
      </c>
      <c r="C179" s="697"/>
      <c r="D179" s="697"/>
      <c r="E179" s="697"/>
      <c r="F179" s="466">
        <v>833</v>
      </c>
      <c r="G179" s="357">
        <f t="shared" ref="G179:G189" si="370">+F179*$X$1</f>
        <v>833</v>
      </c>
      <c r="H179" s="370"/>
      <c r="I179" s="412"/>
      <c r="J179" s="128"/>
      <c r="K179" s="448"/>
      <c r="L179" s="108">
        <f>F179+63</f>
        <v>896</v>
      </c>
      <c r="M179" s="293">
        <f t="shared" ref="M179:M180" si="371">+L179*$X$1</f>
        <v>896</v>
      </c>
      <c r="N179" s="108">
        <f>F179+43</f>
        <v>876</v>
      </c>
      <c r="O179" s="357">
        <f>+N179*$X$1</f>
        <v>876</v>
      </c>
      <c r="P179" s="108">
        <f>F179+38</f>
        <v>871</v>
      </c>
      <c r="Q179" s="357">
        <f>+P179*$X$1</f>
        <v>871</v>
      </c>
      <c r="R179" s="368">
        <f>F179+34</f>
        <v>867</v>
      </c>
      <c r="S179" s="330">
        <f>+R179*$X$1</f>
        <v>867</v>
      </c>
      <c r="T179" s="368">
        <f>F179+29</f>
        <v>862</v>
      </c>
      <c r="U179" s="330">
        <f>+T179*$X$1</f>
        <v>862</v>
      </c>
      <c r="V179" s="368">
        <f>F179+25</f>
        <v>858</v>
      </c>
      <c r="W179" s="330">
        <f>+V179*$X$1</f>
        <v>858</v>
      </c>
      <c r="X179" s="724"/>
      <c r="Y179" s="725"/>
      <c r="Z179" s="725"/>
      <c r="AA179" s="726"/>
      <c r="AB179" s="519">
        <v>421</v>
      </c>
    </row>
    <row r="180" spans="1:28" ht="12.6" customHeight="1" x14ac:dyDescent="0.2">
      <c r="A180" s="27"/>
      <c r="B180" s="684" t="s">
        <v>665</v>
      </c>
      <c r="C180" s="817"/>
      <c r="D180" s="817"/>
      <c r="E180" s="817"/>
      <c r="F180" s="465">
        <v>750</v>
      </c>
      <c r="G180" s="371">
        <f t="shared" si="370"/>
        <v>750</v>
      </c>
      <c r="H180" s="1115" t="s">
        <v>709</v>
      </c>
      <c r="I180" s="1116"/>
      <c r="J180" s="1116"/>
      <c r="K180" s="1117"/>
      <c r="L180" s="105">
        <f t="shared" ref="L180:L185" si="372">F180+80</f>
        <v>830</v>
      </c>
      <c r="M180" s="331">
        <f t="shared" si="371"/>
        <v>830</v>
      </c>
      <c r="N180" s="565">
        <f t="shared" ref="N180:N185" si="373">F180+60</f>
        <v>810</v>
      </c>
      <c r="O180" s="331">
        <f t="shared" ref="O180" si="374">+N180*$X$1</f>
        <v>810</v>
      </c>
      <c r="P180" s="565">
        <f t="shared" ref="P180:P185" si="375">F180+43</f>
        <v>793</v>
      </c>
      <c r="Q180" s="331">
        <f t="shared" ref="Q180" si="376">+P180*$X$1</f>
        <v>793</v>
      </c>
      <c r="R180" s="565">
        <f t="shared" ref="R180:R185" si="377">F180+37</f>
        <v>787</v>
      </c>
      <c r="S180" s="331">
        <f t="shared" ref="S180" si="378">+R180*$X$1</f>
        <v>787</v>
      </c>
      <c r="T180" s="107">
        <f t="shared" ref="T180:T185" si="379">F180+30</f>
        <v>780</v>
      </c>
      <c r="U180" s="356">
        <f t="shared" ref="U180" si="380">+T180*$X$1</f>
        <v>780</v>
      </c>
      <c r="V180" s="565">
        <f t="shared" ref="V180:V185" si="381">F180+26</f>
        <v>776</v>
      </c>
      <c r="W180" s="331">
        <f t="shared" ref="W180" si="382">+V180*$X$1</f>
        <v>776</v>
      </c>
      <c r="X180" s="724"/>
      <c r="Y180" s="725"/>
      <c r="Z180" s="725"/>
      <c r="AA180" s="726"/>
      <c r="AB180" s="519" t="s">
        <v>832</v>
      </c>
    </row>
    <row r="181" spans="1:28" ht="12.6" customHeight="1" x14ac:dyDescent="0.2">
      <c r="A181" s="27"/>
      <c r="B181" s="684" t="s">
        <v>662</v>
      </c>
      <c r="C181" s="817"/>
      <c r="D181" s="817"/>
      <c r="E181" s="817"/>
      <c r="F181" s="466">
        <v>750</v>
      </c>
      <c r="G181" s="357">
        <f t="shared" si="370"/>
        <v>750</v>
      </c>
      <c r="H181" s="1118"/>
      <c r="I181" s="1119"/>
      <c r="J181" s="1119"/>
      <c r="K181" s="1120"/>
      <c r="L181" s="483">
        <f t="shared" si="372"/>
        <v>830</v>
      </c>
      <c r="M181" s="330">
        <f t="shared" ref="M181:M183" si="383">+L181*$X$1</f>
        <v>830</v>
      </c>
      <c r="N181" s="368">
        <f t="shared" si="373"/>
        <v>810</v>
      </c>
      <c r="O181" s="330">
        <f t="shared" ref="O181:O183" si="384">+N181*$X$1</f>
        <v>810</v>
      </c>
      <c r="P181" s="368">
        <f t="shared" si="375"/>
        <v>793</v>
      </c>
      <c r="Q181" s="330">
        <f t="shared" ref="Q181:Q183" si="385">+P181*$X$1</f>
        <v>793</v>
      </c>
      <c r="R181" s="368">
        <f t="shared" si="377"/>
        <v>787</v>
      </c>
      <c r="S181" s="330">
        <f t="shared" ref="S181:S183" si="386">+R181*$X$1</f>
        <v>787</v>
      </c>
      <c r="T181" s="108">
        <f t="shared" si="379"/>
        <v>780</v>
      </c>
      <c r="U181" s="293">
        <f t="shared" ref="U181:U183" si="387">+T181*$X$1</f>
        <v>780</v>
      </c>
      <c r="V181" s="368">
        <f t="shared" si="381"/>
        <v>776</v>
      </c>
      <c r="W181" s="330">
        <f t="shared" ref="W181:W183" si="388">+V181*$X$1</f>
        <v>776</v>
      </c>
      <c r="X181" s="724"/>
      <c r="Y181" s="725"/>
      <c r="Z181" s="725"/>
      <c r="AA181" s="726"/>
      <c r="AB181" s="519" t="s">
        <v>827</v>
      </c>
    </row>
    <row r="182" spans="1:28" ht="12.6" customHeight="1" x14ac:dyDescent="0.2">
      <c r="A182" s="27"/>
      <c r="B182" s="684" t="s">
        <v>661</v>
      </c>
      <c r="C182" s="817"/>
      <c r="D182" s="817"/>
      <c r="E182" s="817"/>
      <c r="F182" s="465">
        <v>750</v>
      </c>
      <c r="G182" s="371">
        <f t="shared" si="370"/>
        <v>750</v>
      </c>
      <c r="H182" s="1118"/>
      <c r="I182" s="1119"/>
      <c r="J182" s="1119"/>
      <c r="K182" s="1120"/>
      <c r="L182" s="105">
        <f t="shared" si="372"/>
        <v>830</v>
      </c>
      <c r="M182" s="331">
        <f t="shared" si="383"/>
        <v>830</v>
      </c>
      <c r="N182" s="565">
        <f t="shared" si="373"/>
        <v>810</v>
      </c>
      <c r="O182" s="331">
        <f t="shared" si="384"/>
        <v>810</v>
      </c>
      <c r="P182" s="565">
        <f t="shared" si="375"/>
        <v>793</v>
      </c>
      <c r="Q182" s="331">
        <f t="shared" si="385"/>
        <v>793</v>
      </c>
      <c r="R182" s="565">
        <f t="shared" si="377"/>
        <v>787</v>
      </c>
      <c r="S182" s="331">
        <f t="shared" si="386"/>
        <v>787</v>
      </c>
      <c r="T182" s="107">
        <f t="shared" si="379"/>
        <v>780</v>
      </c>
      <c r="U182" s="356">
        <f t="shared" si="387"/>
        <v>780</v>
      </c>
      <c r="V182" s="565">
        <f t="shared" si="381"/>
        <v>776</v>
      </c>
      <c r="W182" s="331">
        <f t="shared" si="388"/>
        <v>776</v>
      </c>
      <c r="X182" s="724"/>
      <c r="Y182" s="725"/>
      <c r="Z182" s="725"/>
      <c r="AA182" s="726"/>
      <c r="AB182" s="519" t="s">
        <v>829</v>
      </c>
    </row>
    <row r="183" spans="1:28" ht="12.6" customHeight="1" x14ac:dyDescent="0.2">
      <c r="A183" s="27"/>
      <c r="B183" s="684" t="s">
        <v>664</v>
      </c>
      <c r="C183" s="817"/>
      <c r="D183" s="817"/>
      <c r="E183" s="817"/>
      <c r="F183" s="466">
        <v>750</v>
      </c>
      <c r="G183" s="357">
        <f t="shared" si="370"/>
        <v>750</v>
      </c>
      <c r="H183" s="1118"/>
      <c r="I183" s="1119"/>
      <c r="J183" s="1119"/>
      <c r="K183" s="1120"/>
      <c r="L183" s="483">
        <f t="shared" si="372"/>
        <v>830</v>
      </c>
      <c r="M183" s="330">
        <f t="shared" si="383"/>
        <v>830</v>
      </c>
      <c r="N183" s="368">
        <f t="shared" si="373"/>
        <v>810</v>
      </c>
      <c r="O183" s="330">
        <f t="shared" si="384"/>
        <v>810</v>
      </c>
      <c r="P183" s="368">
        <f t="shared" si="375"/>
        <v>793</v>
      </c>
      <c r="Q183" s="330">
        <f t="shared" si="385"/>
        <v>793</v>
      </c>
      <c r="R183" s="368">
        <f t="shared" si="377"/>
        <v>787</v>
      </c>
      <c r="S183" s="330">
        <f t="shared" si="386"/>
        <v>787</v>
      </c>
      <c r="T183" s="108">
        <f t="shared" si="379"/>
        <v>780</v>
      </c>
      <c r="U183" s="293">
        <f t="shared" si="387"/>
        <v>780</v>
      </c>
      <c r="V183" s="368">
        <f t="shared" si="381"/>
        <v>776</v>
      </c>
      <c r="W183" s="330">
        <f t="shared" si="388"/>
        <v>776</v>
      </c>
      <c r="X183" s="1112"/>
      <c r="Y183" s="1113"/>
      <c r="Z183" s="1113"/>
      <c r="AA183" s="1114"/>
      <c r="AB183" s="519" t="s">
        <v>828</v>
      </c>
    </row>
    <row r="184" spans="1:28" ht="12.6" customHeight="1" x14ac:dyDescent="0.2">
      <c r="A184" s="27"/>
      <c r="B184" s="684" t="s">
        <v>831</v>
      </c>
      <c r="C184" s="817"/>
      <c r="D184" s="817"/>
      <c r="E184" s="817"/>
      <c r="F184" s="465">
        <v>750</v>
      </c>
      <c r="G184" s="371">
        <f t="shared" ref="G184" si="389">+F184*$X$1</f>
        <v>750</v>
      </c>
      <c r="H184" s="1118"/>
      <c r="I184" s="1119"/>
      <c r="J184" s="1119"/>
      <c r="K184" s="1120"/>
      <c r="L184" s="105">
        <f t="shared" si="372"/>
        <v>830</v>
      </c>
      <c r="M184" s="331">
        <f t="shared" ref="M184:M188" si="390">+L184*$X$1</f>
        <v>830</v>
      </c>
      <c r="N184" s="565">
        <f t="shared" si="373"/>
        <v>810</v>
      </c>
      <c r="O184" s="331">
        <f t="shared" ref="O184:O188" si="391">+N184*$X$1</f>
        <v>810</v>
      </c>
      <c r="P184" s="565">
        <f t="shared" si="375"/>
        <v>793</v>
      </c>
      <c r="Q184" s="331">
        <f t="shared" ref="Q184:Q188" si="392">+P184*$X$1</f>
        <v>793</v>
      </c>
      <c r="R184" s="565">
        <f t="shared" si="377"/>
        <v>787</v>
      </c>
      <c r="S184" s="331">
        <f t="shared" ref="S184:S188" si="393">+R184*$X$1</f>
        <v>787</v>
      </c>
      <c r="T184" s="107">
        <f t="shared" si="379"/>
        <v>780</v>
      </c>
      <c r="U184" s="356">
        <f t="shared" ref="U184:U188" si="394">+T184*$X$1</f>
        <v>780</v>
      </c>
      <c r="V184" s="565">
        <f t="shared" si="381"/>
        <v>776</v>
      </c>
      <c r="W184" s="331">
        <f t="shared" ref="W184:W188" si="395">+V184*$X$1</f>
        <v>776</v>
      </c>
      <c r="X184" s="724"/>
      <c r="Y184" s="725"/>
      <c r="Z184" s="725"/>
      <c r="AA184" s="726"/>
      <c r="AB184" s="519" t="s">
        <v>830</v>
      </c>
    </row>
    <row r="185" spans="1:28" ht="12.6" customHeight="1" x14ac:dyDescent="0.2">
      <c r="A185" s="27"/>
      <c r="B185" s="684" t="s">
        <v>663</v>
      </c>
      <c r="C185" s="817"/>
      <c r="D185" s="817"/>
      <c r="E185" s="817"/>
      <c r="F185" s="466">
        <v>833</v>
      </c>
      <c r="G185" s="357">
        <f t="shared" si="370"/>
        <v>833</v>
      </c>
      <c r="H185" s="1121"/>
      <c r="I185" s="1122"/>
      <c r="J185" s="1122"/>
      <c r="K185" s="1123"/>
      <c r="L185" s="483">
        <f t="shared" si="372"/>
        <v>913</v>
      </c>
      <c r="M185" s="330">
        <f t="shared" si="390"/>
        <v>913</v>
      </c>
      <c r="N185" s="368">
        <f t="shared" si="373"/>
        <v>893</v>
      </c>
      <c r="O185" s="330">
        <f t="shared" si="391"/>
        <v>893</v>
      </c>
      <c r="P185" s="368">
        <f t="shared" si="375"/>
        <v>876</v>
      </c>
      <c r="Q185" s="330">
        <f t="shared" si="392"/>
        <v>876</v>
      </c>
      <c r="R185" s="368">
        <f t="shared" si="377"/>
        <v>870</v>
      </c>
      <c r="S185" s="330">
        <f t="shared" si="393"/>
        <v>870</v>
      </c>
      <c r="T185" s="108">
        <f t="shared" si="379"/>
        <v>863</v>
      </c>
      <c r="U185" s="293">
        <f t="shared" si="394"/>
        <v>863</v>
      </c>
      <c r="V185" s="368">
        <f t="shared" si="381"/>
        <v>859</v>
      </c>
      <c r="W185" s="330">
        <f t="shared" si="395"/>
        <v>859</v>
      </c>
      <c r="X185" s="724"/>
      <c r="Y185" s="725"/>
      <c r="Z185" s="725"/>
      <c r="AA185" s="726"/>
      <c r="AB185" s="519" t="s">
        <v>826</v>
      </c>
    </row>
    <row r="186" spans="1:28" ht="12.6" customHeight="1" x14ac:dyDescent="0.2">
      <c r="A186" s="111"/>
      <c r="B186" s="905" t="s">
        <v>446</v>
      </c>
      <c r="C186" s="906"/>
      <c r="D186" s="906"/>
      <c r="E186" s="906"/>
      <c r="F186" s="469">
        <f>1.17*X2</f>
        <v>1097.46</v>
      </c>
      <c r="G186" s="410">
        <f t="shared" si="370"/>
        <v>1097.46</v>
      </c>
      <c r="H186" s="329"/>
      <c r="I186" s="447"/>
      <c r="J186" s="107"/>
      <c r="K186" s="371"/>
      <c r="L186" s="565">
        <f>F186+74</f>
        <v>1171.46</v>
      </c>
      <c r="M186" s="331">
        <f t="shared" si="390"/>
        <v>1171.46</v>
      </c>
      <c r="N186" s="565">
        <f>F186+46</f>
        <v>1143.46</v>
      </c>
      <c r="O186" s="331">
        <f t="shared" si="391"/>
        <v>1143.46</v>
      </c>
      <c r="P186" s="565">
        <f>F186+42</f>
        <v>1139.46</v>
      </c>
      <c r="Q186" s="331">
        <f t="shared" si="392"/>
        <v>1139.46</v>
      </c>
      <c r="R186" s="565">
        <f>F186+35</f>
        <v>1132.46</v>
      </c>
      <c r="S186" s="331">
        <f t="shared" si="393"/>
        <v>1132.46</v>
      </c>
      <c r="T186" s="107">
        <f>F186+29</f>
        <v>1126.46</v>
      </c>
      <c r="U186" s="356">
        <f t="shared" si="394"/>
        <v>1126.46</v>
      </c>
      <c r="V186" s="107">
        <f>F186+24</f>
        <v>1121.46</v>
      </c>
      <c r="W186" s="356">
        <f t="shared" si="395"/>
        <v>1121.46</v>
      </c>
      <c r="X186" s="161"/>
      <c r="Y186" s="170"/>
      <c r="Z186" s="161"/>
      <c r="AA186" s="161"/>
      <c r="AB186" s="208">
        <v>425</v>
      </c>
    </row>
    <row r="187" spans="1:28" ht="12.6" customHeight="1" x14ac:dyDescent="0.2">
      <c r="A187" s="111"/>
      <c r="B187" s="696" t="s">
        <v>565</v>
      </c>
      <c r="C187" s="697"/>
      <c r="D187" s="697"/>
      <c r="E187" s="697"/>
      <c r="F187" s="460">
        <f>1.01*X2</f>
        <v>947.38</v>
      </c>
      <c r="G187" s="330">
        <f t="shared" si="370"/>
        <v>947.38</v>
      </c>
      <c r="H187" s="370"/>
      <c r="I187" s="403"/>
      <c r="J187" s="368"/>
      <c r="K187" s="330"/>
      <c r="L187" s="368">
        <f>F187+74</f>
        <v>1021.38</v>
      </c>
      <c r="M187" s="330">
        <f t="shared" si="390"/>
        <v>1021.38</v>
      </c>
      <c r="N187" s="368">
        <f>F187+46</f>
        <v>993.38</v>
      </c>
      <c r="O187" s="330">
        <f t="shared" si="391"/>
        <v>993.38</v>
      </c>
      <c r="P187" s="368">
        <f>F187+42</f>
        <v>989.38</v>
      </c>
      <c r="Q187" s="330">
        <f t="shared" si="392"/>
        <v>989.38</v>
      </c>
      <c r="R187" s="368">
        <f>F187+35</f>
        <v>982.38</v>
      </c>
      <c r="S187" s="330">
        <f t="shared" si="393"/>
        <v>982.38</v>
      </c>
      <c r="T187" s="108">
        <f>F187+29</f>
        <v>976.38</v>
      </c>
      <c r="U187" s="293">
        <f t="shared" si="394"/>
        <v>976.38</v>
      </c>
      <c r="V187" s="108">
        <f>F187+24</f>
        <v>971.38</v>
      </c>
      <c r="W187" s="293">
        <f t="shared" si="395"/>
        <v>971.38</v>
      </c>
      <c r="X187" s="161"/>
      <c r="Y187" s="170"/>
      <c r="Z187" s="161"/>
      <c r="AA187" s="161"/>
      <c r="AB187" s="208" t="s">
        <v>623</v>
      </c>
    </row>
    <row r="188" spans="1:28" ht="12.6" customHeight="1" x14ac:dyDescent="0.2">
      <c r="A188" s="111"/>
      <c r="B188" s="679" t="s">
        <v>553</v>
      </c>
      <c r="C188" s="695"/>
      <c r="D188" s="695"/>
      <c r="E188" s="695"/>
      <c r="F188" s="461">
        <f>0.98*X2</f>
        <v>919.24</v>
      </c>
      <c r="G188" s="331">
        <f t="shared" ref="G188" si="396">+F188*$X$1</f>
        <v>919.24</v>
      </c>
      <c r="H188" s="329"/>
      <c r="I188" s="404"/>
      <c r="J188" s="565"/>
      <c r="K188" s="331"/>
      <c r="L188" s="565">
        <f>F188+74</f>
        <v>993.24</v>
      </c>
      <c r="M188" s="331">
        <f t="shared" si="390"/>
        <v>993.24</v>
      </c>
      <c r="N188" s="565">
        <f>F188+46</f>
        <v>965.24</v>
      </c>
      <c r="O188" s="331">
        <f t="shared" si="391"/>
        <v>965.24</v>
      </c>
      <c r="P188" s="565">
        <f>F188+42</f>
        <v>961.24</v>
      </c>
      <c r="Q188" s="331">
        <f t="shared" si="392"/>
        <v>961.24</v>
      </c>
      <c r="R188" s="565">
        <f>F188+35</f>
        <v>954.24</v>
      </c>
      <c r="S188" s="331">
        <f t="shared" si="393"/>
        <v>954.24</v>
      </c>
      <c r="T188" s="107">
        <f>F188+29</f>
        <v>948.24</v>
      </c>
      <c r="U188" s="356">
        <f t="shared" si="394"/>
        <v>948.24</v>
      </c>
      <c r="V188" s="107">
        <f>F188+24</f>
        <v>943.24</v>
      </c>
      <c r="W188" s="356">
        <f t="shared" si="395"/>
        <v>943.24</v>
      </c>
      <c r="X188" s="161"/>
      <c r="Y188" s="170"/>
      <c r="Z188" s="161"/>
      <c r="AA188" s="161"/>
      <c r="AB188" s="208">
        <v>428</v>
      </c>
    </row>
    <row r="189" spans="1:28" ht="12.6" customHeight="1" x14ac:dyDescent="0.2">
      <c r="A189" s="20"/>
      <c r="B189" s="696" t="s">
        <v>195</v>
      </c>
      <c r="C189" s="697"/>
      <c r="D189" s="697"/>
      <c r="E189" s="697"/>
      <c r="F189" s="460">
        <f>1.527*X2</f>
        <v>1432.326</v>
      </c>
      <c r="G189" s="330">
        <f t="shared" si="370"/>
        <v>1432.326</v>
      </c>
      <c r="H189" s="368">
        <f>F189+290</f>
        <v>1722.326</v>
      </c>
      <c r="I189" s="330">
        <f>+H189*$X$1</f>
        <v>1722.326</v>
      </c>
      <c r="J189" s="368">
        <f>F189+120</f>
        <v>1552.326</v>
      </c>
      <c r="K189" s="330">
        <f t="shared" ref="K189" si="397">+J189*$X$1</f>
        <v>1552.326</v>
      </c>
      <c r="L189" s="368">
        <f>F189+74</f>
        <v>1506.326</v>
      </c>
      <c r="M189" s="330">
        <f t="shared" ref="M189" si="398">+L189*$X$1</f>
        <v>1506.326</v>
      </c>
      <c r="N189" s="368">
        <f>F189+46</f>
        <v>1478.326</v>
      </c>
      <c r="O189" s="330">
        <f t="shared" ref="O189" si="399">+N189*$X$1</f>
        <v>1478.326</v>
      </c>
      <c r="P189" s="368">
        <f>F189+42</f>
        <v>1474.326</v>
      </c>
      <c r="Q189" s="330">
        <f t="shared" ref="Q189" si="400">+P189*$X$1</f>
        <v>1474.326</v>
      </c>
      <c r="R189" s="368">
        <f>F189+35</f>
        <v>1467.326</v>
      </c>
      <c r="S189" s="330">
        <f t="shared" ref="S189" si="401">+R189*$X$1</f>
        <v>1467.326</v>
      </c>
      <c r="T189" s="108">
        <f>F189+29</f>
        <v>1461.326</v>
      </c>
      <c r="U189" s="293">
        <f t="shared" ref="U189" si="402">+T189*$X$1</f>
        <v>1461.326</v>
      </c>
      <c r="V189" s="108">
        <f>F189+24</f>
        <v>1456.326</v>
      </c>
      <c r="W189" s="293">
        <f t="shared" ref="W189" si="403">+V189*$X$1</f>
        <v>1456.326</v>
      </c>
      <c r="X189" s="161"/>
      <c r="Y189" s="170"/>
      <c r="Z189" s="161"/>
      <c r="AA189" s="161"/>
      <c r="AB189" s="208">
        <v>442</v>
      </c>
    </row>
    <row r="190" spans="1:28" ht="12.6" customHeight="1" x14ac:dyDescent="0.2">
      <c r="A190" s="20"/>
      <c r="B190" s="785" t="s">
        <v>196</v>
      </c>
      <c r="C190" s="786"/>
      <c r="D190" s="786"/>
      <c r="E190" s="786"/>
      <c r="F190" s="446"/>
      <c r="G190" s="791" t="s">
        <v>431</v>
      </c>
      <c r="H190" s="792"/>
      <c r="I190" s="792"/>
      <c r="J190" s="792"/>
      <c r="K190" s="792"/>
      <c r="L190" s="792"/>
      <c r="M190" s="792"/>
      <c r="N190" s="792"/>
      <c r="O190" s="792"/>
      <c r="P190" s="1144"/>
      <c r="Q190" s="1144"/>
      <c r="R190" s="1144"/>
      <c r="S190" s="1145"/>
      <c r="T190" s="75"/>
      <c r="U190" s="331"/>
      <c r="V190" s="107"/>
      <c r="W190" s="356"/>
      <c r="X190" s="171"/>
      <c r="Y190" s="170"/>
      <c r="Z190" s="161"/>
      <c r="AA190" s="161"/>
      <c r="AB190" s="208">
        <v>450</v>
      </c>
    </row>
    <row r="191" spans="1:28" ht="12.6" customHeight="1" x14ac:dyDescent="0.2">
      <c r="A191" s="20"/>
      <c r="B191" s="696" t="s">
        <v>197</v>
      </c>
      <c r="C191" s="697"/>
      <c r="D191" s="697"/>
      <c r="E191" s="697"/>
      <c r="F191" s="137"/>
      <c r="G191" s="794"/>
      <c r="H191" s="795"/>
      <c r="I191" s="795"/>
      <c r="J191" s="795"/>
      <c r="K191" s="795"/>
      <c r="L191" s="795"/>
      <c r="M191" s="795"/>
      <c r="N191" s="795"/>
      <c r="O191" s="795"/>
      <c r="P191" s="1146"/>
      <c r="Q191" s="1147"/>
      <c r="R191" s="1146"/>
      <c r="S191" s="1148"/>
      <c r="T191" s="75"/>
      <c r="U191" s="330"/>
      <c r="V191" s="108"/>
      <c r="W191" s="293"/>
      <c r="X191" s="171"/>
      <c r="Y191" s="170"/>
      <c r="Z191" s="161"/>
      <c r="AA191" s="161"/>
      <c r="AB191" s="208">
        <v>451</v>
      </c>
    </row>
    <row r="192" spans="1:28" ht="12.6" customHeight="1" x14ac:dyDescent="0.2">
      <c r="A192" s="20"/>
      <c r="B192" s="679" t="s">
        <v>198</v>
      </c>
      <c r="C192" s="695"/>
      <c r="D192" s="695"/>
      <c r="E192" s="695"/>
      <c r="F192" s="95"/>
      <c r="G192" s="794"/>
      <c r="H192" s="795"/>
      <c r="I192" s="795"/>
      <c r="J192" s="795"/>
      <c r="K192" s="795"/>
      <c r="L192" s="795"/>
      <c r="M192" s="795"/>
      <c r="N192" s="795"/>
      <c r="O192" s="795"/>
      <c r="P192" s="1146"/>
      <c r="Q192" s="1147"/>
      <c r="R192" s="1146"/>
      <c r="S192" s="1148"/>
      <c r="T192" s="75"/>
      <c r="U192" s="331"/>
      <c r="V192" s="107"/>
      <c r="W192" s="356"/>
      <c r="X192" s="171"/>
      <c r="Y192" s="170"/>
      <c r="Z192" s="161"/>
      <c r="AA192" s="161"/>
      <c r="AB192" s="208">
        <v>452</v>
      </c>
    </row>
    <row r="193" spans="1:28" ht="12.6" customHeight="1" x14ac:dyDescent="0.2">
      <c r="A193" s="20"/>
      <c r="B193" s="696" t="s">
        <v>199</v>
      </c>
      <c r="C193" s="697"/>
      <c r="D193" s="697"/>
      <c r="E193" s="697"/>
      <c r="F193" s="137"/>
      <c r="G193" s="794"/>
      <c r="H193" s="795"/>
      <c r="I193" s="795"/>
      <c r="J193" s="795"/>
      <c r="K193" s="795"/>
      <c r="L193" s="795"/>
      <c r="M193" s="795"/>
      <c r="N193" s="795"/>
      <c r="O193" s="795"/>
      <c r="P193" s="1146"/>
      <c r="Q193" s="1147"/>
      <c r="R193" s="1146"/>
      <c r="S193" s="1148"/>
      <c r="T193" s="75"/>
      <c r="U193" s="330"/>
      <c r="V193" s="108"/>
      <c r="W193" s="293"/>
      <c r="X193" s="171"/>
      <c r="Y193" s="170"/>
      <c r="Z193" s="161"/>
      <c r="AA193" s="161"/>
      <c r="AB193" s="208">
        <v>453</v>
      </c>
    </row>
    <row r="194" spans="1:28" ht="12.6" customHeight="1" x14ac:dyDescent="0.2">
      <c r="A194" s="20"/>
      <c r="B194" s="679" t="s">
        <v>200</v>
      </c>
      <c r="C194" s="695"/>
      <c r="D194" s="695"/>
      <c r="E194" s="695"/>
      <c r="F194" s="95"/>
      <c r="G194" s="794"/>
      <c r="H194" s="795"/>
      <c r="I194" s="795"/>
      <c r="J194" s="795"/>
      <c r="K194" s="795"/>
      <c r="L194" s="795"/>
      <c r="M194" s="795"/>
      <c r="N194" s="795"/>
      <c r="O194" s="795"/>
      <c r="P194" s="1146"/>
      <c r="Q194" s="1147"/>
      <c r="R194" s="1146"/>
      <c r="S194" s="1148"/>
      <c r="T194" s="75"/>
      <c r="U194" s="331"/>
      <c r="V194" s="107"/>
      <c r="W194" s="356"/>
      <c r="X194" s="171"/>
      <c r="Y194" s="170"/>
      <c r="Z194" s="161"/>
      <c r="AA194" s="161"/>
      <c r="AB194" s="208">
        <v>454</v>
      </c>
    </row>
    <row r="195" spans="1:28" ht="12.6" customHeight="1" x14ac:dyDescent="0.2">
      <c r="A195" s="20"/>
      <c r="B195" s="696" t="s">
        <v>201</v>
      </c>
      <c r="C195" s="697"/>
      <c r="D195" s="697"/>
      <c r="E195" s="697"/>
      <c r="F195" s="445"/>
      <c r="G195" s="1149"/>
      <c r="H195" s="796"/>
      <c r="I195" s="796"/>
      <c r="J195" s="796"/>
      <c r="K195" s="796"/>
      <c r="L195" s="796"/>
      <c r="M195" s="796"/>
      <c r="N195" s="796"/>
      <c r="O195" s="796"/>
      <c r="P195" s="1150"/>
      <c r="Q195" s="1150"/>
      <c r="R195" s="1150"/>
      <c r="S195" s="1151"/>
      <c r="T195" s="75"/>
      <c r="U195" s="330"/>
      <c r="V195" s="108"/>
      <c r="W195" s="293"/>
      <c r="X195" s="171"/>
      <c r="Y195" s="170"/>
      <c r="Z195" s="161"/>
      <c r="AA195" s="161"/>
      <c r="AB195" s="208">
        <v>460</v>
      </c>
    </row>
    <row r="196" spans="1:28" ht="12.6" customHeight="1" x14ac:dyDescent="0.2">
      <c r="A196" s="20"/>
      <c r="B196" s="679" t="s">
        <v>421</v>
      </c>
      <c r="C196" s="866"/>
      <c r="D196" s="866"/>
      <c r="E196" s="866"/>
      <c r="F196" s="461">
        <f>1.974*X2</f>
        <v>1851.6120000000001</v>
      </c>
      <c r="G196" s="397">
        <f t="shared" ref="G196:G197" si="404">+F196*$X$1</f>
        <v>1851.6120000000001</v>
      </c>
      <c r="H196" s="321"/>
      <c r="I196" s="321"/>
      <c r="J196" s="565">
        <f>F196+120</f>
        <v>1971.6120000000001</v>
      </c>
      <c r="K196" s="331">
        <f t="shared" ref="K196" si="405">+J196*$X$1</f>
        <v>1971.6120000000001</v>
      </c>
      <c r="L196" s="565">
        <f>F196+74</f>
        <v>1925.6120000000001</v>
      </c>
      <c r="M196" s="331">
        <f t="shared" ref="M196" si="406">+L196*$X$1</f>
        <v>1925.6120000000001</v>
      </c>
      <c r="N196" s="565">
        <f t="shared" ref="N196:N204" si="407">F196+46</f>
        <v>1897.6120000000001</v>
      </c>
      <c r="O196" s="331">
        <f t="shared" ref="O196" si="408">+N196*$X$1</f>
        <v>1897.6120000000001</v>
      </c>
      <c r="P196" s="565">
        <f t="shared" ref="P196:P204" si="409">F196+42</f>
        <v>1893.6120000000001</v>
      </c>
      <c r="Q196" s="331">
        <f t="shared" ref="Q196" si="410">+P196*$X$1</f>
        <v>1893.6120000000001</v>
      </c>
      <c r="R196" s="565">
        <f t="shared" ref="R196:R204" si="411">F196+35</f>
        <v>1886.6120000000001</v>
      </c>
      <c r="S196" s="331">
        <f t="shared" ref="S196" si="412">+R196*$X$1</f>
        <v>1886.6120000000001</v>
      </c>
      <c r="T196" s="107">
        <f t="shared" ref="T196:T204" si="413">F196+29</f>
        <v>1880.6120000000001</v>
      </c>
      <c r="U196" s="356">
        <f t="shared" ref="U196" si="414">+T196*$X$1</f>
        <v>1880.6120000000001</v>
      </c>
      <c r="V196" s="107">
        <f t="shared" ref="V196:V204" si="415">F196+24</f>
        <v>1875.6120000000001</v>
      </c>
      <c r="W196" s="356">
        <f t="shared" ref="W196" si="416">+V196*$X$1</f>
        <v>1875.6120000000001</v>
      </c>
      <c r="X196" s="161"/>
      <c r="Y196" s="170"/>
      <c r="Z196" s="161"/>
      <c r="AA196" s="161"/>
      <c r="AB196" s="208">
        <v>465</v>
      </c>
    </row>
    <row r="197" spans="1:28" ht="12.6" customHeight="1" x14ac:dyDescent="0.2">
      <c r="A197" s="20"/>
      <c r="B197" s="945" t="s">
        <v>717</v>
      </c>
      <c r="C197" s="1090"/>
      <c r="D197" s="1090"/>
      <c r="E197" s="1090"/>
      <c r="F197" s="466">
        <f>1.137*X2</f>
        <v>1066.5060000000001</v>
      </c>
      <c r="G197" s="358">
        <f t="shared" si="404"/>
        <v>1066.5060000000001</v>
      </c>
      <c r="H197" s="322"/>
      <c r="I197" s="322"/>
      <c r="J197" s="368">
        <f>F197+120</f>
        <v>1186.5060000000001</v>
      </c>
      <c r="K197" s="330">
        <f t="shared" ref="K197:K199" si="417">+J197*$X$1</f>
        <v>1186.5060000000001</v>
      </c>
      <c r="L197" s="368">
        <f>F197+74</f>
        <v>1140.5060000000001</v>
      </c>
      <c r="M197" s="330">
        <f t="shared" ref="M197:M199" si="418">+L197*$X$1</f>
        <v>1140.5060000000001</v>
      </c>
      <c r="N197" s="368">
        <f t="shared" si="407"/>
        <v>1112.5060000000001</v>
      </c>
      <c r="O197" s="330">
        <f t="shared" ref="O197:O199" si="419">+N197*$X$1</f>
        <v>1112.5060000000001</v>
      </c>
      <c r="P197" s="368">
        <f t="shared" si="409"/>
        <v>1108.5060000000001</v>
      </c>
      <c r="Q197" s="330">
        <f t="shared" ref="Q197:Q199" si="420">+P197*$X$1</f>
        <v>1108.5060000000001</v>
      </c>
      <c r="R197" s="368">
        <f t="shared" si="411"/>
        <v>1101.5060000000001</v>
      </c>
      <c r="S197" s="330">
        <f t="shared" ref="S197:S199" si="421">+R197*$X$1</f>
        <v>1101.5060000000001</v>
      </c>
      <c r="T197" s="108">
        <f t="shared" si="413"/>
        <v>1095.5060000000001</v>
      </c>
      <c r="U197" s="293">
        <f t="shared" ref="U197:U199" si="422">+T197*$X$1</f>
        <v>1095.5060000000001</v>
      </c>
      <c r="V197" s="108">
        <f t="shared" si="415"/>
        <v>1090.5060000000001</v>
      </c>
      <c r="W197" s="293">
        <f t="shared" ref="W197:W199" si="423">+V197*$X$1</f>
        <v>1090.5060000000001</v>
      </c>
      <c r="X197" s="161"/>
      <c r="Y197" s="161"/>
      <c r="Z197" s="161"/>
      <c r="AA197" s="161"/>
      <c r="AB197" s="208">
        <v>528</v>
      </c>
    </row>
    <row r="198" spans="1:28" ht="12.6" customHeight="1" x14ac:dyDescent="0.2">
      <c r="A198" s="20"/>
      <c r="B198" s="698" t="s">
        <v>422</v>
      </c>
      <c r="C198" s="920"/>
      <c r="D198" s="920"/>
      <c r="E198" s="921"/>
      <c r="F198" s="371">
        <v>3460</v>
      </c>
      <c r="G198" s="363">
        <f t="shared" ref="G198:G202" si="424">+F198*$X$1</f>
        <v>3460</v>
      </c>
      <c r="H198" s="321"/>
      <c r="I198" s="321"/>
      <c r="J198" s="565">
        <f>F198+120</f>
        <v>3580</v>
      </c>
      <c r="K198" s="331">
        <f t="shared" si="417"/>
        <v>3580</v>
      </c>
      <c r="L198" s="565">
        <f>F198+74</f>
        <v>3534</v>
      </c>
      <c r="M198" s="331">
        <f t="shared" si="418"/>
        <v>3534</v>
      </c>
      <c r="N198" s="565">
        <f t="shared" si="407"/>
        <v>3506</v>
      </c>
      <c r="O198" s="331">
        <f t="shared" si="419"/>
        <v>3506</v>
      </c>
      <c r="P198" s="565">
        <f t="shared" si="409"/>
        <v>3502</v>
      </c>
      <c r="Q198" s="331">
        <f t="shared" si="420"/>
        <v>3502</v>
      </c>
      <c r="R198" s="565">
        <f t="shared" si="411"/>
        <v>3495</v>
      </c>
      <c r="S198" s="331">
        <f t="shared" si="421"/>
        <v>3495</v>
      </c>
      <c r="T198" s="107">
        <f t="shared" si="413"/>
        <v>3489</v>
      </c>
      <c r="U198" s="356">
        <f t="shared" si="422"/>
        <v>3489</v>
      </c>
      <c r="V198" s="107">
        <f t="shared" si="415"/>
        <v>3484</v>
      </c>
      <c r="W198" s="356">
        <f t="shared" si="423"/>
        <v>3484</v>
      </c>
      <c r="X198" s="161"/>
      <c r="Y198" s="161"/>
      <c r="Z198" s="161"/>
      <c r="AA198" s="161"/>
      <c r="AB198" s="208"/>
    </row>
    <row r="199" spans="1:28" ht="12.6" customHeight="1" x14ac:dyDescent="0.2">
      <c r="A199" s="20"/>
      <c r="B199" s="684" t="s">
        <v>933</v>
      </c>
      <c r="C199" s="1293"/>
      <c r="D199" s="1293"/>
      <c r="E199" s="1293"/>
      <c r="F199" s="460">
        <f>1.4*X2</f>
        <v>1313.1999999999998</v>
      </c>
      <c r="G199" s="395">
        <f t="shared" si="424"/>
        <v>1313.1999999999998</v>
      </c>
      <c r="H199" s="670">
        <f>F199+300</f>
        <v>1613.1999999999998</v>
      </c>
      <c r="I199" s="330">
        <f>+H199*$X$1</f>
        <v>1613.1999999999998</v>
      </c>
      <c r="J199" s="670">
        <f>F199+120</f>
        <v>1433.1999999999998</v>
      </c>
      <c r="K199" s="330">
        <f t="shared" si="417"/>
        <v>1433.1999999999998</v>
      </c>
      <c r="L199" s="670">
        <f>F199+74</f>
        <v>1387.1999999999998</v>
      </c>
      <c r="M199" s="330">
        <f t="shared" si="418"/>
        <v>1387.1999999999998</v>
      </c>
      <c r="N199" s="670">
        <f t="shared" ref="N199" si="425">F199+46</f>
        <v>1359.1999999999998</v>
      </c>
      <c r="O199" s="330">
        <f t="shared" si="419"/>
        <v>1359.1999999999998</v>
      </c>
      <c r="P199" s="670">
        <f t="shared" ref="P199" si="426">F199+42</f>
        <v>1355.1999999999998</v>
      </c>
      <c r="Q199" s="330">
        <f t="shared" si="420"/>
        <v>1355.1999999999998</v>
      </c>
      <c r="R199" s="670">
        <f t="shared" ref="R199" si="427">F199+35</f>
        <v>1348.1999999999998</v>
      </c>
      <c r="S199" s="330">
        <f t="shared" si="421"/>
        <v>1348.1999999999998</v>
      </c>
      <c r="T199" s="108">
        <f t="shared" ref="T199" si="428">F199+29</f>
        <v>1342.1999999999998</v>
      </c>
      <c r="U199" s="293">
        <f t="shared" si="422"/>
        <v>1342.1999999999998</v>
      </c>
      <c r="V199" s="108">
        <f t="shared" ref="V199" si="429">F199+24</f>
        <v>1337.1999999999998</v>
      </c>
      <c r="W199" s="293">
        <f t="shared" si="423"/>
        <v>1337.1999999999998</v>
      </c>
      <c r="X199" s="161"/>
      <c r="Y199" s="170"/>
      <c r="Z199" s="161"/>
      <c r="AA199" s="161"/>
      <c r="AB199" s="208">
        <v>534</v>
      </c>
    </row>
    <row r="200" spans="1:28" ht="12.6" customHeight="1" x14ac:dyDescent="0.2">
      <c r="A200" s="20"/>
      <c r="B200" s="698" t="s">
        <v>423</v>
      </c>
      <c r="C200" s="693"/>
      <c r="D200" s="693"/>
      <c r="E200" s="694"/>
      <c r="F200" s="371">
        <v>1048</v>
      </c>
      <c r="G200" s="363">
        <f t="shared" si="424"/>
        <v>1048</v>
      </c>
      <c r="H200" s="321"/>
      <c r="I200" s="321"/>
      <c r="J200" s="650">
        <f>F200+120</f>
        <v>1168</v>
      </c>
      <c r="K200" s="331">
        <f t="shared" ref="K200" si="430">+J200*$X$1</f>
        <v>1168</v>
      </c>
      <c r="L200" s="650">
        <f>F200+74</f>
        <v>1122</v>
      </c>
      <c r="M200" s="331">
        <f t="shared" ref="M200" si="431">+L200*$X$1</f>
        <v>1122</v>
      </c>
      <c r="N200" s="650">
        <f t="shared" si="407"/>
        <v>1094</v>
      </c>
      <c r="O200" s="331">
        <f t="shared" ref="O200" si="432">+N200*$X$1</f>
        <v>1094</v>
      </c>
      <c r="P200" s="650">
        <f t="shared" si="409"/>
        <v>1090</v>
      </c>
      <c r="Q200" s="331">
        <f t="shared" ref="Q200" si="433">+P200*$X$1</f>
        <v>1090</v>
      </c>
      <c r="R200" s="650">
        <f t="shared" si="411"/>
        <v>1083</v>
      </c>
      <c r="S200" s="331">
        <f t="shared" ref="S200" si="434">+R200*$X$1</f>
        <v>1083</v>
      </c>
      <c r="T200" s="107">
        <f t="shared" si="413"/>
        <v>1077</v>
      </c>
      <c r="U200" s="356">
        <f t="shared" ref="U200" si="435">+T200*$X$1</f>
        <v>1077</v>
      </c>
      <c r="V200" s="107">
        <f t="shared" si="415"/>
        <v>1072</v>
      </c>
      <c r="W200" s="356">
        <f t="shared" ref="W200" si="436">+V200*$X$1</f>
        <v>1072</v>
      </c>
      <c r="X200" s="161"/>
      <c r="Y200" s="161"/>
      <c r="Z200" s="161"/>
      <c r="AA200" s="161"/>
      <c r="AB200" s="208"/>
    </row>
    <row r="201" spans="1:28" ht="12.6" customHeight="1" x14ac:dyDescent="0.2">
      <c r="A201" s="20"/>
      <c r="B201" s="945" t="s">
        <v>202</v>
      </c>
      <c r="C201" s="790"/>
      <c r="D201" s="790"/>
      <c r="E201" s="790"/>
      <c r="F201" s="357">
        <v>210</v>
      </c>
      <c r="G201" s="414">
        <f>+F201*$X$1</f>
        <v>210</v>
      </c>
      <c r="H201" s="1294" t="s">
        <v>411</v>
      </c>
      <c r="I201" s="1294"/>
      <c r="J201" s="1295"/>
      <c r="K201" s="1295"/>
      <c r="L201" s="1295"/>
      <c r="M201" s="1296"/>
      <c r="N201" s="670">
        <f t="shared" si="407"/>
        <v>256</v>
      </c>
      <c r="O201" s="330">
        <f t="shared" ref="O201:O204" si="437">+N201*$X$1</f>
        <v>256</v>
      </c>
      <c r="P201" s="670">
        <f t="shared" si="409"/>
        <v>252</v>
      </c>
      <c r="Q201" s="330">
        <f t="shared" ref="Q201:Q204" si="438">+P201*$X$1</f>
        <v>252</v>
      </c>
      <c r="R201" s="670">
        <f t="shared" si="411"/>
        <v>245</v>
      </c>
      <c r="S201" s="330">
        <f t="shared" ref="S201:S204" si="439">+R201*$X$1</f>
        <v>245</v>
      </c>
      <c r="T201" s="108">
        <f t="shared" si="413"/>
        <v>239</v>
      </c>
      <c r="U201" s="293">
        <f t="shared" ref="U201:U204" si="440">+T201*$X$1</f>
        <v>239</v>
      </c>
      <c r="V201" s="108">
        <f t="shared" si="415"/>
        <v>234</v>
      </c>
      <c r="W201" s="293">
        <f t="shared" ref="W201:W204" si="441">+V201*$X$1</f>
        <v>234</v>
      </c>
      <c r="X201" s="161"/>
      <c r="Y201" s="161"/>
      <c r="Z201" s="161"/>
      <c r="AA201" s="161"/>
      <c r="AB201" s="208">
        <v>539</v>
      </c>
    </row>
    <row r="202" spans="1:28" ht="12.6" customHeight="1" x14ac:dyDescent="0.2">
      <c r="A202" s="20"/>
      <c r="B202" s="785" t="s">
        <v>545</v>
      </c>
      <c r="C202" s="916"/>
      <c r="D202" s="916"/>
      <c r="E202" s="916"/>
      <c r="F202" s="371">
        <v>402</v>
      </c>
      <c r="G202" s="396">
        <f t="shared" si="424"/>
        <v>402</v>
      </c>
      <c r="H202" s="321"/>
      <c r="I202" s="321"/>
      <c r="J202" s="93"/>
      <c r="K202" s="331"/>
      <c r="L202" s="650"/>
      <c r="M202" s="331"/>
      <c r="N202" s="650"/>
      <c r="O202" s="331"/>
      <c r="P202" s="650"/>
      <c r="Q202" s="331"/>
      <c r="R202" s="650"/>
      <c r="S202" s="331"/>
      <c r="T202" s="107">
        <f t="shared" si="413"/>
        <v>431</v>
      </c>
      <c r="U202" s="356">
        <f t="shared" si="440"/>
        <v>431</v>
      </c>
      <c r="V202" s="107">
        <f t="shared" si="415"/>
        <v>426</v>
      </c>
      <c r="W202" s="356">
        <f t="shared" si="441"/>
        <v>426</v>
      </c>
      <c r="X202" s="161"/>
      <c r="Y202" s="161"/>
      <c r="Z202" s="161"/>
      <c r="AA202" s="161"/>
      <c r="AB202" s="208">
        <v>540</v>
      </c>
    </row>
    <row r="203" spans="1:28" ht="12.6" customHeight="1" x14ac:dyDescent="0.2">
      <c r="A203" s="20"/>
      <c r="B203" s="945" t="s">
        <v>547</v>
      </c>
      <c r="C203" s="1090"/>
      <c r="D203" s="1090"/>
      <c r="E203" s="1090"/>
      <c r="F203" s="357">
        <v>724</v>
      </c>
      <c r="G203" s="358">
        <f t="shared" ref="G203" si="442">+F203*$X$1</f>
        <v>724</v>
      </c>
      <c r="H203" s="322"/>
      <c r="I203" s="322"/>
      <c r="J203" s="75"/>
      <c r="K203" s="330"/>
      <c r="L203" s="670"/>
      <c r="M203" s="330"/>
      <c r="N203" s="670"/>
      <c r="O203" s="330"/>
      <c r="P203" s="670"/>
      <c r="Q203" s="330"/>
      <c r="R203" s="670"/>
      <c r="S203" s="330"/>
      <c r="T203" s="108">
        <f t="shared" si="413"/>
        <v>753</v>
      </c>
      <c r="U203" s="293">
        <f t="shared" si="440"/>
        <v>753</v>
      </c>
      <c r="V203" s="108">
        <f t="shared" si="415"/>
        <v>748</v>
      </c>
      <c r="W203" s="293">
        <f t="shared" si="441"/>
        <v>748</v>
      </c>
      <c r="X203" s="161"/>
      <c r="Y203" s="161"/>
      <c r="Z203" s="161"/>
      <c r="AA203" s="161"/>
      <c r="AB203" s="208" t="s">
        <v>641</v>
      </c>
    </row>
    <row r="204" spans="1:28" ht="12.6" customHeight="1" x14ac:dyDescent="0.2">
      <c r="A204" s="20"/>
      <c r="B204" s="698" t="s">
        <v>498</v>
      </c>
      <c r="C204" s="693"/>
      <c r="D204" s="693"/>
      <c r="E204" s="694"/>
      <c r="F204" s="465">
        <f>13.25*X2</f>
        <v>12428.5</v>
      </c>
      <c r="G204" s="396">
        <f t="shared" ref="G204" si="443">+F204*$X$1</f>
        <v>12428.5</v>
      </c>
      <c r="H204" s="650">
        <f>F204+300</f>
        <v>12728.5</v>
      </c>
      <c r="I204" s="331">
        <f>+H204*$X$1</f>
        <v>12728.5</v>
      </c>
      <c r="J204" s="650">
        <f>F204+120</f>
        <v>12548.5</v>
      </c>
      <c r="K204" s="331">
        <f t="shared" ref="K204" si="444">+J204*$X$1</f>
        <v>12548.5</v>
      </c>
      <c r="L204" s="650">
        <f>F204+74</f>
        <v>12502.5</v>
      </c>
      <c r="M204" s="331">
        <f t="shared" ref="M204" si="445">+L204*$X$1</f>
        <v>12502.5</v>
      </c>
      <c r="N204" s="650">
        <f t="shared" si="407"/>
        <v>12474.5</v>
      </c>
      <c r="O204" s="331">
        <f t="shared" si="437"/>
        <v>12474.5</v>
      </c>
      <c r="P204" s="650">
        <f t="shared" si="409"/>
        <v>12470.5</v>
      </c>
      <c r="Q204" s="331">
        <f t="shared" si="438"/>
        <v>12470.5</v>
      </c>
      <c r="R204" s="650">
        <f t="shared" si="411"/>
        <v>12463.5</v>
      </c>
      <c r="S204" s="331">
        <f t="shared" si="439"/>
        <v>12463.5</v>
      </c>
      <c r="T204" s="107">
        <f t="shared" si="413"/>
        <v>12457.5</v>
      </c>
      <c r="U204" s="356">
        <f t="shared" si="440"/>
        <v>12457.5</v>
      </c>
      <c r="V204" s="107">
        <f t="shared" si="415"/>
        <v>12452.5</v>
      </c>
      <c r="W204" s="356">
        <f t="shared" si="441"/>
        <v>12452.5</v>
      </c>
      <c r="X204" s="161"/>
      <c r="Y204" s="161"/>
      <c r="Z204" s="161"/>
      <c r="AA204" s="161"/>
      <c r="AB204" s="208">
        <v>542</v>
      </c>
    </row>
    <row r="205" spans="1:28" ht="12.6" customHeight="1" x14ac:dyDescent="0.2">
      <c r="A205" s="20"/>
      <c r="B205" s="696" t="s">
        <v>546</v>
      </c>
      <c r="C205" s="697"/>
      <c r="D205" s="697"/>
      <c r="E205" s="697"/>
      <c r="F205" s="330"/>
      <c r="G205" s="330"/>
      <c r="H205" s="670"/>
      <c r="I205" s="670"/>
      <c r="J205" s="670"/>
      <c r="K205" s="330"/>
      <c r="L205" s="670"/>
      <c r="M205" s="330"/>
      <c r="N205" s="670"/>
      <c r="O205" s="330"/>
      <c r="P205" s="670"/>
      <c r="Q205" s="330"/>
      <c r="R205" s="670"/>
      <c r="S205" s="330"/>
      <c r="T205" s="670"/>
      <c r="U205" s="330"/>
      <c r="V205" s="75"/>
      <c r="W205" s="406"/>
      <c r="X205" s="161"/>
      <c r="Y205" s="161"/>
      <c r="Z205" s="161"/>
      <c r="AA205" s="161"/>
      <c r="AB205" s="208">
        <v>544</v>
      </c>
    </row>
    <row r="206" spans="1:28" ht="12.6" customHeight="1" x14ac:dyDescent="0.2">
      <c r="A206" s="20"/>
      <c r="B206" s="946" t="s">
        <v>203</v>
      </c>
      <c r="C206" s="1100"/>
      <c r="D206" s="1100"/>
      <c r="E206" s="1100"/>
      <c r="F206" s="394">
        <v>350</v>
      </c>
      <c r="G206" s="393">
        <f t="shared" ref="G206:G211" si="446">+F206*$X$1</f>
        <v>350</v>
      </c>
      <c r="H206" s="328"/>
      <c r="I206" s="328"/>
      <c r="J206" s="566">
        <f t="shared" ref="J206:J212" si="447">F206+120</f>
        <v>470</v>
      </c>
      <c r="K206" s="393">
        <f t="shared" ref="K206" si="448">+J206*$X$1</f>
        <v>470</v>
      </c>
      <c r="L206" s="566">
        <f t="shared" ref="L206:L212" si="449">F206+74</f>
        <v>424</v>
      </c>
      <c r="M206" s="393">
        <f t="shared" ref="M206" si="450">+L206*$X$1</f>
        <v>424</v>
      </c>
      <c r="N206" s="566">
        <f t="shared" ref="N206:N212" si="451">F206+46</f>
        <v>396</v>
      </c>
      <c r="O206" s="393">
        <f t="shared" ref="O206" si="452">+N206*$X$1</f>
        <v>396</v>
      </c>
      <c r="P206" s="109"/>
      <c r="Q206" s="1152" t="s">
        <v>153</v>
      </c>
      <c r="R206" s="1153"/>
      <c r="S206" s="1153"/>
      <c r="T206" s="1153"/>
      <c r="U206" s="1153"/>
      <c r="V206" s="1153"/>
      <c r="W206" s="1154"/>
      <c r="X206" s="141"/>
      <c r="Y206" s="141"/>
      <c r="Z206" s="141"/>
      <c r="AA206" s="141"/>
      <c r="AB206" s="208">
        <v>547</v>
      </c>
    </row>
    <row r="207" spans="1:28" ht="12.6" customHeight="1" x14ac:dyDescent="0.2">
      <c r="A207" s="20"/>
      <c r="B207" s="698" t="s">
        <v>424</v>
      </c>
      <c r="C207" s="699"/>
      <c r="D207" s="699"/>
      <c r="E207" s="700"/>
      <c r="F207" s="331">
        <v>3350</v>
      </c>
      <c r="G207" s="331">
        <f t="shared" si="446"/>
        <v>3350</v>
      </c>
      <c r="H207" s="321"/>
      <c r="I207" s="321"/>
      <c r="J207" s="650">
        <f t="shared" si="447"/>
        <v>3470</v>
      </c>
      <c r="K207" s="331">
        <f t="shared" ref="K207:K212" si="453">+J207*$X$1</f>
        <v>3470</v>
      </c>
      <c r="L207" s="650">
        <f t="shared" si="449"/>
        <v>3424</v>
      </c>
      <c r="M207" s="331">
        <f t="shared" ref="M207:M212" si="454">+L207*$X$1</f>
        <v>3424</v>
      </c>
      <c r="N207" s="650">
        <f t="shared" si="451"/>
        <v>3396</v>
      </c>
      <c r="O207" s="331">
        <f t="shared" ref="O207:O212" si="455">+N207*$X$1</f>
        <v>3396</v>
      </c>
      <c r="P207" s="650">
        <f t="shared" ref="P207:P212" si="456">F207+42</f>
        <v>3392</v>
      </c>
      <c r="Q207" s="331">
        <f t="shared" ref="Q207:Q212" si="457">+P207*$X$1</f>
        <v>3392</v>
      </c>
      <c r="R207" s="650">
        <f t="shared" ref="R207:R212" si="458">F207+35</f>
        <v>3385</v>
      </c>
      <c r="S207" s="331">
        <f t="shared" ref="S207:S212" si="459">+R207*$X$1</f>
        <v>3385</v>
      </c>
      <c r="T207" s="107">
        <f t="shared" ref="T207:T212" si="460">F207+29</f>
        <v>3379</v>
      </c>
      <c r="U207" s="356">
        <f t="shared" ref="U207:U212" si="461">+T207*$X$1</f>
        <v>3379</v>
      </c>
      <c r="V207" s="107">
        <f t="shared" ref="V207:V212" si="462">F207+24</f>
        <v>3374</v>
      </c>
      <c r="W207" s="356">
        <f t="shared" ref="W207:W212" si="463">+V207*$X$1</f>
        <v>3374</v>
      </c>
      <c r="X207" s="141"/>
      <c r="Y207" s="141"/>
      <c r="Z207" s="141"/>
      <c r="AA207" s="141"/>
      <c r="AB207" s="526"/>
    </row>
    <row r="208" spans="1:28" ht="12.6" customHeight="1" x14ac:dyDescent="0.2">
      <c r="A208" s="20"/>
      <c r="B208" s="736" t="s">
        <v>563</v>
      </c>
      <c r="C208" s="739"/>
      <c r="D208" s="739"/>
      <c r="E208" s="740"/>
      <c r="F208" s="357">
        <v>962</v>
      </c>
      <c r="G208" s="330">
        <f t="shared" si="446"/>
        <v>962</v>
      </c>
      <c r="H208" s="322"/>
      <c r="I208" s="322"/>
      <c r="J208" s="665">
        <f t="shared" si="447"/>
        <v>1082</v>
      </c>
      <c r="K208" s="330">
        <f t="shared" si="453"/>
        <v>1082</v>
      </c>
      <c r="L208" s="665">
        <f t="shared" si="449"/>
        <v>1036</v>
      </c>
      <c r="M208" s="330">
        <f t="shared" si="454"/>
        <v>1036</v>
      </c>
      <c r="N208" s="665">
        <f t="shared" si="451"/>
        <v>1008</v>
      </c>
      <c r="O208" s="330">
        <f t="shared" si="455"/>
        <v>1008</v>
      </c>
      <c r="P208" s="665">
        <f t="shared" si="456"/>
        <v>1004</v>
      </c>
      <c r="Q208" s="330">
        <f t="shared" si="457"/>
        <v>1004</v>
      </c>
      <c r="R208" s="665">
        <f t="shared" si="458"/>
        <v>997</v>
      </c>
      <c r="S208" s="330">
        <f t="shared" si="459"/>
        <v>997</v>
      </c>
      <c r="T208" s="108">
        <f t="shared" si="460"/>
        <v>991</v>
      </c>
      <c r="U208" s="293">
        <f t="shared" si="461"/>
        <v>991</v>
      </c>
      <c r="V208" s="108">
        <f t="shared" si="462"/>
        <v>986</v>
      </c>
      <c r="W208" s="293">
        <f t="shared" si="463"/>
        <v>986</v>
      </c>
      <c r="X208" s="161"/>
      <c r="Y208" s="161"/>
      <c r="Z208" s="161"/>
      <c r="AA208" s="161"/>
      <c r="AB208" s="208"/>
    </row>
    <row r="209" spans="1:28" ht="12.6" customHeight="1" x14ac:dyDescent="0.2">
      <c r="A209" s="20"/>
      <c r="B209" s="698" t="s">
        <v>520</v>
      </c>
      <c r="C209" s="699"/>
      <c r="D209" s="699"/>
      <c r="E209" s="700"/>
      <c r="F209" s="331">
        <v>3230</v>
      </c>
      <c r="G209" s="331">
        <f t="shared" si="446"/>
        <v>3230</v>
      </c>
      <c r="H209" s="321"/>
      <c r="I209" s="321"/>
      <c r="J209" s="650">
        <f t="shared" si="447"/>
        <v>3350</v>
      </c>
      <c r="K209" s="331">
        <f t="shared" si="453"/>
        <v>3350</v>
      </c>
      <c r="L209" s="650">
        <f t="shared" si="449"/>
        <v>3304</v>
      </c>
      <c r="M209" s="331">
        <f t="shared" si="454"/>
        <v>3304</v>
      </c>
      <c r="N209" s="650">
        <f t="shared" si="451"/>
        <v>3276</v>
      </c>
      <c r="O209" s="331">
        <f t="shared" si="455"/>
        <v>3276</v>
      </c>
      <c r="P209" s="650">
        <f t="shared" si="456"/>
        <v>3272</v>
      </c>
      <c r="Q209" s="331">
        <f t="shared" si="457"/>
        <v>3272</v>
      </c>
      <c r="R209" s="650">
        <f t="shared" si="458"/>
        <v>3265</v>
      </c>
      <c r="S209" s="331">
        <f t="shared" si="459"/>
        <v>3265</v>
      </c>
      <c r="T209" s="107">
        <f t="shared" si="460"/>
        <v>3259</v>
      </c>
      <c r="U209" s="356">
        <f t="shared" si="461"/>
        <v>3259</v>
      </c>
      <c r="V209" s="107">
        <f t="shared" si="462"/>
        <v>3254</v>
      </c>
      <c r="W209" s="356">
        <f t="shared" si="463"/>
        <v>3254</v>
      </c>
      <c r="X209" s="141"/>
      <c r="Y209" s="141"/>
      <c r="Z209" s="141"/>
      <c r="AA209" s="141"/>
      <c r="AB209" s="208">
        <v>551</v>
      </c>
    </row>
    <row r="210" spans="1:28" ht="12.6" customHeight="1" x14ac:dyDescent="0.2">
      <c r="A210" s="20"/>
      <c r="B210" s="1111" t="s">
        <v>518</v>
      </c>
      <c r="C210" s="1064"/>
      <c r="D210" s="1064"/>
      <c r="E210" s="1065"/>
      <c r="F210" s="357">
        <v>3620</v>
      </c>
      <c r="G210" s="330">
        <f t="shared" si="446"/>
        <v>3620</v>
      </c>
      <c r="H210" s="322"/>
      <c r="I210" s="322"/>
      <c r="J210" s="665">
        <f t="shared" si="447"/>
        <v>3740</v>
      </c>
      <c r="K210" s="330">
        <f t="shared" si="453"/>
        <v>3740</v>
      </c>
      <c r="L210" s="665">
        <f t="shared" si="449"/>
        <v>3694</v>
      </c>
      <c r="M210" s="330">
        <f t="shared" si="454"/>
        <v>3694</v>
      </c>
      <c r="N210" s="665">
        <f t="shared" si="451"/>
        <v>3666</v>
      </c>
      <c r="O210" s="330">
        <f t="shared" si="455"/>
        <v>3666</v>
      </c>
      <c r="P210" s="665">
        <f t="shared" si="456"/>
        <v>3662</v>
      </c>
      <c r="Q210" s="330">
        <f t="shared" si="457"/>
        <v>3662</v>
      </c>
      <c r="R210" s="665">
        <f t="shared" si="458"/>
        <v>3655</v>
      </c>
      <c r="S210" s="330">
        <f t="shared" si="459"/>
        <v>3655</v>
      </c>
      <c r="T210" s="108">
        <f t="shared" si="460"/>
        <v>3649</v>
      </c>
      <c r="U210" s="293">
        <f t="shared" si="461"/>
        <v>3649</v>
      </c>
      <c r="V210" s="108">
        <f t="shared" si="462"/>
        <v>3644</v>
      </c>
      <c r="W210" s="293">
        <f t="shared" si="463"/>
        <v>3644</v>
      </c>
      <c r="X210" s="141"/>
      <c r="Y210" s="141"/>
      <c r="Z210" s="141"/>
      <c r="AA210" s="141"/>
      <c r="AB210" s="208" t="s">
        <v>517</v>
      </c>
    </row>
    <row r="211" spans="1:28" ht="12.6" customHeight="1" x14ac:dyDescent="0.2">
      <c r="A211" s="20"/>
      <c r="B211" s="1139" t="s">
        <v>519</v>
      </c>
      <c r="C211" s="1140"/>
      <c r="D211" s="1140"/>
      <c r="E211" s="1141"/>
      <c r="F211" s="371">
        <v>3890</v>
      </c>
      <c r="G211" s="331">
        <f t="shared" si="446"/>
        <v>3890</v>
      </c>
      <c r="H211" s="321"/>
      <c r="I211" s="321"/>
      <c r="J211" s="650">
        <f t="shared" si="447"/>
        <v>4010</v>
      </c>
      <c r="K211" s="331">
        <f t="shared" si="453"/>
        <v>4010</v>
      </c>
      <c r="L211" s="650">
        <f t="shared" si="449"/>
        <v>3964</v>
      </c>
      <c r="M211" s="331">
        <f t="shared" si="454"/>
        <v>3964</v>
      </c>
      <c r="N211" s="650">
        <f t="shared" si="451"/>
        <v>3936</v>
      </c>
      <c r="O211" s="331">
        <f t="shared" si="455"/>
        <v>3936</v>
      </c>
      <c r="P211" s="650">
        <f t="shared" si="456"/>
        <v>3932</v>
      </c>
      <c r="Q211" s="331">
        <f t="shared" si="457"/>
        <v>3932</v>
      </c>
      <c r="R211" s="650">
        <f t="shared" si="458"/>
        <v>3925</v>
      </c>
      <c r="S211" s="331">
        <f t="shared" si="459"/>
        <v>3925</v>
      </c>
      <c r="T211" s="107">
        <f t="shared" si="460"/>
        <v>3919</v>
      </c>
      <c r="U211" s="356">
        <f t="shared" si="461"/>
        <v>3919</v>
      </c>
      <c r="V211" s="107">
        <f t="shared" si="462"/>
        <v>3914</v>
      </c>
      <c r="W211" s="356">
        <f t="shared" si="463"/>
        <v>3914</v>
      </c>
      <c r="X211" s="141"/>
      <c r="Y211" s="141"/>
      <c r="Z211" s="141"/>
      <c r="AA211" s="141"/>
      <c r="AB211" s="208" t="s">
        <v>521</v>
      </c>
    </row>
    <row r="212" spans="1:28" ht="12.6" customHeight="1" x14ac:dyDescent="0.2">
      <c r="A212" s="20"/>
      <c r="B212" s="696" t="s">
        <v>471</v>
      </c>
      <c r="C212" s="704"/>
      <c r="D212" s="704"/>
      <c r="E212" s="704"/>
      <c r="F212" s="330">
        <v>3478</v>
      </c>
      <c r="G212" s="330">
        <f t="shared" ref="G212" si="464">+F212*$X$1</f>
        <v>3478</v>
      </c>
      <c r="H212" s="322"/>
      <c r="I212" s="322"/>
      <c r="J212" s="665">
        <f t="shared" si="447"/>
        <v>3598</v>
      </c>
      <c r="K212" s="330">
        <f t="shared" si="453"/>
        <v>3598</v>
      </c>
      <c r="L212" s="665">
        <f t="shared" si="449"/>
        <v>3552</v>
      </c>
      <c r="M212" s="330">
        <f t="shared" si="454"/>
        <v>3552</v>
      </c>
      <c r="N212" s="665">
        <f t="shared" si="451"/>
        <v>3524</v>
      </c>
      <c r="O212" s="330">
        <f t="shared" si="455"/>
        <v>3524</v>
      </c>
      <c r="P212" s="665">
        <f t="shared" si="456"/>
        <v>3520</v>
      </c>
      <c r="Q212" s="330">
        <f t="shared" si="457"/>
        <v>3520</v>
      </c>
      <c r="R212" s="665">
        <f t="shared" si="458"/>
        <v>3513</v>
      </c>
      <c r="S212" s="330">
        <f t="shared" si="459"/>
        <v>3513</v>
      </c>
      <c r="T212" s="108">
        <f t="shared" si="460"/>
        <v>3507</v>
      </c>
      <c r="U212" s="293">
        <f t="shared" si="461"/>
        <v>3507</v>
      </c>
      <c r="V212" s="108">
        <f t="shared" si="462"/>
        <v>3502</v>
      </c>
      <c r="W212" s="293">
        <f t="shared" si="463"/>
        <v>3502</v>
      </c>
      <c r="X212" s="141"/>
      <c r="Y212" s="141"/>
      <c r="Z212" s="141"/>
      <c r="AA212" s="141"/>
      <c r="AB212" s="208">
        <v>553</v>
      </c>
    </row>
    <row r="213" spans="1:28" ht="12.6" customHeight="1" x14ac:dyDescent="0.2">
      <c r="A213" s="20"/>
      <c r="B213" s="945" t="s">
        <v>716</v>
      </c>
      <c r="C213" s="1090"/>
      <c r="D213" s="1090"/>
      <c r="E213" s="1090"/>
      <c r="F213" s="466">
        <f>7.391*X2</f>
        <v>6932.7579999999998</v>
      </c>
      <c r="G213" s="358">
        <f t="shared" ref="G213" si="465">+F213*$X$1</f>
        <v>6932.7579999999998</v>
      </c>
      <c r="H213" s="665">
        <f>F213+410</f>
        <v>7342.7579999999998</v>
      </c>
      <c r="I213" s="330">
        <f>+H213*$X$1</f>
        <v>7342.7579999999998</v>
      </c>
      <c r="J213" s="665">
        <f>F213+360</f>
        <v>7292.7579999999998</v>
      </c>
      <c r="K213" s="330">
        <f>+J213*$X$1</f>
        <v>7292.7579999999998</v>
      </c>
      <c r="L213" s="665">
        <f>F213+330</f>
        <v>7262.7579999999998</v>
      </c>
      <c r="M213" s="330">
        <f t="shared" ref="M213" si="466">+L213*$X$1</f>
        <v>7262.7579999999998</v>
      </c>
      <c r="N213" s="665">
        <f>F213+290</f>
        <v>7222.7579999999998</v>
      </c>
      <c r="O213" s="330">
        <f t="shared" ref="O213" si="467">+N213*$X$1</f>
        <v>7222.7579999999998</v>
      </c>
      <c r="P213" s="665">
        <f>F213+240</f>
        <v>7172.7579999999998</v>
      </c>
      <c r="Q213" s="330">
        <f t="shared" ref="Q213" si="468">+P213*$X$1</f>
        <v>7172.7579999999998</v>
      </c>
      <c r="R213" s="665">
        <f>F213+220</f>
        <v>7152.7579999999998</v>
      </c>
      <c r="S213" s="330">
        <f t="shared" ref="S213" si="469">+R213*$X$1</f>
        <v>7152.7579999999998</v>
      </c>
      <c r="T213" s="108">
        <f>F213+200</f>
        <v>7132.7579999999998</v>
      </c>
      <c r="U213" s="293">
        <f t="shared" ref="U213" si="470">+T213*$X$1</f>
        <v>7132.7579999999998</v>
      </c>
      <c r="V213" s="108">
        <f>F213+170</f>
        <v>7102.7579999999998</v>
      </c>
      <c r="W213" s="293">
        <f t="shared" ref="W213" si="471">+V213*$X$1</f>
        <v>7102.7579999999998</v>
      </c>
      <c r="X213" s="161"/>
      <c r="Y213" s="161"/>
      <c r="Z213" s="161"/>
      <c r="AA213" s="161"/>
      <c r="AB213" s="208">
        <v>616</v>
      </c>
    </row>
    <row r="214" spans="1:28" ht="12.6" customHeight="1" x14ac:dyDescent="0.2">
      <c r="A214" s="20"/>
      <c r="B214" s="1142" t="s">
        <v>416</v>
      </c>
      <c r="C214" s="1143"/>
      <c r="D214" s="1143"/>
      <c r="E214" s="1143"/>
      <c r="F214" s="393">
        <v>180</v>
      </c>
      <c r="G214" s="393">
        <f t="shared" ref="G214:G217" si="472">+F214*$X$1</f>
        <v>180</v>
      </c>
      <c r="H214" s="328"/>
      <c r="I214" s="402"/>
      <c r="J214" s="109">
        <f>F214+120</f>
        <v>300</v>
      </c>
      <c r="K214" s="393">
        <f>+J214*$X$1</f>
        <v>300</v>
      </c>
      <c r="L214" s="566">
        <f>F214+80</f>
        <v>260</v>
      </c>
      <c r="M214" s="393">
        <f t="shared" ref="M214:M221" si="473">+L214*$X$1</f>
        <v>260</v>
      </c>
      <c r="N214" s="566">
        <f t="shared" ref="N214:N221" si="474">F214+46</f>
        <v>226</v>
      </c>
      <c r="O214" s="393">
        <f t="shared" ref="O214" si="475">+N214*$X$1</f>
        <v>226</v>
      </c>
      <c r="P214" s="566"/>
      <c r="Q214" s="566"/>
      <c r="R214" s="566"/>
      <c r="S214" s="566"/>
      <c r="T214" s="566"/>
      <c r="U214" s="566"/>
      <c r="V214" s="109"/>
      <c r="W214" s="109"/>
      <c r="X214" s="161"/>
      <c r="Y214" s="161"/>
      <c r="Z214" s="161"/>
      <c r="AA214" s="161"/>
      <c r="AB214" s="208">
        <v>618</v>
      </c>
    </row>
    <row r="215" spans="1:28" ht="12.6" customHeight="1" x14ac:dyDescent="0.2">
      <c r="A215" s="111"/>
      <c r="B215" s="943" t="s">
        <v>556</v>
      </c>
      <c r="C215" s="944"/>
      <c r="D215" s="944"/>
      <c r="E215" s="944"/>
      <c r="F215" s="393">
        <v>500</v>
      </c>
      <c r="G215" s="393">
        <f t="shared" si="472"/>
        <v>500</v>
      </c>
      <c r="H215" s="581"/>
      <c r="I215" s="393"/>
      <c r="J215" s="328"/>
      <c r="K215" s="402"/>
      <c r="L215" s="581">
        <f>F215+90</f>
        <v>590</v>
      </c>
      <c r="M215" s="393">
        <f t="shared" si="473"/>
        <v>590</v>
      </c>
      <c r="N215" s="581"/>
      <c r="O215" s="393"/>
      <c r="P215" s="581">
        <f>F215+5.1</f>
        <v>505.1</v>
      </c>
      <c r="Q215" s="1104" t="s">
        <v>153</v>
      </c>
      <c r="R215" s="1105"/>
      <c r="S215" s="1105"/>
      <c r="T215" s="1105"/>
      <c r="U215" s="1105"/>
      <c r="V215" s="1105"/>
      <c r="W215" s="1105"/>
      <c r="X215" s="142"/>
      <c r="Y215" s="161"/>
      <c r="Z215" s="161"/>
      <c r="AA215" s="161"/>
      <c r="AB215" s="208">
        <v>621</v>
      </c>
    </row>
    <row r="216" spans="1:28" ht="12.6" customHeight="1" x14ac:dyDescent="0.2">
      <c r="A216" s="23"/>
      <c r="B216" s="696" t="s">
        <v>204</v>
      </c>
      <c r="C216" s="704"/>
      <c r="D216" s="704"/>
      <c r="E216" s="704"/>
      <c r="F216" s="460">
        <f>2.93*X2</f>
        <v>2748.34</v>
      </c>
      <c r="G216" s="330">
        <f>+F216*$X$1</f>
        <v>2748.34</v>
      </c>
      <c r="H216" s="370"/>
      <c r="I216" s="403"/>
      <c r="J216" s="368">
        <f t="shared" ref="J216:J221" si="476">F216+120</f>
        <v>2868.34</v>
      </c>
      <c r="K216" s="330">
        <f t="shared" ref="K216:K222" si="477">+J216*$X$1</f>
        <v>2868.34</v>
      </c>
      <c r="L216" s="368">
        <f t="shared" ref="L216:L221" si="478">F216+74</f>
        <v>2822.34</v>
      </c>
      <c r="M216" s="330">
        <f t="shared" si="473"/>
        <v>2822.34</v>
      </c>
      <c r="N216" s="368">
        <f t="shared" si="474"/>
        <v>2794.34</v>
      </c>
      <c r="O216" s="330">
        <f t="shared" ref="O216:O221" si="479">+N216*$X$1</f>
        <v>2794.34</v>
      </c>
      <c r="P216" s="368">
        <f t="shared" ref="P216:P221" si="480">F216+42</f>
        <v>2790.34</v>
      </c>
      <c r="Q216" s="330">
        <f t="shared" ref="Q216:Q221" si="481">+P216*$X$1</f>
        <v>2790.34</v>
      </c>
      <c r="R216" s="368">
        <f t="shared" ref="R216:R221" si="482">F216+35</f>
        <v>2783.34</v>
      </c>
      <c r="S216" s="330">
        <f t="shared" ref="S216:S221" si="483">+R216*$X$1</f>
        <v>2783.34</v>
      </c>
      <c r="T216" s="108">
        <f t="shared" ref="T216:T221" si="484">F216+29</f>
        <v>2777.34</v>
      </c>
      <c r="U216" s="293">
        <f t="shared" ref="U216:U221" si="485">+T216*$X$1</f>
        <v>2777.34</v>
      </c>
      <c r="V216" s="108">
        <f t="shared" ref="V216:V221" si="486">F216+24</f>
        <v>2772.34</v>
      </c>
      <c r="W216" s="293">
        <f t="shared" ref="W216:W221" si="487">+V216*$X$1</f>
        <v>2772.34</v>
      </c>
      <c r="X216" s="161"/>
      <c r="Y216" s="170"/>
      <c r="Z216" s="161"/>
      <c r="AA216" s="161"/>
      <c r="AB216" s="208">
        <v>624</v>
      </c>
    </row>
    <row r="217" spans="1:28" ht="12.6" customHeight="1" x14ac:dyDescent="0.2">
      <c r="A217" s="23"/>
      <c r="B217" s="905" t="s">
        <v>205</v>
      </c>
      <c r="C217" s="927"/>
      <c r="D217" s="927"/>
      <c r="E217" s="927"/>
      <c r="F217" s="461">
        <f>5.057*X2</f>
        <v>4743.4660000000003</v>
      </c>
      <c r="G217" s="331">
        <f t="shared" si="472"/>
        <v>4743.4660000000003</v>
      </c>
      <c r="H217" s="329"/>
      <c r="I217" s="404"/>
      <c r="J217" s="565">
        <f t="shared" si="476"/>
        <v>4863.4660000000003</v>
      </c>
      <c r="K217" s="331">
        <f t="shared" si="477"/>
        <v>4863.4660000000003</v>
      </c>
      <c r="L217" s="565">
        <f t="shared" si="478"/>
        <v>4817.4660000000003</v>
      </c>
      <c r="M217" s="331">
        <f t="shared" si="473"/>
        <v>4817.4660000000003</v>
      </c>
      <c r="N217" s="565">
        <f t="shared" si="474"/>
        <v>4789.4660000000003</v>
      </c>
      <c r="O217" s="331">
        <f t="shared" si="479"/>
        <v>4789.4660000000003</v>
      </c>
      <c r="P217" s="565">
        <f t="shared" si="480"/>
        <v>4785.4660000000003</v>
      </c>
      <c r="Q217" s="331">
        <f t="shared" si="481"/>
        <v>4785.4660000000003</v>
      </c>
      <c r="R217" s="565">
        <f t="shared" si="482"/>
        <v>4778.4660000000003</v>
      </c>
      <c r="S217" s="331">
        <f t="shared" si="483"/>
        <v>4778.4660000000003</v>
      </c>
      <c r="T217" s="107">
        <f t="shared" si="484"/>
        <v>4772.4660000000003</v>
      </c>
      <c r="U217" s="356">
        <f t="shared" si="485"/>
        <v>4772.4660000000003</v>
      </c>
      <c r="V217" s="107">
        <f t="shared" si="486"/>
        <v>4767.4660000000003</v>
      </c>
      <c r="W217" s="356">
        <f t="shared" si="487"/>
        <v>4767.4660000000003</v>
      </c>
      <c r="X217" s="161"/>
      <c r="Y217" s="170"/>
      <c r="Z217" s="161"/>
      <c r="AA217" s="161"/>
      <c r="AB217" s="208" t="s">
        <v>206</v>
      </c>
    </row>
    <row r="218" spans="1:28" ht="12.6" customHeight="1" x14ac:dyDescent="0.2">
      <c r="A218" s="23"/>
      <c r="B218" s="736" t="s">
        <v>207</v>
      </c>
      <c r="C218" s="739"/>
      <c r="D218" s="739"/>
      <c r="E218" s="740"/>
      <c r="F218" s="460">
        <f>5.595*X2</f>
        <v>5248.11</v>
      </c>
      <c r="G218" s="330">
        <f t="shared" ref="G218:G223" si="488">+F218*$X$1</f>
        <v>5248.11</v>
      </c>
      <c r="H218" s="370"/>
      <c r="I218" s="403"/>
      <c r="J218" s="368">
        <f t="shared" si="476"/>
        <v>5368.11</v>
      </c>
      <c r="K218" s="330">
        <f t="shared" si="477"/>
        <v>5368.11</v>
      </c>
      <c r="L218" s="368">
        <f t="shared" si="478"/>
        <v>5322.11</v>
      </c>
      <c r="M218" s="330">
        <f t="shared" si="473"/>
        <v>5322.11</v>
      </c>
      <c r="N218" s="368">
        <f t="shared" si="474"/>
        <v>5294.11</v>
      </c>
      <c r="O218" s="330">
        <f t="shared" si="479"/>
        <v>5294.11</v>
      </c>
      <c r="P218" s="368">
        <f t="shared" si="480"/>
        <v>5290.11</v>
      </c>
      <c r="Q218" s="330">
        <f t="shared" si="481"/>
        <v>5290.11</v>
      </c>
      <c r="R218" s="368">
        <f t="shared" si="482"/>
        <v>5283.11</v>
      </c>
      <c r="S218" s="330">
        <f t="shared" si="483"/>
        <v>5283.11</v>
      </c>
      <c r="T218" s="108">
        <f t="shared" si="484"/>
        <v>5277.11</v>
      </c>
      <c r="U218" s="293">
        <f t="shared" si="485"/>
        <v>5277.11</v>
      </c>
      <c r="V218" s="108">
        <f t="shared" si="486"/>
        <v>5272.11</v>
      </c>
      <c r="W218" s="293">
        <f t="shared" si="487"/>
        <v>5272.11</v>
      </c>
      <c r="X218" s="161"/>
      <c r="Y218" s="170"/>
      <c r="Z218" s="161"/>
      <c r="AA218" s="161"/>
      <c r="AB218" s="208">
        <v>629</v>
      </c>
    </row>
    <row r="219" spans="1:28" ht="12.6" customHeight="1" x14ac:dyDescent="0.2">
      <c r="A219" s="23"/>
      <c r="B219" s="698" t="s">
        <v>478</v>
      </c>
      <c r="C219" s="693"/>
      <c r="D219" s="693"/>
      <c r="E219" s="694"/>
      <c r="F219" s="461">
        <f>10.631*X2</f>
        <v>9971.8780000000006</v>
      </c>
      <c r="G219" s="331">
        <f t="shared" si="488"/>
        <v>9971.8780000000006</v>
      </c>
      <c r="H219" s="329"/>
      <c r="I219" s="404"/>
      <c r="J219" s="565">
        <f t="shared" si="476"/>
        <v>10091.878000000001</v>
      </c>
      <c r="K219" s="331">
        <f t="shared" si="477"/>
        <v>10091.878000000001</v>
      </c>
      <c r="L219" s="565">
        <f t="shared" si="478"/>
        <v>10045.878000000001</v>
      </c>
      <c r="M219" s="331">
        <f t="shared" si="473"/>
        <v>10045.878000000001</v>
      </c>
      <c r="N219" s="565">
        <f t="shared" si="474"/>
        <v>10017.878000000001</v>
      </c>
      <c r="O219" s="331">
        <f t="shared" si="479"/>
        <v>10017.878000000001</v>
      </c>
      <c r="P219" s="565">
        <f t="shared" si="480"/>
        <v>10013.878000000001</v>
      </c>
      <c r="Q219" s="331">
        <f t="shared" si="481"/>
        <v>10013.878000000001</v>
      </c>
      <c r="R219" s="565">
        <f t="shared" si="482"/>
        <v>10006.878000000001</v>
      </c>
      <c r="S219" s="331">
        <f t="shared" si="483"/>
        <v>10006.878000000001</v>
      </c>
      <c r="T219" s="107">
        <f t="shared" si="484"/>
        <v>10000.878000000001</v>
      </c>
      <c r="U219" s="356">
        <f t="shared" si="485"/>
        <v>10000.878000000001</v>
      </c>
      <c r="V219" s="107">
        <f t="shared" si="486"/>
        <v>9995.8780000000006</v>
      </c>
      <c r="W219" s="356">
        <f t="shared" si="487"/>
        <v>9995.8780000000006</v>
      </c>
      <c r="X219" s="161"/>
      <c r="Y219" s="170"/>
      <c r="Z219" s="161"/>
      <c r="AA219" s="161"/>
      <c r="AB219" s="208">
        <v>630</v>
      </c>
    </row>
    <row r="220" spans="1:28" ht="12.6" customHeight="1" x14ac:dyDescent="0.2">
      <c r="A220" s="23"/>
      <c r="B220" s="736" t="s">
        <v>619</v>
      </c>
      <c r="C220" s="739"/>
      <c r="D220" s="739"/>
      <c r="E220" s="740"/>
      <c r="F220" s="460">
        <f>1.326*X2</f>
        <v>1243.788</v>
      </c>
      <c r="G220" s="332">
        <f t="shared" ref="G220" si="489">+F220*$X$1</f>
        <v>1243.788</v>
      </c>
      <c r="H220" s="370"/>
      <c r="I220" s="412"/>
      <c r="J220" s="368">
        <f t="shared" si="476"/>
        <v>1363.788</v>
      </c>
      <c r="K220" s="330">
        <f t="shared" si="477"/>
        <v>1363.788</v>
      </c>
      <c r="L220" s="368">
        <f t="shared" si="478"/>
        <v>1317.788</v>
      </c>
      <c r="M220" s="330">
        <f t="shared" si="473"/>
        <v>1317.788</v>
      </c>
      <c r="N220" s="368">
        <f t="shared" si="474"/>
        <v>1289.788</v>
      </c>
      <c r="O220" s="330">
        <f t="shared" si="479"/>
        <v>1289.788</v>
      </c>
      <c r="P220" s="368">
        <f t="shared" si="480"/>
        <v>1285.788</v>
      </c>
      <c r="Q220" s="330">
        <f t="shared" si="481"/>
        <v>1285.788</v>
      </c>
      <c r="R220" s="368">
        <f t="shared" si="482"/>
        <v>1278.788</v>
      </c>
      <c r="S220" s="330">
        <f t="shared" si="483"/>
        <v>1278.788</v>
      </c>
      <c r="T220" s="108">
        <f t="shared" si="484"/>
        <v>1272.788</v>
      </c>
      <c r="U220" s="293">
        <f t="shared" si="485"/>
        <v>1272.788</v>
      </c>
      <c r="V220" s="108">
        <f t="shared" si="486"/>
        <v>1267.788</v>
      </c>
      <c r="W220" s="293">
        <f t="shared" si="487"/>
        <v>1267.788</v>
      </c>
      <c r="X220" s="161"/>
      <c r="Y220" s="170"/>
      <c r="Z220" s="161"/>
      <c r="AA220" s="161"/>
      <c r="AB220" s="208">
        <v>631</v>
      </c>
    </row>
    <row r="221" spans="1:28" ht="12.6" customHeight="1" x14ac:dyDescent="0.2">
      <c r="A221" s="23"/>
      <c r="B221" s="698" t="s">
        <v>577</v>
      </c>
      <c r="C221" s="693"/>
      <c r="D221" s="693"/>
      <c r="E221" s="694"/>
      <c r="F221" s="461">
        <f>1.352*X2</f>
        <v>1268.1760000000002</v>
      </c>
      <c r="G221" s="333">
        <f t="shared" si="488"/>
        <v>1268.1760000000002</v>
      </c>
      <c r="H221" s="329"/>
      <c r="I221" s="413"/>
      <c r="J221" s="565">
        <f t="shared" si="476"/>
        <v>1388.1760000000002</v>
      </c>
      <c r="K221" s="331">
        <f t="shared" si="477"/>
        <v>1388.1760000000002</v>
      </c>
      <c r="L221" s="565">
        <f t="shared" si="478"/>
        <v>1342.1760000000002</v>
      </c>
      <c r="M221" s="331">
        <f t="shared" si="473"/>
        <v>1342.1760000000002</v>
      </c>
      <c r="N221" s="565">
        <f t="shared" si="474"/>
        <v>1314.1760000000002</v>
      </c>
      <c r="O221" s="331">
        <f t="shared" si="479"/>
        <v>1314.1760000000002</v>
      </c>
      <c r="P221" s="565">
        <f t="shared" si="480"/>
        <v>1310.1760000000002</v>
      </c>
      <c r="Q221" s="331">
        <f t="shared" si="481"/>
        <v>1310.1760000000002</v>
      </c>
      <c r="R221" s="565">
        <f t="shared" si="482"/>
        <v>1303.1760000000002</v>
      </c>
      <c r="S221" s="331">
        <f t="shared" si="483"/>
        <v>1303.1760000000002</v>
      </c>
      <c r="T221" s="107">
        <f t="shared" si="484"/>
        <v>1297.1760000000002</v>
      </c>
      <c r="U221" s="356">
        <f t="shared" si="485"/>
        <v>1297.1760000000002</v>
      </c>
      <c r="V221" s="107">
        <f t="shared" si="486"/>
        <v>1292.1760000000002</v>
      </c>
      <c r="W221" s="356">
        <f t="shared" si="487"/>
        <v>1292.1760000000002</v>
      </c>
      <c r="X221" s="161"/>
      <c r="Y221" s="170"/>
      <c r="Z221" s="161"/>
      <c r="AA221" s="161"/>
      <c r="AB221" s="208">
        <v>640</v>
      </c>
    </row>
    <row r="222" spans="1:28" ht="12.6" customHeight="1" x14ac:dyDescent="0.2">
      <c r="A222" s="23"/>
      <c r="B222" s="736" t="s">
        <v>599</v>
      </c>
      <c r="C222" s="739"/>
      <c r="D222" s="739"/>
      <c r="E222" s="740"/>
      <c r="F222" s="460">
        <f>21.95*X2</f>
        <v>20589.099999999999</v>
      </c>
      <c r="G222" s="332">
        <f t="shared" si="488"/>
        <v>20589.099999999999</v>
      </c>
      <c r="H222" s="368">
        <f>F222+250</f>
        <v>20839.099999999999</v>
      </c>
      <c r="I222" s="330">
        <f t="shared" ref="I222" si="490">+H222*$X$1</f>
        <v>20839.099999999999</v>
      </c>
      <c r="J222" s="368">
        <f>F222+80</f>
        <v>20669.099999999999</v>
      </c>
      <c r="K222" s="330">
        <f t="shared" si="477"/>
        <v>20669.099999999999</v>
      </c>
      <c r="L222" s="368"/>
      <c r="M222" s="330"/>
      <c r="N222" s="368"/>
      <c r="O222" s="330"/>
      <c r="P222" s="368"/>
      <c r="Q222" s="330"/>
      <c r="R222" s="368"/>
      <c r="S222" s="330"/>
      <c r="T222" s="368"/>
      <c r="U222" s="330"/>
      <c r="V222" s="368"/>
      <c r="W222" s="330"/>
      <c r="X222" s="161"/>
      <c r="Y222" s="170"/>
      <c r="Z222" s="161"/>
      <c r="AA222" s="161"/>
      <c r="AB222" s="208">
        <v>672</v>
      </c>
    </row>
    <row r="223" spans="1:28" ht="12.6" customHeight="1" x14ac:dyDescent="0.2">
      <c r="A223" s="20"/>
      <c r="B223" s="679" t="s">
        <v>208</v>
      </c>
      <c r="C223" s="695"/>
      <c r="D223" s="695"/>
      <c r="E223" s="695"/>
      <c r="F223" s="461">
        <f>6.848*X2</f>
        <v>6423.424</v>
      </c>
      <c r="G223" s="331">
        <f t="shared" si="488"/>
        <v>6423.424</v>
      </c>
      <c r="H223" s="565">
        <f>F223+250</f>
        <v>6673.424</v>
      </c>
      <c r="I223" s="331">
        <f t="shared" ref="I223" si="491">+H223*$X$1</f>
        <v>6673.424</v>
      </c>
      <c r="J223" s="565">
        <f>F223+80</f>
        <v>6503.424</v>
      </c>
      <c r="K223" s="331">
        <f t="shared" ref="K223" si="492">+J223*$X$1</f>
        <v>6503.424</v>
      </c>
      <c r="L223" s="565">
        <f>F223+60</f>
        <v>6483.424</v>
      </c>
      <c r="M223" s="331">
        <f t="shared" ref="M223" si="493">+L223*$X$1</f>
        <v>6483.424</v>
      </c>
      <c r="N223" s="565">
        <f>F223+40</f>
        <v>6463.424</v>
      </c>
      <c r="O223" s="331">
        <f t="shared" ref="O223" si="494">+N223*$X$1</f>
        <v>6463.424</v>
      </c>
      <c r="P223" s="565">
        <f>F223+37</f>
        <v>6460.424</v>
      </c>
      <c r="Q223" s="331">
        <f t="shared" ref="Q223" si="495">+P223*$X$1</f>
        <v>6460.424</v>
      </c>
      <c r="R223" s="565">
        <f>F223+33</f>
        <v>6456.424</v>
      </c>
      <c r="S223" s="331">
        <f t="shared" ref="S223" si="496">+R223*$X$1</f>
        <v>6456.424</v>
      </c>
      <c r="T223" s="565">
        <f t="shared" ref="T223:T233" si="497">F223+29</f>
        <v>6452.424</v>
      </c>
      <c r="U223" s="331">
        <f t="shared" ref="U223:U224" si="498">+T223*$X$1</f>
        <v>6452.424</v>
      </c>
      <c r="V223" s="565">
        <f t="shared" ref="V223:V233" si="499">F223+24</f>
        <v>6447.424</v>
      </c>
      <c r="W223" s="331">
        <f t="shared" ref="W223:W224" si="500">+V223*$X$1</f>
        <v>6447.424</v>
      </c>
      <c r="X223" s="710"/>
      <c r="Y223" s="711"/>
      <c r="Z223" s="711"/>
      <c r="AA223" s="712"/>
      <c r="AB223" s="208">
        <v>705</v>
      </c>
    </row>
    <row r="224" spans="1:28" ht="12.6" customHeight="1" x14ac:dyDescent="0.2">
      <c r="A224" s="20"/>
      <c r="B224" s="696" t="s">
        <v>593</v>
      </c>
      <c r="C224" s="697"/>
      <c r="D224" s="697"/>
      <c r="E224" s="697"/>
      <c r="F224" s="384">
        <v>7920</v>
      </c>
      <c r="G224" s="330">
        <f t="shared" ref="G224" si="501">+F224*$X$1</f>
        <v>7920</v>
      </c>
      <c r="H224" s="368">
        <f t="shared" ref="H224:H233" si="502">F224+290</f>
        <v>8210</v>
      </c>
      <c r="I224" s="330">
        <f t="shared" ref="I224:I233" si="503">+H224*$X$1</f>
        <v>8210</v>
      </c>
      <c r="J224" s="368">
        <f t="shared" ref="J224:J233" si="504">F224+120</f>
        <v>8040</v>
      </c>
      <c r="K224" s="330">
        <f t="shared" ref="K224" si="505">+J224*$X$1</f>
        <v>8040</v>
      </c>
      <c r="L224" s="368">
        <f t="shared" ref="L224:L233" si="506">F224+74</f>
        <v>7994</v>
      </c>
      <c r="M224" s="330">
        <f t="shared" ref="M224" si="507">+L224*$X$1</f>
        <v>7994</v>
      </c>
      <c r="N224" s="368">
        <f t="shared" ref="N224:N233" si="508">F224+46</f>
        <v>7966</v>
      </c>
      <c r="O224" s="330">
        <f t="shared" ref="O224" si="509">+N224*$X$1</f>
        <v>7966</v>
      </c>
      <c r="P224" s="368">
        <f t="shared" ref="P224:P233" si="510">F224+42</f>
        <v>7962</v>
      </c>
      <c r="Q224" s="330">
        <f t="shared" ref="Q224" si="511">+P224*$X$1</f>
        <v>7962</v>
      </c>
      <c r="R224" s="368">
        <f t="shared" ref="R224:R233" si="512">F224+35</f>
        <v>7955</v>
      </c>
      <c r="S224" s="330">
        <f t="shared" ref="S224" si="513">+R224*$X$1</f>
        <v>7955</v>
      </c>
      <c r="T224" s="108">
        <f t="shared" si="497"/>
        <v>7949</v>
      </c>
      <c r="U224" s="293">
        <f t="shared" si="498"/>
        <v>7949</v>
      </c>
      <c r="V224" s="108">
        <f t="shared" si="499"/>
        <v>7944</v>
      </c>
      <c r="W224" s="293">
        <f t="shared" si="500"/>
        <v>7944</v>
      </c>
      <c r="X224" s="686"/>
      <c r="Y224" s="687"/>
      <c r="Z224" s="687"/>
      <c r="AA224" s="688"/>
      <c r="AB224" s="208">
        <v>815</v>
      </c>
    </row>
    <row r="225" spans="1:34" ht="12.6" customHeight="1" x14ac:dyDescent="0.2">
      <c r="A225" s="20"/>
      <c r="B225" s="679" t="s">
        <v>592</v>
      </c>
      <c r="C225" s="695"/>
      <c r="D225" s="695"/>
      <c r="E225" s="695"/>
      <c r="F225" s="383">
        <v>14165</v>
      </c>
      <c r="G225" s="331">
        <f t="shared" ref="G225" si="514">+F225*$X$1</f>
        <v>14165</v>
      </c>
      <c r="H225" s="565">
        <f t="shared" si="502"/>
        <v>14455</v>
      </c>
      <c r="I225" s="331">
        <f t="shared" si="503"/>
        <v>14455</v>
      </c>
      <c r="J225" s="565">
        <f t="shared" si="504"/>
        <v>14285</v>
      </c>
      <c r="K225" s="331">
        <f t="shared" ref="K225:K233" si="515">+J225*$X$1</f>
        <v>14285</v>
      </c>
      <c r="L225" s="565">
        <f t="shared" si="506"/>
        <v>14239</v>
      </c>
      <c r="M225" s="331">
        <f t="shared" ref="M225:M233" si="516">+L225*$X$1</f>
        <v>14239</v>
      </c>
      <c r="N225" s="565">
        <f t="shared" si="508"/>
        <v>14211</v>
      </c>
      <c r="O225" s="331">
        <f t="shared" ref="O225:O233" si="517">+N225*$X$1</f>
        <v>14211</v>
      </c>
      <c r="P225" s="565">
        <f t="shared" si="510"/>
        <v>14207</v>
      </c>
      <c r="Q225" s="331">
        <f t="shared" ref="Q225:Q233" si="518">+P225*$X$1</f>
        <v>14207</v>
      </c>
      <c r="R225" s="565">
        <f t="shared" si="512"/>
        <v>14200</v>
      </c>
      <c r="S225" s="331">
        <f t="shared" ref="S225:S233" si="519">+R225*$X$1</f>
        <v>14200</v>
      </c>
      <c r="T225" s="107">
        <f t="shared" si="497"/>
        <v>14194</v>
      </c>
      <c r="U225" s="356">
        <f t="shared" ref="U225:U233" si="520">+T225*$X$1</f>
        <v>14194</v>
      </c>
      <c r="V225" s="107">
        <f t="shared" si="499"/>
        <v>14189</v>
      </c>
      <c r="W225" s="356">
        <f t="shared" ref="W225:W233" si="521">+V225*$X$1</f>
        <v>14189</v>
      </c>
      <c r="X225" s="686"/>
      <c r="Y225" s="687"/>
      <c r="Z225" s="687"/>
      <c r="AA225" s="688"/>
      <c r="AB225" s="208">
        <v>819</v>
      </c>
    </row>
    <row r="226" spans="1:34" ht="12.6" customHeight="1" x14ac:dyDescent="0.2">
      <c r="A226" s="20"/>
      <c r="B226" s="696" t="s">
        <v>810</v>
      </c>
      <c r="C226" s="697"/>
      <c r="D226" s="697"/>
      <c r="E226" s="697"/>
      <c r="F226" s="460">
        <f>7.8*X2</f>
        <v>7316.4</v>
      </c>
      <c r="G226" s="330">
        <f>+F226*$X$1</f>
        <v>7316.4</v>
      </c>
      <c r="H226" s="368">
        <f t="shared" si="502"/>
        <v>7606.4</v>
      </c>
      <c r="I226" s="330">
        <f t="shared" si="503"/>
        <v>7606.4</v>
      </c>
      <c r="J226" s="368">
        <f t="shared" si="504"/>
        <v>7436.4</v>
      </c>
      <c r="K226" s="330">
        <f t="shared" si="515"/>
        <v>7436.4</v>
      </c>
      <c r="L226" s="368">
        <f t="shared" si="506"/>
        <v>7390.4</v>
      </c>
      <c r="M226" s="330">
        <f t="shared" si="516"/>
        <v>7390.4</v>
      </c>
      <c r="N226" s="368">
        <f t="shared" si="508"/>
        <v>7362.4</v>
      </c>
      <c r="O226" s="330">
        <f t="shared" si="517"/>
        <v>7362.4</v>
      </c>
      <c r="P226" s="368">
        <f t="shared" si="510"/>
        <v>7358.4</v>
      </c>
      <c r="Q226" s="330">
        <f t="shared" si="518"/>
        <v>7358.4</v>
      </c>
      <c r="R226" s="368">
        <f t="shared" si="512"/>
        <v>7351.4</v>
      </c>
      <c r="S226" s="330">
        <f t="shared" si="519"/>
        <v>7351.4</v>
      </c>
      <c r="T226" s="108">
        <f t="shared" si="497"/>
        <v>7345.4</v>
      </c>
      <c r="U226" s="293">
        <f t="shared" si="520"/>
        <v>7345.4</v>
      </c>
      <c r="V226" s="108">
        <f t="shared" si="499"/>
        <v>7340.4</v>
      </c>
      <c r="W226" s="293">
        <f t="shared" si="521"/>
        <v>7340.4</v>
      </c>
      <c r="X226" s="686"/>
      <c r="Y226" s="687"/>
      <c r="Z226" s="687"/>
      <c r="AA226" s="688"/>
      <c r="AB226" s="208">
        <v>821</v>
      </c>
    </row>
    <row r="227" spans="1:34" ht="12.6" customHeight="1" x14ac:dyDescent="0.2">
      <c r="A227" s="20"/>
      <c r="B227" s="679" t="s">
        <v>586</v>
      </c>
      <c r="C227" s="695"/>
      <c r="D227" s="695"/>
      <c r="E227" s="695"/>
      <c r="F227" s="383">
        <v>11260</v>
      </c>
      <c r="G227" s="331">
        <f t="shared" ref="G227:G230" si="522">+F227*$X$1</f>
        <v>11260</v>
      </c>
      <c r="H227" s="582">
        <f t="shared" si="502"/>
        <v>11550</v>
      </c>
      <c r="I227" s="331">
        <f t="shared" si="503"/>
        <v>11550</v>
      </c>
      <c r="J227" s="582">
        <f t="shared" si="504"/>
        <v>11380</v>
      </c>
      <c r="K227" s="331">
        <f t="shared" si="515"/>
        <v>11380</v>
      </c>
      <c r="L227" s="582">
        <f t="shared" si="506"/>
        <v>11334</v>
      </c>
      <c r="M227" s="331">
        <f t="shared" si="516"/>
        <v>11334</v>
      </c>
      <c r="N227" s="582">
        <f t="shared" si="508"/>
        <v>11306</v>
      </c>
      <c r="O227" s="331">
        <f t="shared" si="517"/>
        <v>11306</v>
      </c>
      <c r="P227" s="582">
        <f t="shared" si="510"/>
        <v>11302</v>
      </c>
      <c r="Q227" s="331">
        <f t="shared" si="518"/>
        <v>11302</v>
      </c>
      <c r="R227" s="582">
        <f t="shared" si="512"/>
        <v>11295</v>
      </c>
      <c r="S227" s="331">
        <f t="shared" si="519"/>
        <v>11295</v>
      </c>
      <c r="T227" s="107">
        <f t="shared" si="497"/>
        <v>11289</v>
      </c>
      <c r="U227" s="356">
        <f t="shared" si="520"/>
        <v>11289</v>
      </c>
      <c r="V227" s="107">
        <f t="shared" si="499"/>
        <v>11284</v>
      </c>
      <c r="W227" s="356">
        <f t="shared" si="521"/>
        <v>11284</v>
      </c>
      <c r="X227" s="686"/>
      <c r="Y227" s="687"/>
      <c r="Z227" s="687"/>
      <c r="AA227" s="688"/>
      <c r="AB227" s="208">
        <v>823</v>
      </c>
    </row>
    <row r="228" spans="1:34" ht="12.6" customHeight="1" x14ac:dyDescent="0.2">
      <c r="A228" s="20"/>
      <c r="B228" s="696" t="s">
        <v>804</v>
      </c>
      <c r="C228" s="697"/>
      <c r="D228" s="697"/>
      <c r="E228" s="697"/>
      <c r="F228" s="460">
        <f>7.5*X2</f>
        <v>7035</v>
      </c>
      <c r="G228" s="330">
        <f>+F228*$X$1</f>
        <v>7035</v>
      </c>
      <c r="H228" s="368">
        <f t="shared" si="502"/>
        <v>7325</v>
      </c>
      <c r="I228" s="330">
        <f t="shared" si="503"/>
        <v>7325</v>
      </c>
      <c r="J228" s="368">
        <f t="shared" si="504"/>
        <v>7155</v>
      </c>
      <c r="K228" s="330">
        <f t="shared" si="515"/>
        <v>7155</v>
      </c>
      <c r="L228" s="368">
        <f t="shared" si="506"/>
        <v>7109</v>
      </c>
      <c r="M228" s="330">
        <f t="shared" si="516"/>
        <v>7109</v>
      </c>
      <c r="N228" s="368">
        <f t="shared" si="508"/>
        <v>7081</v>
      </c>
      <c r="O228" s="330">
        <f t="shared" si="517"/>
        <v>7081</v>
      </c>
      <c r="P228" s="368">
        <f t="shared" si="510"/>
        <v>7077</v>
      </c>
      <c r="Q228" s="330">
        <f t="shared" si="518"/>
        <v>7077</v>
      </c>
      <c r="R228" s="368">
        <f t="shared" si="512"/>
        <v>7070</v>
      </c>
      <c r="S228" s="330">
        <f t="shared" si="519"/>
        <v>7070</v>
      </c>
      <c r="T228" s="108">
        <f t="shared" si="497"/>
        <v>7064</v>
      </c>
      <c r="U228" s="293">
        <f t="shared" si="520"/>
        <v>7064</v>
      </c>
      <c r="V228" s="108">
        <f t="shared" si="499"/>
        <v>7059</v>
      </c>
      <c r="W228" s="293">
        <f t="shared" si="521"/>
        <v>7059</v>
      </c>
      <c r="X228" s="686"/>
      <c r="Y228" s="687"/>
      <c r="Z228" s="687"/>
      <c r="AA228" s="688"/>
      <c r="AB228" s="208">
        <v>826</v>
      </c>
    </row>
    <row r="229" spans="1:34" ht="12.6" customHeight="1" x14ac:dyDescent="0.2">
      <c r="A229" s="20"/>
      <c r="B229" s="679" t="s">
        <v>805</v>
      </c>
      <c r="C229" s="695"/>
      <c r="D229" s="695"/>
      <c r="E229" s="695"/>
      <c r="F229" s="461">
        <f>8.781*X2</f>
        <v>8236.5780000000013</v>
      </c>
      <c r="G229" s="331">
        <f>+F229*$X$1</f>
        <v>8236.5780000000013</v>
      </c>
      <c r="H229" s="582">
        <f t="shared" ref="H229" si="523">F229+290</f>
        <v>8526.5780000000013</v>
      </c>
      <c r="I229" s="331">
        <f t="shared" ref="I229" si="524">+H229*$X$1</f>
        <v>8526.5780000000013</v>
      </c>
      <c r="J229" s="582">
        <f t="shared" ref="J229" si="525">F229+120</f>
        <v>8356.5780000000013</v>
      </c>
      <c r="K229" s="331">
        <f t="shared" ref="K229" si="526">+J229*$X$1</f>
        <v>8356.5780000000013</v>
      </c>
      <c r="L229" s="582">
        <f t="shared" ref="L229" si="527">F229+74</f>
        <v>8310.5780000000013</v>
      </c>
      <c r="M229" s="331">
        <f t="shared" ref="M229" si="528">+L229*$X$1</f>
        <v>8310.5780000000013</v>
      </c>
      <c r="N229" s="582">
        <f t="shared" ref="N229" si="529">F229+46</f>
        <v>8282.5780000000013</v>
      </c>
      <c r="O229" s="331">
        <f t="shared" ref="O229" si="530">+N229*$X$1</f>
        <v>8282.5780000000013</v>
      </c>
      <c r="P229" s="582">
        <f t="shared" ref="P229" si="531">F229+42</f>
        <v>8278.5780000000013</v>
      </c>
      <c r="Q229" s="331">
        <f t="shared" ref="Q229" si="532">+P229*$X$1</f>
        <v>8278.5780000000013</v>
      </c>
      <c r="R229" s="582">
        <f t="shared" ref="R229" si="533">F229+35</f>
        <v>8271.5780000000013</v>
      </c>
      <c r="S229" s="331">
        <f t="shared" ref="S229" si="534">+R229*$X$1</f>
        <v>8271.5780000000013</v>
      </c>
      <c r="T229" s="107">
        <f t="shared" ref="T229" si="535">F229+29</f>
        <v>8265.5780000000013</v>
      </c>
      <c r="U229" s="356">
        <f t="shared" ref="U229" si="536">+T229*$X$1</f>
        <v>8265.5780000000013</v>
      </c>
      <c r="V229" s="107">
        <f t="shared" ref="V229" si="537">F229+24</f>
        <v>8260.5780000000013</v>
      </c>
      <c r="W229" s="356">
        <f t="shared" ref="W229" si="538">+V229*$X$1</f>
        <v>8260.5780000000013</v>
      </c>
      <c r="X229" s="686"/>
      <c r="Y229" s="687"/>
      <c r="Z229" s="687"/>
      <c r="AA229" s="688"/>
      <c r="AB229" s="208">
        <v>828</v>
      </c>
    </row>
    <row r="230" spans="1:34" ht="12.6" customHeight="1" x14ac:dyDescent="0.2">
      <c r="A230" s="20"/>
      <c r="B230" s="696" t="s">
        <v>712</v>
      </c>
      <c r="C230" s="697"/>
      <c r="D230" s="697"/>
      <c r="E230" s="697"/>
      <c r="F230" s="460">
        <f>3.612*X2</f>
        <v>3388.056</v>
      </c>
      <c r="G230" s="330">
        <f t="shared" si="522"/>
        <v>3388.056</v>
      </c>
      <c r="H230" s="368">
        <f t="shared" si="502"/>
        <v>3678.056</v>
      </c>
      <c r="I230" s="330">
        <f t="shared" si="503"/>
        <v>3678.056</v>
      </c>
      <c r="J230" s="368">
        <f t="shared" si="504"/>
        <v>3508.056</v>
      </c>
      <c r="K230" s="330">
        <f t="shared" si="515"/>
        <v>3508.056</v>
      </c>
      <c r="L230" s="368">
        <f t="shared" si="506"/>
        <v>3462.056</v>
      </c>
      <c r="M230" s="330">
        <f t="shared" si="516"/>
        <v>3462.056</v>
      </c>
      <c r="N230" s="368">
        <f t="shared" si="508"/>
        <v>3434.056</v>
      </c>
      <c r="O230" s="330">
        <f t="shared" si="517"/>
        <v>3434.056</v>
      </c>
      <c r="P230" s="368">
        <f t="shared" si="510"/>
        <v>3430.056</v>
      </c>
      <c r="Q230" s="330">
        <f t="shared" si="518"/>
        <v>3430.056</v>
      </c>
      <c r="R230" s="368">
        <f t="shared" si="512"/>
        <v>3423.056</v>
      </c>
      <c r="S230" s="330">
        <f t="shared" si="519"/>
        <v>3423.056</v>
      </c>
      <c r="T230" s="108">
        <f t="shared" si="497"/>
        <v>3417.056</v>
      </c>
      <c r="U230" s="293">
        <f t="shared" si="520"/>
        <v>3417.056</v>
      </c>
      <c r="V230" s="108">
        <f t="shared" si="499"/>
        <v>3412.056</v>
      </c>
      <c r="W230" s="293">
        <f t="shared" si="521"/>
        <v>3412.056</v>
      </c>
      <c r="X230" s="686"/>
      <c r="Y230" s="687"/>
      <c r="Z230" s="687"/>
      <c r="AA230" s="688"/>
      <c r="AB230" s="208">
        <v>829</v>
      </c>
    </row>
    <row r="231" spans="1:34" ht="12.6" customHeight="1" x14ac:dyDescent="0.2">
      <c r="A231" s="20"/>
      <c r="B231" s="684" t="s">
        <v>646</v>
      </c>
      <c r="C231" s="817"/>
      <c r="D231" s="817"/>
      <c r="E231" s="817"/>
      <c r="F231" s="461">
        <f>13.042*X2</f>
        <v>12233.396000000001</v>
      </c>
      <c r="G231" s="331">
        <f t="shared" ref="G231" si="539">+F231*$X$1</f>
        <v>12233.396000000001</v>
      </c>
      <c r="H231" s="582">
        <f t="shared" si="502"/>
        <v>12523.396000000001</v>
      </c>
      <c r="I231" s="331">
        <f t="shared" si="503"/>
        <v>12523.396000000001</v>
      </c>
      <c r="J231" s="582">
        <f t="shared" si="504"/>
        <v>12353.396000000001</v>
      </c>
      <c r="K231" s="331">
        <f t="shared" si="515"/>
        <v>12353.396000000001</v>
      </c>
      <c r="L231" s="582">
        <f t="shared" si="506"/>
        <v>12307.396000000001</v>
      </c>
      <c r="M231" s="331">
        <f t="shared" si="516"/>
        <v>12307.396000000001</v>
      </c>
      <c r="N231" s="582">
        <f t="shared" si="508"/>
        <v>12279.396000000001</v>
      </c>
      <c r="O231" s="331">
        <f t="shared" si="517"/>
        <v>12279.396000000001</v>
      </c>
      <c r="P231" s="582">
        <f t="shared" si="510"/>
        <v>12275.396000000001</v>
      </c>
      <c r="Q231" s="331">
        <f t="shared" si="518"/>
        <v>12275.396000000001</v>
      </c>
      <c r="R231" s="582">
        <f t="shared" si="512"/>
        <v>12268.396000000001</v>
      </c>
      <c r="S231" s="331">
        <f t="shared" si="519"/>
        <v>12268.396000000001</v>
      </c>
      <c r="T231" s="107">
        <f t="shared" si="497"/>
        <v>12262.396000000001</v>
      </c>
      <c r="U231" s="356">
        <f t="shared" si="520"/>
        <v>12262.396000000001</v>
      </c>
      <c r="V231" s="107">
        <f t="shared" si="499"/>
        <v>12257.396000000001</v>
      </c>
      <c r="W231" s="356">
        <f t="shared" si="521"/>
        <v>12257.396000000001</v>
      </c>
      <c r="X231" s="686"/>
      <c r="Y231" s="687"/>
      <c r="Z231" s="687"/>
      <c r="AA231" s="688"/>
      <c r="AB231" s="208">
        <v>833</v>
      </c>
    </row>
    <row r="232" spans="1:34" ht="12.6" customHeight="1" x14ac:dyDescent="0.2">
      <c r="A232" s="20"/>
      <c r="B232" s="696" t="s">
        <v>707</v>
      </c>
      <c r="C232" s="697"/>
      <c r="D232" s="697"/>
      <c r="E232" s="697"/>
      <c r="F232" s="460">
        <f>9.8*X2</f>
        <v>9192.4000000000015</v>
      </c>
      <c r="G232" s="330">
        <f t="shared" ref="G232:G233" si="540">+F232*$X$1</f>
        <v>9192.4000000000015</v>
      </c>
      <c r="H232" s="368">
        <f t="shared" si="502"/>
        <v>9482.4000000000015</v>
      </c>
      <c r="I232" s="330">
        <f t="shared" si="503"/>
        <v>9482.4000000000015</v>
      </c>
      <c r="J232" s="368">
        <f t="shared" si="504"/>
        <v>9312.4000000000015</v>
      </c>
      <c r="K232" s="330">
        <f t="shared" si="515"/>
        <v>9312.4000000000015</v>
      </c>
      <c r="L232" s="368">
        <f t="shared" si="506"/>
        <v>9266.4000000000015</v>
      </c>
      <c r="M232" s="330">
        <f t="shared" si="516"/>
        <v>9266.4000000000015</v>
      </c>
      <c r="N232" s="368">
        <f t="shared" si="508"/>
        <v>9238.4000000000015</v>
      </c>
      <c r="O232" s="330">
        <f t="shared" si="517"/>
        <v>9238.4000000000015</v>
      </c>
      <c r="P232" s="368">
        <f t="shared" si="510"/>
        <v>9234.4000000000015</v>
      </c>
      <c r="Q232" s="330">
        <f t="shared" si="518"/>
        <v>9234.4000000000015</v>
      </c>
      <c r="R232" s="368">
        <f t="shared" si="512"/>
        <v>9227.4000000000015</v>
      </c>
      <c r="S232" s="330">
        <f t="shared" si="519"/>
        <v>9227.4000000000015</v>
      </c>
      <c r="T232" s="108">
        <f t="shared" si="497"/>
        <v>9221.4000000000015</v>
      </c>
      <c r="U232" s="293">
        <f t="shared" si="520"/>
        <v>9221.4000000000015</v>
      </c>
      <c r="V232" s="108">
        <f t="shared" si="499"/>
        <v>9216.4000000000015</v>
      </c>
      <c r="W232" s="293">
        <f t="shared" si="521"/>
        <v>9216.4000000000015</v>
      </c>
      <c r="X232" s="686"/>
      <c r="Y232" s="687"/>
      <c r="Z232" s="687"/>
      <c r="AA232" s="688"/>
      <c r="AB232" s="208">
        <v>834</v>
      </c>
    </row>
    <row r="233" spans="1:34" ht="12.6" customHeight="1" x14ac:dyDescent="0.2">
      <c r="A233" s="20"/>
      <c r="B233" s="679" t="s">
        <v>710</v>
      </c>
      <c r="C233" s="695"/>
      <c r="D233" s="695"/>
      <c r="E233" s="695"/>
      <c r="F233" s="461">
        <f>7.188*X2</f>
        <v>6742.3440000000001</v>
      </c>
      <c r="G233" s="331">
        <f t="shared" si="540"/>
        <v>6742.3440000000001</v>
      </c>
      <c r="H233" s="582">
        <f t="shared" si="502"/>
        <v>7032.3440000000001</v>
      </c>
      <c r="I233" s="331">
        <f t="shared" si="503"/>
        <v>7032.3440000000001</v>
      </c>
      <c r="J233" s="582">
        <f t="shared" si="504"/>
        <v>6862.3440000000001</v>
      </c>
      <c r="K233" s="331">
        <f t="shared" si="515"/>
        <v>6862.3440000000001</v>
      </c>
      <c r="L233" s="582">
        <f t="shared" si="506"/>
        <v>6816.3440000000001</v>
      </c>
      <c r="M233" s="331">
        <f t="shared" si="516"/>
        <v>6816.3440000000001</v>
      </c>
      <c r="N233" s="582">
        <f t="shared" si="508"/>
        <v>6788.3440000000001</v>
      </c>
      <c r="O233" s="331">
        <f t="shared" si="517"/>
        <v>6788.3440000000001</v>
      </c>
      <c r="P233" s="582">
        <f t="shared" si="510"/>
        <v>6784.3440000000001</v>
      </c>
      <c r="Q233" s="331">
        <f t="shared" si="518"/>
        <v>6784.3440000000001</v>
      </c>
      <c r="R233" s="582">
        <f t="shared" si="512"/>
        <v>6777.3440000000001</v>
      </c>
      <c r="S233" s="331">
        <f t="shared" si="519"/>
        <v>6777.3440000000001</v>
      </c>
      <c r="T233" s="107">
        <f t="shared" si="497"/>
        <v>6771.3440000000001</v>
      </c>
      <c r="U233" s="356">
        <f t="shared" si="520"/>
        <v>6771.3440000000001</v>
      </c>
      <c r="V233" s="107">
        <f t="shared" si="499"/>
        <v>6766.3440000000001</v>
      </c>
      <c r="W233" s="356">
        <f t="shared" si="521"/>
        <v>6766.3440000000001</v>
      </c>
      <c r="X233" s="686"/>
      <c r="Y233" s="687"/>
      <c r="Z233" s="687"/>
      <c r="AA233" s="688"/>
      <c r="AB233" s="208">
        <v>836</v>
      </c>
    </row>
    <row r="234" spans="1:34" ht="12.6" customHeight="1" x14ac:dyDescent="0.2">
      <c r="A234" s="20"/>
      <c r="B234" s="696" t="s">
        <v>706</v>
      </c>
      <c r="C234" s="697"/>
      <c r="D234" s="697"/>
      <c r="E234" s="697"/>
      <c r="F234" s="460">
        <f>4.78*X2</f>
        <v>4483.6400000000003</v>
      </c>
      <c r="G234" s="330">
        <f t="shared" ref="G234" si="541">+F234*$X$1</f>
        <v>4483.6400000000003</v>
      </c>
      <c r="H234" s="368">
        <f>F234+290</f>
        <v>4773.6400000000003</v>
      </c>
      <c r="I234" s="330">
        <f>+H234*$X$1</f>
        <v>4773.6400000000003</v>
      </c>
      <c r="J234" s="368">
        <f>F234+120</f>
        <v>4603.6400000000003</v>
      </c>
      <c r="K234" s="330">
        <f>+J234*$X$1</f>
        <v>4603.6400000000003</v>
      </c>
      <c r="L234" s="368">
        <f>F234+74</f>
        <v>4557.6400000000003</v>
      </c>
      <c r="M234" s="330">
        <f>+L234*$X$1</f>
        <v>4557.6400000000003</v>
      </c>
      <c r="N234" s="368">
        <f>F234+46</f>
        <v>4529.6400000000003</v>
      </c>
      <c r="O234" s="330">
        <f>+N234*$X$1</f>
        <v>4529.6400000000003</v>
      </c>
      <c r="P234" s="368">
        <f>F234+42</f>
        <v>4525.6400000000003</v>
      </c>
      <c r="Q234" s="330">
        <f>+P234*$X$1</f>
        <v>4525.6400000000003</v>
      </c>
      <c r="R234" s="368">
        <f>F234+35</f>
        <v>4518.6400000000003</v>
      </c>
      <c r="S234" s="330">
        <f>+R234*$X$1</f>
        <v>4518.6400000000003</v>
      </c>
      <c r="T234" s="108">
        <f>F234+29</f>
        <v>4512.6400000000003</v>
      </c>
      <c r="U234" s="293">
        <f>+T234*$X$1</f>
        <v>4512.6400000000003</v>
      </c>
      <c r="V234" s="108">
        <f>F234+24</f>
        <v>4507.6400000000003</v>
      </c>
      <c r="W234" s="293">
        <f>+V234*$X$1</f>
        <v>4507.6400000000003</v>
      </c>
      <c r="X234" s="686"/>
      <c r="Y234" s="687"/>
      <c r="Z234" s="687"/>
      <c r="AA234" s="688"/>
      <c r="AB234" s="208">
        <v>837</v>
      </c>
    </row>
    <row r="235" spans="1:34" ht="12.6" customHeight="1" x14ac:dyDescent="0.2">
      <c r="A235" s="20"/>
      <c r="B235" s="679" t="s">
        <v>564</v>
      </c>
      <c r="C235" s="695"/>
      <c r="D235" s="695"/>
      <c r="E235" s="695"/>
      <c r="F235" s="461">
        <f>8.45*X2</f>
        <v>7926.0999999999995</v>
      </c>
      <c r="G235" s="331">
        <f>+F235*$X$1</f>
        <v>7926.0999999999995</v>
      </c>
      <c r="H235" s="591">
        <f>F235+290</f>
        <v>8216.0999999999985</v>
      </c>
      <c r="I235" s="331">
        <f>+H235*$X$1</f>
        <v>8216.0999999999985</v>
      </c>
      <c r="J235" s="591">
        <f>F235+120</f>
        <v>8046.0999999999995</v>
      </c>
      <c r="K235" s="331">
        <f>+J235*$X$1</f>
        <v>8046.0999999999995</v>
      </c>
      <c r="L235" s="591">
        <f>F235+74</f>
        <v>8000.0999999999995</v>
      </c>
      <c r="M235" s="331">
        <f>+L235*$X$1</f>
        <v>8000.0999999999995</v>
      </c>
      <c r="N235" s="591">
        <f>F235+46</f>
        <v>7972.0999999999995</v>
      </c>
      <c r="O235" s="331">
        <f>+N235*$X$1</f>
        <v>7972.0999999999995</v>
      </c>
      <c r="P235" s="591">
        <f>F235+42</f>
        <v>7968.0999999999995</v>
      </c>
      <c r="Q235" s="331">
        <f>+P235*$X$1</f>
        <v>7968.0999999999995</v>
      </c>
      <c r="R235" s="591">
        <f>F235+35</f>
        <v>7961.0999999999995</v>
      </c>
      <c r="S235" s="331">
        <f>+R235*$X$1</f>
        <v>7961.0999999999995</v>
      </c>
      <c r="T235" s="107">
        <f>F235+29</f>
        <v>7955.0999999999995</v>
      </c>
      <c r="U235" s="356">
        <f>+T235*$X$1</f>
        <v>7955.0999999999995</v>
      </c>
      <c r="V235" s="107">
        <f>F235+24</f>
        <v>7950.0999999999995</v>
      </c>
      <c r="W235" s="356">
        <f>+V235*$X$1</f>
        <v>7950.0999999999995</v>
      </c>
      <c r="X235" s="686"/>
      <c r="Y235" s="687"/>
      <c r="Z235" s="687"/>
      <c r="AA235" s="688"/>
      <c r="AB235" s="208">
        <v>916</v>
      </c>
    </row>
    <row r="236" spans="1:34" ht="12" customHeight="1" x14ac:dyDescent="0.2">
      <c r="A236" s="20"/>
      <c r="B236" s="3"/>
      <c r="C236" s="3"/>
      <c r="D236" s="3"/>
      <c r="E236" s="3"/>
      <c r="F236" s="4"/>
      <c r="G236" s="4"/>
      <c r="H236" s="3"/>
      <c r="I236" s="3"/>
      <c r="J236" s="3"/>
      <c r="K236" s="182"/>
      <c r="L236" s="183"/>
      <c r="M236" s="183"/>
      <c r="N236" s="183"/>
      <c r="O236" s="183"/>
      <c r="P236" s="183"/>
      <c r="Q236" s="183"/>
      <c r="R236" s="183"/>
      <c r="S236" s="183"/>
      <c r="T236" s="183"/>
      <c r="U236" s="183"/>
      <c r="V236" s="183"/>
      <c r="W236" s="183"/>
      <c r="AB236" s="104"/>
    </row>
    <row r="237" spans="1:34" ht="12" customHeight="1" x14ac:dyDescent="0.2">
      <c r="A237" s="20"/>
      <c r="B237" s="3"/>
      <c r="C237" s="3"/>
      <c r="D237" s="3"/>
      <c r="E237" s="3"/>
      <c r="F237" s="4"/>
      <c r="G237" s="4"/>
      <c r="H237" s="3"/>
      <c r="I237" s="3"/>
      <c r="J237" s="3"/>
      <c r="K237" s="182"/>
      <c r="L237" s="183"/>
      <c r="M237" s="183"/>
      <c r="N237" s="183"/>
      <c r="O237" s="183"/>
      <c r="P237" s="183"/>
      <c r="Q237" s="183"/>
      <c r="R237" s="183"/>
      <c r="S237" s="183"/>
      <c r="T237" s="183"/>
      <c r="U237" s="183"/>
      <c r="V237" s="183"/>
      <c r="W237" s="183"/>
      <c r="AB237" s="4"/>
    </row>
    <row r="238" spans="1:34" ht="12.6" customHeight="1" thickBot="1" x14ac:dyDescent="0.25">
      <c r="A238" s="20"/>
      <c r="B238" s="3"/>
      <c r="C238" s="3"/>
      <c r="D238" s="3"/>
      <c r="E238" s="79"/>
      <c r="F238" s="1138"/>
      <c r="G238" s="1138"/>
      <c r="H238" s="1138"/>
      <c r="I238" s="1138"/>
      <c r="J238" s="1138"/>
      <c r="K238" s="317"/>
      <c r="L238" s="316"/>
      <c r="M238" s="316"/>
      <c r="N238" s="183"/>
      <c r="O238" s="183"/>
      <c r="P238" s="183"/>
      <c r="Q238" s="183"/>
      <c r="R238" s="183"/>
      <c r="S238" s="183"/>
      <c r="T238" s="183"/>
      <c r="U238" s="183"/>
      <c r="V238" s="183"/>
      <c r="W238" s="183"/>
      <c r="AB238" s="4"/>
    </row>
    <row r="239" spans="1:34" ht="15.75" customHeight="1" x14ac:dyDescent="0.2">
      <c r="A239" s="20"/>
      <c r="B239" s="1124" t="s">
        <v>11</v>
      </c>
      <c r="C239" s="1130" t="s">
        <v>12</v>
      </c>
      <c r="D239" s="1131"/>
      <c r="E239" s="1131"/>
      <c r="F239" s="895" t="s">
        <v>13</v>
      </c>
      <c r="G239" s="895" t="s">
        <v>13</v>
      </c>
      <c r="H239" s="746" t="s">
        <v>14</v>
      </c>
      <c r="I239" s="746"/>
      <c r="J239" s="747"/>
      <c r="K239" s="747"/>
      <c r="L239" s="747"/>
      <c r="M239" s="747"/>
      <c r="N239" s="747"/>
      <c r="O239" s="747"/>
      <c r="P239" s="747"/>
      <c r="Q239" s="747"/>
      <c r="R239" s="747"/>
      <c r="S239" s="747"/>
      <c r="T239" s="747"/>
      <c r="U239" s="747"/>
      <c r="V239" s="747"/>
      <c r="W239" s="748"/>
      <c r="X239" s="731" t="s">
        <v>15</v>
      </c>
      <c r="Y239" s="732"/>
      <c r="Z239" s="732"/>
      <c r="AA239" s="732"/>
      <c r="AB239" s="729" t="s">
        <v>16</v>
      </c>
      <c r="AF239" s="727" t="s">
        <v>3</v>
      </c>
      <c r="AG239" s="728"/>
      <c r="AH239" s="728"/>
    </row>
    <row r="240" spans="1:34" ht="11.25" customHeight="1" thickBot="1" x14ac:dyDescent="0.25">
      <c r="A240" s="20"/>
      <c r="B240" s="1125"/>
      <c r="C240" s="1132"/>
      <c r="D240" s="1132"/>
      <c r="E240" s="1132"/>
      <c r="F240" s="896"/>
      <c r="G240" s="896"/>
      <c r="H240" s="285"/>
      <c r="I240" s="282" t="s">
        <v>307</v>
      </c>
      <c r="J240" s="286"/>
      <c r="K240" s="282" t="s">
        <v>18</v>
      </c>
      <c r="L240" s="287"/>
      <c r="M240" s="287" t="s">
        <v>19</v>
      </c>
      <c r="N240" s="287"/>
      <c r="O240" s="282" t="s">
        <v>20</v>
      </c>
      <c r="P240" s="287"/>
      <c r="Q240" s="287" t="s">
        <v>309</v>
      </c>
      <c r="R240" s="287"/>
      <c r="S240" s="287" t="s">
        <v>21</v>
      </c>
      <c r="T240" s="287"/>
      <c r="U240" s="287" t="s">
        <v>22</v>
      </c>
      <c r="V240" s="287"/>
      <c r="W240" s="289" t="s">
        <v>23</v>
      </c>
      <c r="X240" s="733"/>
      <c r="Y240" s="734"/>
      <c r="Z240" s="734"/>
      <c r="AA240" s="734"/>
      <c r="AB240" s="730"/>
    </row>
    <row r="241" spans="1:33" ht="12.6" customHeight="1" x14ac:dyDescent="0.2">
      <c r="A241" s="20"/>
      <c r="B241" s="684" t="s">
        <v>923</v>
      </c>
      <c r="C241" s="817"/>
      <c r="D241" s="817"/>
      <c r="E241" s="817"/>
      <c r="F241" s="461">
        <f>7.1*X2</f>
        <v>6659.7999999999993</v>
      </c>
      <c r="G241" s="331">
        <f>+F241*$X$1</f>
        <v>6659.7999999999993</v>
      </c>
      <c r="H241" s="650">
        <f>F241+290</f>
        <v>6949.7999999999993</v>
      </c>
      <c r="I241" s="331">
        <f>+H241*$X$1</f>
        <v>6949.7999999999993</v>
      </c>
      <c r="J241" s="650">
        <f>F241+120</f>
        <v>6779.7999999999993</v>
      </c>
      <c r="K241" s="331">
        <f>+J241*$X$1</f>
        <v>6779.7999999999993</v>
      </c>
      <c r="L241" s="650">
        <f>F241+74</f>
        <v>6733.7999999999993</v>
      </c>
      <c r="M241" s="331">
        <f>+L241*$X$1</f>
        <v>6733.7999999999993</v>
      </c>
      <c r="N241" s="650">
        <f>F241+46</f>
        <v>6705.7999999999993</v>
      </c>
      <c r="O241" s="331">
        <f>+N241*$X$1</f>
        <v>6705.7999999999993</v>
      </c>
      <c r="P241" s="650">
        <f>F241+42</f>
        <v>6701.7999999999993</v>
      </c>
      <c r="Q241" s="331">
        <f>+P241*$X$1</f>
        <v>6701.7999999999993</v>
      </c>
      <c r="R241" s="650">
        <f>F241+35</f>
        <v>6694.7999999999993</v>
      </c>
      <c r="S241" s="331">
        <f>+R241*$X$1</f>
        <v>6694.7999999999993</v>
      </c>
      <c r="T241" s="107">
        <f>F241+29</f>
        <v>6688.7999999999993</v>
      </c>
      <c r="U241" s="356">
        <f>+T241*$X$1</f>
        <v>6688.7999999999993</v>
      </c>
      <c r="V241" s="107">
        <f>F241+24</f>
        <v>6683.7999999999993</v>
      </c>
      <c r="W241" s="356">
        <f>+V241*$X$1</f>
        <v>6683.7999999999993</v>
      </c>
      <c r="X241" s="686"/>
      <c r="Y241" s="687"/>
      <c r="Z241" s="687"/>
      <c r="AA241" s="688"/>
      <c r="AB241" s="208">
        <v>917</v>
      </c>
    </row>
    <row r="242" spans="1:33" ht="12.6" customHeight="1" x14ac:dyDescent="0.2">
      <c r="A242" s="20"/>
      <c r="B242" s="696" t="s">
        <v>209</v>
      </c>
      <c r="C242" s="697"/>
      <c r="D242" s="697"/>
      <c r="E242" s="697"/>
      <c r="F242" s="460">
        <f>9.41*X2</f>
        <v>8826.58</v>
      </c>
      <c r="G242" s="330">
        <f>+F242*$X$1</f>
        <v>8826.58</v>
      </c>
      <c r="H242" s="665">
        <f>F242+290</f>
        <v>9116.58</v>
      </c>
      <c r="I242" s="330">
        <f>+H242*$X$1</f>
        <v>9116.58</v>
      </c>
      <c r="J242" s="665">
        <f>F242+120</f>
        <v>8946.58</v>
      </c>
      <c r="K242" s="330">
        <f t="shared" ref="K242" si="542">+J242*$X$1</f>
        <v>8946.58</v>
      </c>
      <c r="L242" s="665">
        <f>F242+74</f>
        <v>8900.58</v>
      </c>
      <c r="M242" s="330">
        <f t="shared" ref="M242" si="543">+L242*$X$1</f>
        <v>8900.58</v>
      </c>
      <c r="N242" s="665">
        <f>F242+46</f>
        <v>8872.58</v>
      </c>
      <c r="O242" s="330">
        <f t="shared" ref="O242" si="544">+N242*$X$1</f>
        <v>8872.58</v>
      </c>
      <c r="P242" s="665">
        <f>F242+42</f>
        <v>8868.58</v>
      </c>
      <c r="Q242" s="330">
        <f t="shared" ref="Q242" si="545">+P242*$X$1</f>
        <v>8868.58</v>
      </c>
      <c r="R242" s="665">
        <f>F242+35</f>
        <v>8861.58</v>
      </c>
      <c r="S242" s="330">
        <f t="shared" ref="S242" si="546">+R242*$X$1</f>
        <v>8861.58</v>
      </c>
      <c r="T242" s="108">
        <f>F242+29</f>
        <v>8855.58</v>
      </c>
      <c r="U242" s="293">
        <f t="shared" ref="U242" si="547">+T242*$X$1</f>
        <v>8855.58</v>
      </c>
      <c r="V242" s="108">
        <f>F242+24</f>
        <v>8850.58</v>
      </c>
      <c r="W242" s="293">
        <f t="shared" ref="W242" si="548">+V242*$X$1</f>
        <v>8850.58</v>
      </c>
      <c r="X242" s="1133"/>
      <c r="Y242" s="1134"/>
      <c r="Z242" s="1134"/>
      <c r="AA242" s="1135"/>
      <c r="AB242" s="519">
        <v>918</v>
      </c>
    </row>
    <row r="243" spans="1:33" ht="12.6" customHeight="1" x14ac:dyDescent="0.2">
      <c r="A243" s="20"/>
      <c r="B243" s="679" t="s">
        <v>509</v>
      </c>
      <c r="C243" s="695"/>
      <c r="D243" s="695"/>
      <c r="E243" s="695"/>
      <c r="F243" s="461">
        <f>9.331*X2</f>
        <v>8752.4779999999992</v>
      </c>
      <c r="G243" s="331">
        <f>+F243*$X$1</f>
        <v>8752.4779999999992</v>
      </c>
      <c r="H243" s="591">
        <f>F243+290</f>
        <v>9042.4779999999992</v>
      </c>
      <c r="I243" s="331">
        <f>+H243*$X$1</f>
        <v>9042.4779999999992</v>
      </c>
      <c r="J243" s="591">
        <f>F243+120</f>
        <v>8872.4779999999992</v>
      </c>
      <c r="K243" s="331">
        <f>+J243*$X$1</f>
        <v>8872.4779999999992</v>
      </c>
      <c r="L243" s="591">
        <f>F243+74</f>
        <v>8826.4779999999992</v>
      </c>
      <c r="M243" s="331">
        <f>+L243*$X$1</f>
        <v>8826.4779999999992</v>
      </c>
      <c r="N243" s="591">
        <f>F243+46</f>
        <v>8798.4779999999992</v>
      </c>
      <c r="O243" s="331">
        <f>+N243*$X$1</f>
        <v>8798.4779999999992</v>
      </c>
      <c r="P243" s="591">
        <f>F243+42</f>
        <v>8794.4779999999992</v>
      </c>
      <c r="Q243" s="331">
        <f>+P243*$X$1</f>
        <v>8794.4779999999992</v>
      </c>
      <c r="R243" s="591">
        <f>F243+35</f>
        <v>8787.4779999999992</v>
      </c>
      <c r="S243" s="331">
        <f>+R243*$X$1</f>
        <v>8787.4779999999992</v>
      </c>
      <c r="T243" s="107">
        <f>F243+29</f>
        <v>8781.4779999999992</v>
      </c>
      <c r="U243" s="356">
        <f>+T243*$X$1</f>
        <v>8781.4779999999992</v>
      </c>
      <c r="V243" s="107">
        <f>F243+24</f>
        <v>8776.4779999999992</v>
      </c>
      <c r="W243" s="356">
        <f>+V243*$X$1</f>
        <v>8776.4779999999992</v>
      </c>
      <c r="X243" s="686"/>
      <c r="Y243" s="804"/>
      <c r="Z243" s="804"/>
      <c r="AA243" s="688"/>
      <c r="AB243" s="208">
        <v>919</v>
      </c>
    </row>
    <row r="244" spans="1:33" ht="12.6" customHeight="1" x14ac:dyDescent="0.2">
      <c r="A244" s="20"/>
      <c r="B244" s="696" t="s">
        <v>497</v>
      </c>
      <c r="C244" s="697"/>
      <c r="D244" s="697"/>
      <c r="E244" s="697"/>
      <c r="F244" s="460">
        <f>8.31*X2</f>
        <v>7794.7800000000007</v>
      </c>
      <c r="G244" s="330">
        <f t="shared" ref="G244:G246" si="549">+F244*$X$1</f>
        <v>7794.7800000000007</v>
      </c>
      <c r="H244" s="659">
        <f t="shared" ref="H244:H249" si="550">F244+290</f>
        <v>8084.7800000000007</v>
      </c>
      <c r="I244" s="330">
        <f t="shared" ref="I244:I249" si="551">+H244*$X$1</f>
        <v>8084.7800000000007</v>
      </c>
      <c r="J244" s="659">
        <f t="shared" ref="J244:J249" si="552">F244+120</f>
        <v>7914.7800000000007</v>
      </c>
      <c r="K244" s="330">
        <f t="shared" ref="K244:K249" si="553">+J244*$X$1</f>
        <v>7914.7800000000007</v>
      </c>
      <c r="L244" s="659">
        <f t="shared" ref="L244:L249" si="554">F244+74</f>
        <v>7868.7800000000007</v>
      </c>
      <c r="M244" s="330">
        <f t="shared" ref="M244:M249" si="555">+L244*$X$1</f>
        <v>7868.7800000000007</v>
      </c>
      <c r="N244" s="659">
        <f t="shared" ref="N244:N249" si="556">F244+46</f>
        <v>7840.7800000000007</v>
      </c>
      <c r="O244" s="330">
        <f t="shared" ref="O244:O249" si="557">+N244*$X$1</f>
        <v>7840.7800000000007</v>
      </c>
      <c r="P244" s="659">
        <f t="shared" ref="P244:P249" si="558">F244+42</f>
        <v>7836.7800000000007</v>
      </c>
      <c r="Q244" s="330">
        <f t="shared" ref="Q244:Q249" si="559">+P244*$X$1</f>
        <v>7836.7800000000007</v>
      </c>
      <c r="R244" s="659">
        <f t="shared" ref="R244:R249" si="560">F244+35</f>
        <v>7829.7800000000007</v>
      </c>
      <c r="S244" s="330">
        <f t="shared" ref="S244:S249" si="561">+R244*$X$1</f>
        <v>7829.7800000000007</v>
      </c>
      <c r="T244" s="108">
        <f t="shared" ref="T244:T249" si="562">F244+29</f>
        <v>7823.7800000000007</v>
      </c>
      <c r="U244" s="293">
        <f t="shared" ref="U244:U249" si="563">+T244*$X$1</f>
        <v>7823.7800000000007</v>
      </c>
      <c r="V244" s="108">
        <f t="shared" ref="V244:V249" si="564">F244+24</f>
        <v>7818.7800000000007</v>
      </c>
      <c r="W244" s="293">
        <f t="shared" ref="W244:W249" si="565">+V244*$X$1</f>
        <v>7818.7800000000007</v>
      </c>
      <c r="X244" s="686"/>
      <c r="Y244" s="687"/>
      <c r="Z244" s="687"/>
      <c r="AA244" s="688"/>
      <c r="AB244" s="208">
        <v>920</v>
      </c>
    </row>
    <row r="245" spans="1:33" ht="12.6" customHeight="1" x14ac:dyDescent="0.2">
      <c r="A245" s="20"/>
      <c r="B245" s="679" t="s">
        <v>585</v>
      </c>
      <c r="C245" s="695"/>
      <c r="D245" s="695"/>
      <c r="E245" s="695"/>
      <c r="F245" s="461">
        <f>8.1*X2</f>
        <v>7597.7999999999993</v>
      </c>
      <c r="G245" s="331">
        <f t="shared" si="549"/>
        <v>7597.7999999999993</v>
      </c>
      <c r="H245" s="650">
        <f t="shared" si="550"/>
        <v>7887.7999999999993</v>
      </c>
      <c r="I245" s="331">
        <f t="shared" si="551"/>
        <v>7887.7999999999993</v>
      </c>
      <c r="J245" s="650">
        <f t="shared" si="552"/>
        <v>7717.7999999999993</v>
      </c>
      <c r="K245" s="331">
        <f t="shared" si="553"/>
        <v>7717.7999999999993</v>
      </c>
      <c r="L245" s="650">
        <f t="shared" si="554"/>
        <v>7671.7999999999993</v>
      </c>
      <c r="M245" s="331">
        <f t="shared" si="555"/>
        <v>7671.7999999999993</v>
      </c>
      <c r="N245" s="650">
        <f t="shared" si="556"/>
        <v>7643.7999999999993</v>
      </c>
      <c r="O245" s="331">
        <f t="shared" si="557"/>
        <v>7643.7999999999993</v>
      </c>
      <c r="P245" s="650">
        <f t="shared" si="558"/>
        <v>7639.7999999999993</v>
      </c>
      <c r="Q245" s="331">
        <f t="shared" si="559"/>
        <v>7639.7999999999993</v>
      </c>
      <c r="R245" s="650">
        <f t="shared" si="560"/>
        <v>7632.7999999999993</v>
      </c>
      <c r="S245" s="331">
        <f t="shared" si="561"/>
        <v>7632.7999999999993</v>
      </c>
      <c r="T245" s="107">
        <f t="shared" si="562"/>
        <v>7626.7999999999993</v>
      </c>
      <c r="U245" s="356">
        <f t="shared" si="563"/>
        <v>7626.7999999999993</v>
      </c>
      <c r="V245" s="107">
        <f t="shared" si="564"/>
        <v>7621.7999999999993</v>
      </c>
      <c r="W245" s="356">
        <f t="shared" si="565"/>
        <v>7621.7999999999993</v>
      </c>
      <c r="X245" s="686"/>
      <c r="Y245" s="687"/>
      <c r="Z245" s="687"/>
      <c r="AA245" s="688"/>
      <c r="AB245" s="208">
        <v>921</v>
      </c>
    </row>
    <row r="246" spans="1:33" ht="12.6" customHeight="1" x14ac:dyDescent="0.2">
      <c r="A246" s="20"/>
      <c r="B246" s="684" t="s">
        <v>924</v>
      </c>
      <c r="C246" s="817"/>
      <c r="D246" s="817"/>
      <c r="E246" s="817"/>
      <c r="F246" s="460">
        <f>5.54*X2</f>
        <v>5196.5200000000004</v>
      </c>
      <c r="G246" s="330">
        <f t="shared" si="549"/>
        <v>5196.5200000000004</v>
      </c>
      <c r="H246" s="659">
        <f>F246+250</f>
        <v>5446.52</v>
      </c>
      <c r="I246" s="330">
        <f t="shared" si="551"/>
        <v>5446.52</v>
      </c>
      <c r="J246" s="659">
        <f>F246+80</f>
        <v>5276.52</v>
      </c>
      <c r="K246" s="330">
        <f t="shared" si="553"/>
        <v>5276.52</v>
      </c>
      <c r="L246" s="659">
        <f>F246+60</f>
        <v>5256.52</v>
      </c>
      <c r="M246" s="330">
        <f t="shared" si="555"/>
        <v>5256.52</v>
      </c>
      <c r="N246" s="659">
        <f>F246+40</f>
        <v>5236.5200000000004</v>
      </c>
      <c r="O246" s="330">
        <f t="shared" si="557"/>
        <v>5236.5200000000004</v>
      </c>
      <c r="P246" s="659">
        <f>F246+37</f>
        <v>5233.5200000000004</v>
      </c>
      <c r="Q246" s="330">
        <f t="shared" si="559"/>
        <v>5233.5200000000004</v>
      </c>
      <c r="R246" s="659">
        <f>F246+33</f>
        <v>5229.5200000000004</v>
      </c>
      <c r="S246" s="330">
        <f t="shared" si="561"/>
        <v>5229.5200000000004</v>
      </c>
      <c r="T246" s="659">
        <f t="shared" si="562"/>
        <v>5225.5200000000004</v>
      </c>
      <c r="U246" s="330">
        <f t="shared" si="563"/>
        <v>5225.5200000000004</v>
      </c>
      <c r="V246" s="659">
        <f t="shared" si="564"/>
        <v>5220.5200000000004</v>
      </c>
      <c r="W246" s="330">
        <f t="shared" si="565"/>
        <v>5220.5200000000004</v>
      </c>
      <c r="X246" s="710"/>
      <c r="Y246" s="711"/>
      <c r="Z246" s="711"/>
      <c r="AA246" s="712"/>
      <c r="AB246" s="208" t="s">
        <v>925</v>
      </c>
    </row>
    <row r="247" spans="1:33" ht="12.6" customHeight="1" x14ac:dyDescent="0.2">
      <c r="A247" s="111"/>
      <c r="B247" s="679" t="s">
        <v>496</v>
      </c>
      <c r="C247" s="695"/>
      <c r="D247" s="695"/>
      <c r="E247" s="695"/>
      <c r="F247" s="461">
        <f>7.624*X2</f>
        <v>7151.3119999999999</v>
      </c>
      <c r="G247" s="331">
        <f t="shared" ref="G247:G250" si="566">+F247*$X$1</f>
        <v>7151.3119999999999</v>
      </c>
      <c r="H247" s="650">
        <f t="shared" si="550"/>
        <v>7441.3119999999999</v>
      </c>
      <c r="I247" s="331">
        <f t="shared" si="551"/>
        <v>7441.3119999999999</v>
      </c>
      <c r="J247" s="650">
        <f t="shared" si="552"/>
        <v>7271.3119999999999</v>
      </c>
      <c r="K247" s="331">
        <f t="shared" si="553"/>
        <v>7271.3119999999999</v>
      </c>
      <c r="L247" s="650">
        <f t="shared" si="554"/>
        <v>7225.3119999999999</v>
      </c>
      <c r="M247" s="331">
        <f t="shared" si="555"/>
        <v>7225.3119999999999</v>
      </c>
      <c r="N247" s="650">
        <f t="shared" si="556"/>
        <v>7197.3119999999999</v>
      </c>
      <c r="O247" s="331">
        <f t="shared" si="557"/>
        <v>7197.3119999999999</v>
      </c>
      <c r="P247" s="650">
        <f t="shared" si="558"/>
        <v>7193.3119999999999</v>
      </c>
      <c r="Q247" s="331">
        <f t="shared" si="559"/>
        <v>7193.3119999999999</v>
      </c>
      <c r="R247" s="650">
        <f t="shared" si="560"/>
        <v>7186.3119999999999</v>
      </c>
      <c r="S247" s="331">
        <f t="shared" si="561"/>
        <v>7186.3119999999999</v>
      </c>
      <c r="T247" s="107">
        <f t="shared" si="562"/>
        <v>7180.3119999999999</v>
      </c>
      <c r="U247" s="356">
        <f t="shared" si="563"/>
        <v>7180.3119999999999</v>
      </c>
      <c r="V247" s="107">
        <f t="shared" si="564"/>
        <v>7175.3119999999999</v>
      </c>
      <c r="W247" s="356">
        <f t="shared" si="565"/>
        <v>7175.3119999999999</v>
      </c>
      <c r="X247" s="686"/>
      <c r="Y247" s="687"/>
      <c r="Z247" s="687"/>
      <c r="AA247" s="688"/>
      <c r="AB247" s="208">
        <v>928</v>
      </c>
    </row>
    <row r="248" spans="1:33" ht="12.6" customHeight="1" x14ac:dyDescent="0.2">
      <c r="A248" s="20"/>
      <c r="B248" s="696" t="s">
        <v>453</v>
      </c>
      <c r="C248" s="697"/>
      <c r="D248" s="697"/>
      <c r="E248" s="697"/>
      <c r="F248" s="460">
        <f>7.96*X2</f>
        <v>7466.48</v>
      </c>
      <c r="G248" s="330">
        <f t="shared" si="566"/>
        <v>7466.48</v>
      </c>
      <c r="H248" s="659">
        <f t="shared" si="550"/>
        <v>7756.48</v>
      </c>
      <c r="I248" s="330">
        <f t="shared" si="551"/>
        <v>7756.48</v>
      </c>
      <c r="J248" s="659">
        <f t="shared" si="552"/>
        <v>7586.48</v>
      </c>
      <c r="K248" s="330">
        <f t="shared" si="553"/>
        <v>7586.48</v>
      </c>
      <c r="L248" s="659">
        <f t="shared" si="554"/>
        <v>7540.48</v>
      </c>
      <c r="M248" s="330">
        <f t="shared" si="555"/>
        <v>7540.48</v>
      </c>
      <c r="N248" s="659">
        <f t="shared" si="556"/>
        <v>7512.48</v>
      </c>
      <c r="O248" s="330">
        <f t="shared" si="557"/>
        <v>7512.48</v>
      </c>
      <c r="P248" s="659">
        <f t="shared" si="558"/>
        <v>7508.48</v>
      </c>
      <c r="Q248" s="330">
        <f t="shared" si="559"/>
        <v>7508.48</v>
      </c>
      <c r="R248" s="659">
        <f t="shared" si="560"/>
        <v>7501.48</v>
      </c>
      <c r="S248" s="330">
        <f t="shared" si="561"/>
        <v>7501.48</v>
      </c>
      <c r="T248" s="108">
        <f t="shared" si="562"/>
        <v>7495.48</v>
      </c>
      <c r="U248" s="293">
        <f t="shared" si="563"/>
        <v>7495.48</v>
      </c>
      <c r="V248" s="108">
        <f t="shared" si="564"/>
        <v>7490.48</v>
      </c>
      <c r="W248" s="293">
        <f t="shared" si="565"/>
        <v>7490.48</v>
      </c>
      <c r="X248" s="686"/>
      <c r="Y248" s="804"/>
      <c r="Z248" s="804"/>
      <c r="AA248" s="688"/>
      <c r="AB248" s="208">
        <v>931</v>
      </c>
    </row>
    <row r="249" spans="1:33" ht="12.6" customHeight="1" x14ac:dyDescent="0.2">
      <c r="A249" s="20"/>
      <c r="B249" s="684" t="s">
        <v>922</v>
      </c>
      <c r="C249" s="817"/>
      <c r="D249" s="817"/>
      <c r="E249" s="817"/>
      <c r="F249" s="461">
        <f>2.97*X2</f>
        <v>2785.86</v>
      </c>
      <c r="G249" s="331">
        <f t="shared" si="566"/>
        <v>2785.86</v>
      </c>
      <c r="H249" s="650">
        <f t="shared" si="550"/>
        <v>3075.86</v>
      </c>
      <c r="I249" s="331">
        <f t="shared" si="551"/>
        <v>3075.86</v>
      </c>
      <c r="J249" s="650">
        <f t="shared" si="552"/>
        <v>2905.86</v>
      </c>
      <c r="K249" s="331">
        <f t="shared" si="553"/>
        <v>2905.86</v>
      </c>
      <c r="L249" s="650">
        <f t="shared" si="554"/>
        <v>2859.86</v>
      </c>
      <c r="M249" s="331">
        <f t="shared" si="555"/>
        <v>2859.86</v>
      </c>
      <c r="N249" s="650">
        <f t="shared" si="556"/>
        <v>2831.86</v>
      </c>
      <c r="O249" s="331">
        <f t="shared" si="557"/>
        <v>2831.86</v>
      </c>
      <c r="P249" s="650">
        <f t="shared" si="558"/>
        <v>2827.86</v>
      </c>
      <c r="Q249" s="331">
        <f t="shared" si="559"/>
        <v>2827.86</v>
      </c>
      <c r="R249" s="650">
        <f t="shared" si="560"/>
        <v>2820.86</v>
      </c>
      <c r="S249" s="331">
        <f t="shared" si="561"/>
        <v>2820.86</v>
      </c>
      <c r="T249" s="107">
        <f t="shared" si="562"/>
        <v>2814.86</v>
      </c>
      <c r="U249" s="356">
        <f t="shared" si="563"/>
        <v>2814.86</v>
      </c>
      <c r="V249" s="107">
        <f t="shared" si="564"/>
        <v>2809.86</v>
      </c>
      <c r="W249" s="356">
        <f t="shared" si="565"/>
        <v>2809.86</v>
      </c>
      <c r="X249" s="686"/>
      <c r="Y249" s="804"/>
      <c r="Z249" s="804"/>
      <c r="AA249" s="688"/>
      <c r="AB249" s="208">
        <v>933</v>
      </c>
    </row>
    <row r="250" spans="1:33" ht="12.6" customHeight="1" x14ac:dyDescent="0.2">
      <c r="A250" s="20"/>
      <c r="B250" s="696" t="s">
        <v>671</v>
      </c>
      <c r="C250" s="697"/>
      <c r="D250" s="697"/>
      <c r="E250" s="697"/>
      <c r="F250" s="460">
        <f>8.31*X2</f>
        <v>7794.7800000000007</v>
      </c>
      <c r="G250" s="330">
        <f t="shared" si="566"/>
        <v>7794.7800000000007</v>
      </c>
      <c r="H250" s="368">
        <f t="shared" ref="H250:H257" si="567">F250+290</f>
        <v>8084.7800000000007</v>
      </c>
      <c r="I250" s="330">
        <f>+H250*$X$1</f>
        <v>8084.7800000000007</v>
      </c>
      <c r="J250" s="368">
        <f>F250+120</f>
        <v>7914.7800000000007</v>
      </c>
      <c r="K250" s="330">
        <f t="shared" ref="K250:K254" si="568">+J250*$X$1</f>
        <v>7914.7800000000007</v>
      </c>
      <c r="L250" s="368">
        <f>F250+74</f>
        <v>7868.7800000000007</v>
      </c>
      <c r="M250" s="330">
        <f t="shared" ref="M250:M254" si="569">+L250*$X$1</f>
        <v>7868.7800000000007</v>
      </c>
      <c r="N250" s="368">
        <f>F250+46</f>
        <v>7840.7800000000007</v>
      </c>
      <c r="O250" s="330">
        <f t="shared" ref="O250:O254" si="570">+N250*$X$1</f>
        <v>7840.7800000000007</v>
      </c>
      <c r="P250" s="368">
        <f>F250+42</f>
        <v>7836.7800000000007</v>
      </c>
      <c r="Q250" s="330">
        <f t="shared" ref="Q250:Q254" si="571">+P250*$X$1</f>
        <v>7836.7800000000007</v>
      </c>
      <c r="R250" s="368">
        <f>F250+35</f>
        <v>7829.7800000000007</v>
      </c>
      <c r="S250" s="330">
        <f t="shared" ref="S250:S254" si="572">+R250*$X$1</f>
        <v>7829.7800000000007</v>
      </c>
      <c r="T250" s="108">
        <f>F250+29</f>
        <v>7823.7800000000007</v>
      </c>
      <c r="U250" s="293">
        <f t="shared" ref="U250:U254" si="573">+T250*$X$1</f>
        <v>7823.7800000000007</v>
      </c>
      <c r="V250" s="108">
        <f>F250+24</f>
        <v>7818.7800000000007</v>
      </c>
      <c r="W250" s="293">
        <f t="shared" ref="W250:W254" si="574">+V250*$X$1</f>
        <v>7818.7800000000007</v>
      </c>
      <c r="X250" s="452"/>
      <c r="Y250" s="452"/>
      <c r="Z250" s="452"/>
      <c r="AA250" s="452"/>
      <c r="AB250" s="208">
        <v>935</v>
      </c>
    </row>
    <row r="251" spans="1:33" ht="12.6" customHeight="1" x14ac:dyDescent="0.2">
      <c r="A251" s="20"/>
      <c r="B251" s="679" t="s">
        <v>711</v>
      </c>
      <c r="C251" s="695"/>
      <c r="D251" s="695"/>
      <c r="E251" s="695"/>
      <c r="F251" s="461">
        <f>10*X2</f>
        <v>9380</v>
      </c>
      <c r="G251" s="331">
        <f t="shared" ref="G251:G252" si="575">+F251*$X$1</f>
        <v>9380</v>
      </c>
      <c r="H251" s="591">
        <f t="shared" si="567"/>
        <v>9670</v>
      </c>
      <c r="I251" s="331">
        <f>+H251*$X$1</f>
        <v>9670</v>
      </c>
      <c r="J251" s="591">
        <f>F251+120</f>
        <v>9500</v>
      </c>
      <c r="K251" s="331">
        <f t="shared" si="568"/>
        <v>9500</v>
      </c>
      <c r="L251" s="591">
        <f>F251+74</f>
        <v>9454</v>
      </c>
      <c r="M251" s="331">
        <f t="shared" si="569"/>
        <v>9454</v>
      </c>
      <c r="N251" s="591">
        <f>F251+46</f>
        <v>9426</v>
      </c>
      <c r="O251" s="331">
        <f t="shared" si="570"/>
        <v>9426</v>
      </c>
      <c r="P251" s="591">
        <f>F251+42</f>
        <v>9422</v>
      </c>
      <c r="Q251" s="331">
        <f t="shared" si="571"/>
        <v>9422</v>
      </c>
      <c r="R251" s="591">
        <f>F251+35</f>
        <v>9415</v>
      </c>
      <c r="S251" s="331">
        <f t="shared" si="572"/>
        <v>9415</v>
      </c>
      <c r="T251" s="107">
        <f>F251+29</f>
        <v>9409</v>
      </c>
      <c r="U251" s="356">
        <f t="shared" si="573"/>
        <v>9409</v>
      </c>
      <c r="V251" s="107">
        <f>F251+24</f>
        <v>9404</v>
      </c>
      <c r="W251" s="356">
        <f t="shared" si="574"/>
        <v>9404</v>
      </c>
      <c r="X251" s="686"/>
      <c r="Y251" s="687"/>
      <c r="Z251" s="687"/>
      <c r="AA251" s="688"/>
      <c r="AB251" s="208">
        <v>936</v>
      </c>
    </row>
    <row r="252" spans="1:33" ht="12.6" customHeight="1" x14ac:dyDescent="0.2">
      <c r="A252" s="20"/>
      <c r="B252" s="684" t="s">
        <v>840</v>
      </c>
      <c r="C252" s="817"/>
      <c r="D252" s="817"/>
      <c r="E252" s="817"/>
      <c r="F252" s="460">
        <f>4.9*X2</f>
        <v>4596.2000000000007</v>
      </c>
      <c r="G252" s="330">
        <f t="shared" si="575"/>
        <v>4596.2000000000007</v>
      </c>
      <c r="H252" s="368">
        <f t="shared" ref="H252" si="576">F252+290</f>
        <v>4886.2000000000007</v>
      </c>
      <c r="I252" s="330">
        <f>+H252*$X$1</f>
        <v>4886.2000000000007</v>
      </c>
      <c r="J252" s="368">
        <f>F252+120</f>
        <v>4716.2000000000007</v>
      </c>
      <c r="K252" s="330">
        <f t="shared" ref="K252" si="577">+J252*$X$1</f>
        <v>4716.2000000000007</v>
      </c>
      <c r="L252" s="368">
        <f>F252+74</f>
        <v>4670.2000000000007</v>
      </c>
      <c r="M252" s="330">
        <f t="shared" ref="M252" si="578">+L252*$X$1</f>
        <v>4670.2000000000007</v>
      </c>
      <c r="N252" s="368">
        <f>F252+46</f>
        <v>4642.2000000000007</v>
      </c>
      <c r="O252" s="330">
        <f t="shared" ref="O252" si="579">+N252*$X$1</f>
        <v>4642.2000000000007</v>
      </c>
      <c r="P252" s="368">
        <f>F252+42</f>
        <v>4638.2000000000007</v>
      </c>
      <c r="Q252" s="330">
        <f t="shared" ref="Q252" si="580">+P252*$X$1</f>
        <v>4638.2000000000007</v>
      </c>
      <c r="R252" s="368">
        <f>F252+35</f>
        <v>4631.2000000000007</v>
      </c>
      <c r="S252" s="330">
        <f t="shared" ref="S252" si="581">+R252*$X$1</f>
        <v>4631.2000000000007</v>
      </c>
      <c r="T252" s="108">
        <f>F252+29</f>
        <v>4625.2000000000007</v>
      </c>
      <c r="U252" s="293">
        <f t="shared" ref="U252" si="582">+T252*$X$1</f>
        <v>4625.2000000000007</v>
      </c>
      <c r="V252" s="108">
        <f>F252+24</f>
        <v>4620.2000000000007</v>
      </c>
      <c r="W252" s="293">
        <f t="shared" ref="W252" si="583">+V252*$X$1</f>
        <v>4620.2000000000007</v>
      </c>
      <c r="X252" s="590"/>
      <c r="Y252" s="590"/>
      <c r="Z252" s="590"/>
      <c r="AA252" s="590"/>
      <c r="AB252" s="208">
        <v>940</v>
      </c>
    </row>
    <row r="253" spans="1:33" ht="12.6" customHeight="1" x14ac:dyDescent="0.2">
      <c r="A253" s="20"/>
      <c r="B253" s="698" t="s">
        <v>210</v>
      </c>
      <c r="C253" s="917"/>
      <c r="D253" s="917"/>
      <c r="E253" s="918"/>
      <c r="F253" s="461">
        <f>5.483*X2</f>
        <v>5143.0540000000001</v>
      </c>
      <c r="G253" s="331">
        <f t="shared" ref="G253:G257" si="584">+F253*$X$1</f>
        <v>5143.0540000000001</v>
      </c>
      <c r="H253" s="565">
        <f t="shared" si="567"/>
        <v>5433.0540000000001</v>
      </c>
      <c r="I253" s="331">
        <f>+H253*$X$1</f>
        <v>5433.0540000000001</v>
      </c>
      <c r="J253" s="565">
        <f>F253+120</f>
        <v>5263.0540000000001</v>
      </c>
      <c r="K253" s="331">
        <f t="shared" si="568"/>
        <v>5263.0540000000001</v>
      </c>
      <c r="L253" s="565">
        <f>F253+74</f>
        <v>5217.0540000000001</v>
      </c>
      <c r="M253" s="331">
        <f t="shared" si="569"/>
        <v>5217.0540000000001</v>
      </c>
      <c r="N253" s="565">
        <f>F253+46</f>
        <v>5189.0540000000001</v>
      </c>
      <c r="O253" s="331">
        <f t="shared" si="570"/>
        <v>5189.0540000000001</v>
      </c>
      <c r="P253" s="565">
        <f>F253+42</f>
        <v>5185.0540000000001</v>
      </c>
      <c r="Q253" s="331">
        <f t="shared" si="571"/>
        <v>5185.0540000000001</v>
      </c>
      <c r="R253" s="565">
        <f>F253+35</f>
        <v>5178.0540000000001</v>
      </c>
      <c r="S253" s="331">
        <f t="shared" si="572"/>
        <v>5178.0540000000001</v>
      </c>
      <c r="T253" s="107">
        <f>F253+29</f>
        <v>5172.0540000000001</v>
      </c>
      <c r="U253" s="356">
        <f t="shared" si="573"/>
        <v>5172.0540000000001</v>
      </c>
      <c r="V253" s="107">
        <f>F253+24</f>
        <v>5167.0540000000001</v>
      </c>
      <c r="W253" s="356">
        <f t="shared" si="574"/>
        <v>5167.0540000000001</v>
      </c>
      <c r="X253" s="144"/>
      <c r="Y253" s="146"/>
      <c r="Z253" s="141"/>
      <c r="AA253" s="141"/>
      <c r="AB253" s="208">
        <v>945</v>
      </c>
      <c r="AD253" s="69"/>
      <c r="AE253" s="69"/>
      <c r="AF253" s="69"/>
      <c r="AG253" s="69"/>
    </row>
    <row r="254" spans="1:33" ht="12.6" customHeight="1" x14ac:dyDescent="0.2">
      <c r="A254" s="20"/>
      <c r="B254" s="696" t="s">
        <v>552</v>
      </c>
      <c r="C254" s="697"/>
      <c r="D254" s="697"/>
      <c r="E254" s="697"/>
      <c r="F254" s="460">
        <f>4.502*X2</f>
        <v>4222.8760000000002</v>
      </c>
      <c r="G254" s="330">
        <f t="shared" ref="G254" si="585">+F254*$X$1</f>
        <v>4222.8760000000002</v>
      </c>
      <c r="H254" s="368">
        <f t="shared" si="567"/>
        <v>4512.8760000000002</v>
      </c>
      <c r="I254" s="330">
        <f>+H254*$X$1</f>
        <v>4512.8760000000002</v>
      </c>
      <c r="J254" s="368">
        <f>F254+120</f>
        <v>4342.8760000000002</v>
      </c>
      <c r="K254" s="330">
        <f t="shared" si="568"/>
        <v>4342.8760000000002</v>
      </c>
      <c r="L254" s="368">
        <f>F254+74</f>
        <v>4296.8760000000002</v>
      </c>
      <c r="M254" s="330">
        <f t="shared" si="569"/>
        <v>4296.8760000000002</v>
      </c>
      <c r="N254" s="368">
        <f>F254+46</f>
        <v>4268.8760000000002</v>
      </c>
      <c r="O254" s="330">
        <f t="shared" si="570"/>
        <v>4268.8760000000002</v>
      </c>
      <c r="P254" s="368">
        <f>F254+42</f>
        <v>4264.8760000000002</v>
      </c>
      <c r="Q254" s="330">
        <f t="shared" si="571"/>
        <v>4264.8760000000002</v>
      </c>
      <c r="R254" s="368">
        <f>F254+35</f>
        <v>4257.8760000000002</v>
      </c>
      <c r="S254" s="330">
        <f t="shared" si="572"/>
        <v>4257.8760000000002</v>
      </c>
      <c r="T254" s="108">
        <f>F254+29</f>
        <v>4251.8760000000002</v>
      </c>
      <c r="U254" s="293">
        <f t="shared" si="573"/>
        <v>4251.8760000000002</v>
      </c>
      <c r="V254" s="108">
        <f>F254+24</f>
        <v>4246.8760000000002</v>
      </c>
      <c r="W254" s="293">
        <f t="shared" si="574"/>
        <v>4246.8760000000002</v>
      </c>
      <c r="X254" s="165"/>
      <c r="Y254" s="165"/>
      <c r="Z254" s="165"/>
      <c r="AA254" s="165"/>
      <c r="AB254" s="208">
        <v>946</v>
      </c>
    </row>
    <row r="255" spans="1:33" ht="12.6" customHeight="1" x14ac:dyDescent="0.2">
      <c r="A255" s="20"/>
      <c r="B255" s="892" t="s">
        <v>211</v>
      </c>
      <c r="C255" s="893"/>
      <c r="D255" s="893"/>
      <c r="E255" s="894"/>
      <c r="F255" s="461">
        <f>5.1*X2</f>
        <v>4783.7999999999993</v>
      </c>
      <c r="G255" s="331">
        <f t="shared" si="584"/>
        <v>4783.7999999999993</v>
      </c>
      <c r="H255" s="565">
        <f t="shared" si="567"/>
        <v>5073.7999999999993</v>
      </c>
      <c r="I255" s="331">
        <f t="shared" ref="I255" si="586">+H255*$X$1</f>
        <v>5073.7999999999993</v>
      </c>
      <c r="J255" s="93"/>
      <c r="K255" s="331"/>
      <c r="L255" s="565"/>
      <c r="M255" s="331"/>
      <c r="N255" s="565"/>
      <c r="O255" s="331"/>
      <c r="P255" s="565"/>
      <c r="Q255" s="331"/>
      <c r="R255" s="565"/>
      <c r="S255" s="331"/>
      <c r="T255" s="565"/>
      <c r="U255" s="331"/>
      <c r="V255" s="565"/>
      <c r="W255" s="331"/>
      <c r="X255" s="686"/>
      <c r="Y255" s="804"/>
      <c r="Z255" s="804"/>
      <c r="AA255" s="688"/>
      <c r="AB255" s="519">
        <v>949</v>
      </c>
    </row>
    <row r="256" spans="1:33" ht="12.6" customHeight="1" x14ac:dyDescent="0.2">
      <c r="A256" s="20"/>
      <c r="B256" s="696" t="s">
        <v>212</v>
      </c>
      <c r="C256" s="697"/>
      <c r="D256" s="697"/>
      <c r="E256" s="697"/>
      <c r="F256" s="460">
        <f>4.7*X2</f>
        <v>4408.6000000000004</v>
      </c>
      <c r="G256" s="330">
        <f t="shared" si="584"/>
        <v>4408.6000000000004</v>
      </c>
      <c r="H256" s="368">
        <f t="shared" si="567"/>
        <v>4698.6000000000004</v>
      </c>
      <c r="I256" s="330">
        <f>+H256*$X$1</f>
        <v>4698.6000000000004</v>
      </c>
      <c r="J256" s="368">
        <f>F256+120</f>
        <v>4528.6000000000004</v>
      </c>
      <c r="K256" s="330">
        <f t="shared" ref="K256:K258" si="587">+J256*$X$1</f>
        <v>4528.6000000000004</v>
      </c>
      <c r="L256" s="368">
        <f>F256+74</f>
        <v>4482.6000000000004</v>
      </c>
      <c r="M256" s="330">
        <f t="shared" ref="M256:M258" si="588">+L256*$X$1</f>
        <v>4482.6000000000004</v>
      </c>
      <c r="N256" s="368">
        <f>F256+46</f>
        <v>4454.6000000000004</v>
      </c>
      <c r="O256" s="330">
        <f t="shared" ref="O256:O258" si="589">+N256*$X$1</f>
        <v>4454.6000000000004</v>
      </c>
      <c r="P256" s="368">
        <f>F256+42</f>
        <v>4450.6000000000004</v>
      </c>
      <c r="Q256" s="330">
        <f t="shared" ref="Q256:Q258" si="590">+P256*$X$1</f>
        <v>4450.6000000000004</v>
      </c>
      <c r="R256" s="368">
        <f>F256+35</f>
        <v>4443.6000000000004</v>
      </c>
      <c r="S256" s="330">
        <f t="shared" ref="S256:S258" si="591">+R256*$X$1</f>
        <v>4443.6000000000004</v>
      </c>
      <c r="T256" s="108">
        <f>F256+29</f>
        <v>4437.6000000000004</v>
      </c>
      <c r="U256" s="293">
        <f t="shared" ref="U256:U258" si="592">+T256*$X$1</f>
        <v>4437.6000000000004</v>
      </c>
      <c r="V256" s="108">
        <f>F256+24</f>
        <v>4432.6000000000004</v>
      </c>
      <c r="W256" s="293">
        <f t="shared" ref="W256:W258" si="593">+V256*$X$1</f>
        <v>4432.6000000000004</v>
      </c>
      <c r="X256" s="686"/>
      <c r="Y256" s="804"/>
      <c r="Z256" s="804"/>
      <c r="AA256" s="688"/>
      <c r="AB256" s="208">
        <v>950</v>
      </c>
    </row>
    <row r="257" spans="1:38" ht="12.6" customHeight="1" x14ac:dyDescent="0.2">
      <c r="A257" s="20"/>
      <c r="B257" s="679" t="s">
        <v>672</v>
      </c>
      <c r="C257" s="695"/>
      <c r="D257" s="695"/>
      <c r="E257" s="695"/>
      <c r="F257" s="461">
        <f>6.46*X2</f>
        <v>6059.48</v>
      </c>
      <c r="G257" s="331">
        <f t="shared" si="584"/>
        <v>6059.48</v>
      </c>
      <c r="H257" s="565">
        <f t="shared" si="567"/>
        <v>6349.48</v>
      </c>
      <c r="I257" s="331">
        <f>+H257*$X$1</f>
        <v>6349.48</v>
      </c>
      <c r="J257" s="565">
        <f>F257+120</f>
        <v>6179.48</v>
      </c>
      <c r="K257" s="331">
        <f t="shared" si="587"/>
        <v>6179.48</v>
      </c>
      <c r="L257" s="565">
        <f>F257+74</f>
        <v>6133.48</v>
      </c>
      <c r="M257" s="331">
        <f t="shared" si="588"/>
        <v>6133.48</v>
      </c>
      <c r="N257" s="565">
        <f>F257+46</f>
        <v>6105.48</v>
      </c>
      <c r="O257" s="331">
        <f t="shared" si="589"/>
        <v>6105.48</v>
      </c>
      <c r="P257" s="565">
        <f>F257+42</f>
        <v>6101.48</v>
      </c>
      <c r="Q257" s="331">
        <f t="shared" si="590"/>
        <v>6101.48</v>
      </c>
      <c r="R257" s="565">
        <f>F257+35</f>
        <v>6094.48</v>
      </c>
      <c r="S257" s="331">
        <f t="shared" si="591"/>
        <v>6094.48</v>
      </c>
      <c r="T257" s="107">
        <f>F257+29</f>
        <v>6088.48</v>
      </c>
      <c r="U257" s="356">
        <f t="shared" si="592"/>
        <v>6088.48</v>
      </c>
      <c r="V257" s="107">
        <f>F257+24</f>
        <v>6083.48</v>
      </c>
      <c r="W257" s="356">
        <f t="shared" si="593"/>
        <v>6083.48</v>
      </c>
      <c r="X257" s="741"/>
      <c r="Y257" s="742"/>
      <c r="Z257" s="742"/>
      <c r="AA257" s="743"/>
      <c r="AB257" s="208">
        <v>962</v>
      </c>
    </row>
    <row r="258" spans="1:38" s="1" customFormat="1" ht="12.6" customHeight="1" x14ac:dyDescent="0.2">
      <c r="A258" s="21"/>
      <c r="B258" s="696" t="s">
        <v>213</v>
      </c>
      <c r="C258" s="697"/>
      <c r="D258" s="697"/>
      <c r="E258" s="697"/>
      <c r="F258" s="330">
        <v>2174</v>
      </c>
      <c r="G258" s="330">
        <f>+F258*$X$1</f>
        <v>2174</v>
      </c>
      <c r="H258" s="368">
        <f>F258+260</f>
        <v>2434</v>
      </c>
      <c r="I258" s="330">
        <f t="shared" ref="I258" si="594">+H258*$X$1</f>
        <v>2434</v>
      </c>
      <c r="J258" s="75">
        <f>F258+95</f>
        <v>2269</v>
      </c>
      <c r="K258" s="330">
        <f t="shared" si="587"/>
        <v>2269</v>
      </c>
      <c r="L258" s="368">
        <f>F258+70</f>
        <v>2244</v>
      </c>
      <c r="M258" s="330">
        <f t="shared" si="588"/>
        <v>2244</v>
      </c>
      <c r="N258" s="368">
        <f>F258+59</f>
        <v>2233</v>
      </c>
      <c r="O258" s="330">
        <f t="shared" si="589"/>
        <v>2233</v>
      </c>
      <c r="P258" s="368">
        <f>F258+55</f>
        <v>2229</v>
      </c>
      <c r="Q258" s="330">
        <f t="shared" si="590"/>
        <v>2229</v>
      </c>
      <c r="R258" s="368">
        <f>F258+51</f>
        <v>2225</v>
      </c>
      <c r="S258" s="330">
        <f t="shared" si="591"/>
        <v>2225</v>
      </c>
      <c r="T258" s="368">
        <f>F258+46</f>
        <v>2220</v>
      </c>
      <c r="U258" s="330">
        <f t="shared" si="592"/>
        <v>2220</v>
      </c>
      <c r="V258" s="368">
        <f>F258+43</f>
        <v>2217</v>
      </c>
      <c r="W258" s="330">
        <f t="shared" si="593"/>
        <v>2217</v>
      </c>
      <c r="X258" s="735"/>
      <c r="Y258" s="711"/>
      <c r="Z258" s="711"/>
      <c r="AA258" s="712"/>
      <c r="AB258" s="208">
        <v>965</v>
      </c>
      <c r="AC258" s="4"/>
      <c r="AD258" s="4"/>
      <c r="AE258" s="4"/>
      <c r="AF258" s="4"/>
      <c r="AG258" s="4"/>
      <c r="AH258" s="4"/>
      <c r="AI258" s="4"/>
      <c r="AJ258" s="4"/>
      <c r="AK258" s="4"/>
      <c r="AL258" s="4"/>
    </row>
    <row r="259" spans="1:38" ht="12.6" customHeight="1" x14ac:dyDescent="0.2">
      <c r="A259" s="20"/>
      <c r="B259" s="679" t="s">
        <v>674</v>
      </c>
      <c r="C259" s="695"/>
      <c r="D259" s="695"/>
      <c r="E259" s="695"/>
      <c r="F259" s="461">
        <f>7.721*X2</f>
        <v>7242.2979999999998</v>
      </c>
      <c r="G259" s="331">
        <f t="shared" ref="G259" si="595">+F259*$X$1</f>
        <v>7242.2979999999998</v>
      </c>
      <c r="H259" s="565">
        <f>F259+290</f>
        <v>7532.2979999999998</v>
      </c>
      <c r="I259" s="331">
        <f>+H259*$X$1</f>
        <v>7532.2979999999998</v>
      </c>
      <c r="J259" s="565">
        <f>F259+120</f>
        <v>7362.2979999999998</v>
      </c>
      <c r="K259" s="331">
        <f t="shared" ref="K259:K266" si="596">+J259*$X$1</f>
        <v>7362.2979999999998</v>
      </c>
      <c r="L259" s="565">
        <f>F259+74</f>
        <v>7316.2979999999998</v>
      </c>
      <c r="M259" s="331">
        <f t="shared" ref="M259:M266" si="597">+L259*$X$1</f>
        <v>7316.2979999999998</v>
      </c>
      <c r="N259" s="565">
        <f>F259+46</f>
        <v>7288.2979999999998</v>
      </c>
      <c r="O259" s="331">
        <f t="shared" ref="O259:O266" si="598">+N259*$X$1</f>
        <v>7288.2979999999998</v>
      </c>
      <c r="P259" s="565">
        <f>F259+42</f>
        <v>7284.2979999999998</v>
      </c>
      <c r="Q259" s="331">
        <f t="shared" ref="Q259:Q266" si="599">+P259*$X$1</f>
        <v>7284.2979999999998</v>
      </c>
      <c r="R259" s="565">
        <f>F259+35</f>
        <v>7277.2979999999998</v>
      </c>
      <c r="S259" s="331">
        <f t="shared" ref="S259:S266" si="600">+R259*$X$1</f>
        <v>7277.2979999999998</v>
      </c>
      <c r="T259" s="107"/>
      <c r="U259" s="356"/>
      <c r="V259" s="107"/>
      <c r="W259" s="356"/>
      <c r="X259" s="741"/>
      <c r="Y259" s="742"/>
      <c r="Z259" s="742"/>
      <c r="AA259" s="743"/>
      <c r="AB259" s="208">
        <v>966</v>
      </c>
    </row>
    <row r="260" spans="1:38" s="1" customFormat="1" ht="12.6" customHeight="1" x14ac:dyDescent="0.2">
      <c r="A260" s="21"/>
      <c r="B260" s="736" t="s">
        <v>214</v>
      </c>
      <c r="C260" s="739"/>
      <c r="D260" s="739"/>
      <c r="E260" s="740"/>
      <c r="F260" s="330">
        <v>1882</v>
      </c>
      <c r="G260" s="330">
        <f>+F260*$X$1</f>
        <v>1882</v>
      </c>
      <c r="H260" s="327"/>
      <c r="I260" s="403"/>
      <c r="J260" s="75">
        <f t="shared" ref="J260:J266" si="601">F260+95</f>
        <v>1977</v>
      </c>
      <c r="K260" s="330">
        <f t="shared" si="596"/>
        <v>1977</v>
      </c>
      <c r="L260" s="368">
        <f t="shared" ref="L260:L266" si="602">F260+70</f>
        <v>1952</v>
      </c>
      <c r="M260" s="330">
        <f t="shared" si="597"/>
        <v>1952</v>
      </c>
      <c r="N260" s="368">
        <f t="shared" ref="N260:N266" si="603">F260+59</f>
        <v>1941</v>
      </c>
      <c r="O260" s="330">
        <f t="shared" si="598"/>
        <v>1941</v>
      </c>
      <c r="P260" s="368">
        <f t="shared" ref="P260:P266" si="604">F260+55</f>
        <v>1937</v>
      </c>
      <c r="Q260" s="330">
        <f t="shared" si="599"/>
        <v>1937</v>
      </c>
      <c r="R260" s="368">
        <f t="shared" ref="R260:R266" si="605">F260+51</f>
        <v>1933</v>
      </c>
      <c r="S260" s="330">
        <f t="shared" si="600"/>
        <v>1933</v>
      </c>
      <c r="T260" s="368">
        <f t="shared" ref="T260:T266" si="606">F260+46</f>
        <v>1928</v>
      </c>
      <c r="U260" s="330">
        <f t="shared" ref="U260:U266" si="607">+T260*$X$1</f>
        <v>1928</v>
      </c>
      <c r="V260" s="368">
        <f t="shared" ref="V260:V266" si="608">F260+43</f>
        <v>1925</v>
      </c>
      <c r="W260" s="330">
        <f t="shared" ref="W260:W266" si="609">+V260*$X$1</f>
        <v>1925</v>
      </c>
      <c r="X260" s="167"/>
      <c r="Y260" s="168"/>
      <c r="Z260" s="168"/>
      <c r="AA260" s="169"/>
      <c r="AB260" s="519">
        <v>967</v>
      </c>
      <c r="AC260" s="4"/>
      <c r="AD260" s="4"/>
      <c r="AE260" s="4"/>
      <c r="AF260" s="4"/>
      <c r="AG260" s="4"/>
      <c r="AH260" s="4"/>
      <c r="AI260" s="4"/>
      <c r="AJ260" s="4"/>
      <c r="AK260" s="4"/>
      <c r="AL260" s="4"/>
    </row>
    <row r="261" spans="1:38" s="1" customFormat="1" ht="12.6" customHeight="1" x14ac:dyDescent="0.2">
      <c r="A261" s="21"/>
      <c r="B261" s="698" t="s">
        <v>403</v>
      </c>
      <c r="C261" s="693"/>
      <c r="D261" s="693"/>
      <c r="E261" s="694"/>
      <c r="F261" s="331">
        <v>1794</v>
      </c>
      <c r="G261" s="331">
        <f>+F261*$X$1</f>
        <v>1794</v>
      </c>
      <c r="H261" s="565">
        <f t="shared" ref="H261:H266" si="610">F261+260</f>
        <v>2054</v>
      </c>
      <c r="I261" s="331">
        <f t="shared" ref="I261:I266" si="611">+H261*$X$1</f>
        <v>2054</v>
      </c>
      <c r="J261" s="93">
        <f t="shared" si="601"/>
        <v>1889</v>
      </c>
      <c r="K261" s="331">
        <f t="shared" si="596"/>
        <v>1889</v>
      </c>
      <c r="L261" s="565">
        <f t="shared" si="602"/>
        <v>1864</v>
      </c>
      <c r="M261" s="331">
        <f t="shared" si="597"/>
        <v>1864</v>
      </c>
      <c r="N261" s="565">
        <f t="shared" si="603"/>
        <v>1853</v>
      </c>
      <c r="O261" s="331">
        <f t="shared" si="598"/>
        <v>1853</v>
      </c>
      <c r="P261" s="565">
        <f t="shared" si="604"/>
        <v>1849</v>
      </c>
      <c r="Q261" s="331">
        <f t="shared" si="599"/>
        <v>1849</v>
      </c>
      <c r="R261" s="565">
        <f t="shared" si="605"/>
        <v>1845</v>
      </c>
      <c r="S261" s="331">
        <f t="shared" si="600"/>
        <v>1845</v>
      </c>
      <c r="T261" s="565">
        <f t="shared" si="606"/>
        <v>1840</v>
      </c>
      <c r="U261" s="331">
        <f t="shared" si="607"/>
        <v>1840</v>
      </c>
      <c r="V261" s="565">
        <f t="shared" si="608"/>
        <v>1837</v>
      </c>
      <c r="W261" s="331">
        <f t="shared" si="609"/>
        <v>1837</v>
      </c>
      <c r="X261" s="735"/>
      <c r="Y261" s="711"/>
      <c r="Z261" s="711"/>
      <c r="AA261" s="712"/>
      <c r="AB261" s="519">
        <v>968</v>
      </c>
      <c r="AC261" s="4"/>
      <c r="AD261" s="4"/>
      <c r="AE261" s="4"/>
      <c r="AF261" s="4"/>
      <c r="AG261" s="4"/>
      <c r="AH261" s="4"/>
      <c r="AI261" s="4"/>
      <c r="AJ261" s="4"/>
      <c r="AK261" s="4"/>
      <c r="AL261" s="4"/>
    </row>
    <row r="262" spans="1:38" s="1" customFormat="1" ht="12.6" customHeight="1" x14ac:dyDescent="0.2">
      <c r="A262" s="21"/>
      <c r="B262" s="696" t="s">
        <v>215</v>
      </c>
      <c r="C262" s="697"/>
      <c r="D262" s="697"/>
      <c r="E262" s="697"/>
      <c r="F262" s="330">
        <v>4602</v>
      </c>
      <c r="G262" s="330">
        <f t="shared" ref="G262:G265" si="612">+F262*$X$1</f>
        <v>4602</v>
      </c>
      <c r="H262" s="368">
        <f t="shared" si="610"/>
        <v>4862</v>
      </c>
      <c r="I262" s="330">
        <f t="shared" si="611"/>
        <v>4862</v>
      </c>
      <c r="J262" s="75">
        <f t="shared" si="601"/>
        <v>4697</v>
      </c>
      <c r="K262" s="330">
        <f t="shared" si="596"/>
        <v>4697</v>
      </c>
      <c r="L262" s="368">
        <f t="shared" si="602"/>
        <v>4672</v>
      </c>
      <c r="M262" s="330">
        <f t="shared" si="597"/>
        <v>4672</v>
      </c>
      <c r="N262" s="368">
        <f t="shared" si="603"/>
        <v>4661</v>
      </c>
      <c r="O262" s="330">
        <f t="shared" si="598"/>
        <v>4661</v>
      </c>
      <c r="P262" s="368">
        <f t="shared" si="604"/>
        <v>4657</v>
      </c>
      <c r="Q262" s="330">
        <f t="shared" si="599"/>
        <v>4657</v>
      </c>
      <c r="R262" s="368">
        <f t="shared" si="605"/>
        <v>4653</v>
      </c>
      <c r="S262" s="330">
        <f t="shared" si="600"/>
        <v>4653</v>
      </c>
      <c r="T262" s="368">
        <f t="shared" si="606"/>
        <v>4648</v>
      </c>
      <c r="U262" s="330">
        <f t="shared" si="607"/>
        <v>4648</v>
      </c>
      <c r="V262" s="368">
        <f t="shared" si="608"/>
        <v>4645</v>
      </c>
      <c r="W262" s="330">
        <f t="shared" si="609"/>
        <v>4645</v>
      </c>
      <c r="X262" s="735"/>
      <c r="Y262" s="711"/>
      <c r="Z262" s="711"/>
      <c r="AA262" s="712"/>
      <c r="AB262" s="519">
        <v>969</v>
      </c>
      <c r="AC262" s="4"/>
      <c r="AD262" s="4"/>
      <c r="AE262" s="4"/>
      <c r="AF262" s="4"/>
      <c r="AG262" s="4"/>
      <c r="AH262" s="4"/>
      <c r="AI262" s="4"/>
      <c r="AJ262" s="4"/>
      <c r="AK262" s="4"/>
      <c r="AL262" s="4"/>
    </row>
    <row r="263" spans="1:38" s="1" customFormat="1" ht="12.6" customHeight="1" x14ac:dyDescent="0.2">
      <c r="A263" s="21"/>
      <c r="B263" s="698" t="s">
        <v>429</v>
      </c>
      <c r="C263" s="693"/>
      <c r="D263" s="693"/>
      <c r="E263" s="694"/>
      <c r="F263" s="331">
        <v>3990</v>
      </c>
      <c r="G263" s="331">
        <f>+F263*$X$1</f>
        <v>3990</v>
      </c>
      <c r="H263" s="105">
        <f t="shared" si="610"/>
        <v>4250</v>
      </c>
      <c r="I263" s="331">
        <f t="shared" si="611"/>
        <v>4250</v>
      </c>
      <c r="J263" s="93">
        <f t="shared" si="601"/>
        <v>4085</v>
      </c>
      <c r="K263" s="331">
        <f t="shared" si="596"/>
        <v>4085</v>
      </c>
      <c r="L263" s="565">
        <f t="shared" si="602"/>
        <v>4060</v>
      </c>
      <c r="M263" s="331">
        <f t="shared" si="597"/>
        <v>4060</v>
      </c>
      <c r="N263" s="565">
        <f t="shared" si="603"/>
        <v>4049</v>
      </c>
      <c r="O263" s="331">
        <f t="shared" si="598"/>
        <v>4049</v>
      </c>
      <c r="P263" s="565">
        <f t="shared" si="604"/>
        <v>4045</v>
      </c>
      <c r="Q263" s="331">
        <f t="shared" si="599"/>
        <v>4045</v>
      </c>
      <c r="R263" s="565">
        <f t="shared" si="605"/>
        <v>4041</v>
      </c>
      <c r="S263" s="331">
        <f t="shared" si="600"/>
        <v>4041</v>
      </c>
      <c r="T263" s="565">
        <f t="shared" si="606"/>
        <v>4036</v>
      </c>
      <c r="U263" s="331">
        <f t="shared" si="607"/>
        <v>4036</v>
      </c>
      <c r="V263" s="565">
        <f t="shared" si="608"/>
        <v>4033</v>
      </c>
      <c r="W263" s="331">
        <f t="shared" si="609"/>
        <v>4033</v>
      </c>
      <c r="X263" s="234"/>
      <c r="Y263" s="236"/>
      <c r="Z263" s="236"/>
      <c r="AA263" s="235"/>
      <c r="AB263" s="519" t="s">
        <v>522</v>
      </c>
      <c r="AC263" s="4"/>
      <c r="AD263" s="4"/>
      <c r="AE263" s="4"/>
      <c r="AF263" s="4"/>
      <c r="AG263" s="4"/>
      <c r="AH263" s="4"/>
      <c r="AI263" s="4"/>
      <c r="AJ263" s="4"/>
      <c r="AK263" s="4"/>
      <c r="AL263" s="4"/>
    </row>
    <row r="264" spans="1:38" s="1" customFormat="1" ht="12.6" customHeight="1" x14ac:dyDescent="0.2">
      <c r="A264" s="21"/>
      <c r="B264" s="696" t="s">
        <v>216</v>
      </c>
      <c r="C264" s="697"/>
      <c r="D264" s="697"/>
      <c r="E264" s="697"/>
      <c r="F264" s="330">
        <v>2037</v>
      </c>
      <c r="G264" s="330">
        <f t="shared" si="612"/>
        <v>2037</v>
      </c>
      <c r="H264" s="483">
        <f t="shared" si="610"/>
        <v>2297</v>
      </c>
      <c r="I264" s="330">
        <f t="shared" si="611"/>
        <v>2297</v>
      </c>
      <c r="J264" s="75">
        <f t="shared" si="601"/>
        <v>2132</v>
      </c>
      <c r="K264" s="330">
        <f t="shared" si="596"/>
        <v>2132</v>
      </c>
      <c r="L264" s="368">
        <f t="shared" si="602"/>
        <v>2107</v>
      </c>
      <c r="M264" s="330">
        <f t="shared" si="597"/>
        <v>2107</v>
      </c>
      <c r="N264" s="368">
        <f t="shared" si="603"/>
        <v>2096</v>
      </c>
      <c r="O264" s="330">
        <f t="shared" si="598"/>
        <v>2096</v>
      </c>
      <c r="P264" s="368">
        <f t="shared" si="604"/>
        <v>2092</v>
      </c>
      <c r="Q264" s="330">
        <f t="shared" si="599"/>
        <v>2092</v>
      </c>
      <c r="R264" s="368">
        <f t="shared" si="605"/>
        <v>2088</v>
      </c>
      <c r="S264" s="330">
        <f t="shared" si="600"/>
        <v>2088</v>
      </c>
      <c r="T264" s="368">
        <f t="shared" si="606"/>
        <v>2083</v>
      </c>
      <c r="U264" s="330">
        <f t="shared" si="607"/>
        <v>2083</v>
      </c>
      <c r="V264" s="368">
        <f t="shared" si="608"/>
        <v>2080</v>
      </c>
      <c r="W264" s="330">
        <f t="shared" si="609"/>
        <v>2080</v>
      </c>
      <c r="X264" s="735"/>
      <c r="Y264" s="711"/>
      <c r="Z264" s="711"/>
      <c r="AA264" s="712"/>
      <c r="AB264" s="519">
        <v>970</v>
      </c>
      <c r="AC264" s="4"/>
      <c r="AD264" s="4"/>
      <c r="AE264" s="4"/>
      <c r="AF264" s="4"/>
      <c r="AG264" s="4"/>
      <c r="AH264" s="4"/>
      <c r="AI264" s="4"/>
      <c r="AJ264" s="4"/>
      <c r="AK264" s="4"/>
      <c r="AL264" s="4"/>
    </row>
    <row r="265" spans="1:38" s="1" customFormat="1" ht="12.6" customHeight="1" x14ac:dyDescent="0.2">
      <c r="A265" s="21"/>
      <c r="B265" s="679" t="s">
        <v>217</v>
      </c>
      <c r="C265" s="695"/>
      <c r="D265" s="695"/>
      <c r="E265" s="695"/>
      <c r="F265" s="331">
        <v>2116</v>
      </c>
      <c r="G265" s="331">
        <f t="shared" si="612"/>
        <v>2116</v>
      </c>
      <c r="H265" s="105">
        <f t="shared" si="610"/>
        <v>2376</v>
      </c>
      <c r="I265" s="331">
        <f t="shared" si="611"/>
        <v>2376</v>
      </c>
      <c r="J265" s="93">
        <f t="shared" si="601"/>
        <v>2211</v>
      </c>
      <c r="K265" s="331">
        <f t="shared" si="596"/>
        <v>2211</v>
      </c>
      <c r="L265" s="565">
        <f t="shared" si="602"/>
        <v>2186</v>
      </c>
      <c r="M265" s="331">
        <f t="shared" si="597"/>
        <v>2186</v>
      </c>
      <c r="N265" s="565">
        <f t="shared" si="603"/>
        <v>2175</v>
      </c>
      <c r="O265" s="331">
        <f t="shared" si="598"/>
        <v>2175</v>
      </c>
      <c r="P265" s="565">
        <f t="shared" si="604"/>
        <v>2171</v>
      </c>
      <c r="Q265" s="331">
        <f t="shared" si="599"/>
        <v>2171</v>
      </c>
      <c r="R265" s="565">
        <f t="shared" si="605"/>
        <v>2167</v>
      </c>
      <c r="S265" s="331">
        <f t="shared" si="600"/>
        <v>2167</v>
      </c>
      <c r="T265" s="565">
        <f t="shared" si="606"/>
        <v>2162</v>
      </c>
      <c r="U265" s="331">
        <f t="shared" si="607"/>
        <v>2162</v>
      </c>
      <c r="V265" s="565">
        <f t="shared" si="608"/>
        <v>2159</v>
      </c>
      <c r="W265" s="331">
        <f t="shared" si="609"/>
        <v>2159</v>
      </c>
      <c r="X265" s="735"/>
      <c r="Y265" s="711"/>
      <c r="Z265" s="711"/>
      <c r="AA265" s="712"/>
      <c r="AB265" s="519">
        <v>971</v>
      </c>
      <c r="AC265" s="4"/>
      <c r="AD265" s="4"/>
      <c r="AE265" s="4"/>
      <c r="AF265" s="4"/>
      <c r="AG265" s="4"/>
      <c r="AH265" s="4"/>
      <c r="AI265" s="4"/>
      <c r="AJ265" s="4"/>
      <c r="AK265" s="4"/>
      <c r="AL265" s="4"/>
    </row>
    <row r="266" spans="1:38" s="1" customFormat="1" ht="12.6" customHeight="1" x14ac:dyDescent="0.2">
      <c r="A266" s="21"/>
      <c r="B266" s="736" t="s">
        <v>430</v>
      </c>
      <c r="C266" s="739"/>
      <c r="D266" s="739"/>
      <c r="E266" s="740"/>
      <c r="F266" s="330">
        <v>1980</v>
      </c>
      <c r="G266" s="330">
        <f t="shared" ref="G266" si="613">+F266*$X$1</f>
        <v>1980</v>
      </c>
      <c r="H266" s="483">
        <f t="shared" si="610"/>
        <v>2240</v>
      </c>
      <c r="I266" s="330">
        <f t="shared" si="611"/>
        <v>2240</v>
      </c>
      <c r="J266" s="75">
        <f t="shared" si="601"/>
        <v>2075</v>
      </c>
      <c r="K266" s="330">
        <f t="shared" si="596"/>
        <v>2075</v>
      </c>
      <c r="L266" s="368">
        <f t="shared" si="602"/>
        <v>2050</v>
      </c>
      <c r="M266" s="330">
        <f t="shared" si="597"/>
        <v>2050</v>
      </c>
      <c r="N266" s="368">
        <f t="shared" si="603"/>
        <v>2039</v>
      </c>
      <c r="O266" s="330">
        <f t="shared" si="598"/>
        <v>2039</v>
      </c>
      <c r="P266" s="368">
        <f t="shared" si="604"/>
        <v>2035</v>
      </c>
      <c r="Q266" s="330">
        <f t="shared" si="599"/>
        <v>2035</v>
      </c>
      <c r="R266" s="368">
        <f t="shared" si="605"/>
        <v>2031</v>
      </c>
      <c r="S266" s="330">
        <f t="shared" si="600"/>
        <v>2031</v>
      </c>
      <c r="T266" s="368">
        <f t="shared" si="606"/>
        <v>2026</v>
      </c>
      <c r="U266" s="330">
        <f t="shared" si="607"/>
        <v>2026</v>
      </c>
      <c r="V266" s="368">
        <f t="shared" si="608"/>
        <v>2023</v>
      </c>
      <c r="W266" s="330">
        <f t="shared" si="609"/>
        <v>2023</v>
      </c>
      <c r="X266" s="167"/>
      <c r="Y266" s="168"/>
      <c r="Z266" s="168"/>
      <c r="AA266" s="169"/>
      <c r="AB266" s="519">
        <v>972</v>
      </c>
      <c r="AC266" s="4"/>
      <c r="AD266" s="4"/>
      <c r="AE266" s="4"/>
      <c r="AF266" s="4"/>
      <c r="AG266" s="4"/>
      <c r="AH266" s="4"/>
      <c r="AI266" s="4"/>
      <c r="AJ266" s="4"/>
      <c r="AK266" s="4"/>
      <c r="AL266" s="4"/>
    </row>
    <row r="267" spans="1:38" s="1" customFormat="1" ht="12.6" customHeight="1" x14ac:dyDescent="0.2">
      <c r="A267" s="21"/>
      <c r="B267" s="679" t="s">
        <v>218</v>
      </c>
      <c r="C267" s="695"/>
      <c r="D267" s="695"/>
      <c r="E267" s="695"/>
      <c r="F267" s="97"/>
      <c r="G267" s="546"/>
      <c r="H267" s="321"/>
      <c r="I267" s="321"/>
      <c r="J267" s="93"/>
      <c r="K267" s="97"/>
      <c r="L267" s="97"/>
      <c r="M267" s="97"/>
      <c r="N267" s="97"/>
      <c r="O267" s="565"/>
      <c r="P267" s="565"/>
      <c r="Q267" s="565"/>
      <c r="R267" s="565"/>
      <c r="S267" s="565"/>
      <c r="T267" s="565"/>
      <c r="U267" s="565"/>
      <c r="V267" s="565"/>
      <c r="W267" s="565"/>
      <c r="X267" s="741"/>
      <c r="Y267" s="742"/>
      <c r="Z267" s="742"/>
      <c r="AA267" s="743"/>
      <c r="AB267" s="208">
        <v>980</v>
      </c>
      <c r="AC267" s="4"/>
      <c r="AD267" s="4"/>
      <c r="AE267" s="4"/>
      <c r="AF267" s="4"/>
      <c r="AG267" s="4"/>
      <c r="AH267" s="4"/>
      <c r="AI267" s="4"/>
      <c r="AJ267" s="4"/>
      <c r="AK267" s="4"/>
      <c r="AL267" s="4"/>
    </row>
    <row r="268" spans="1:38" s="1" customFormat="1" ht="12.6" customHeight="1" x14ac:dyDescent="0.2">
      <c r="A268" s="21"/>
      <c r="B268" s="696" t="s">
        <v>219</v>
      </c>
      <c r="C268" s="704"/>
      <c r="D268" s="704"/>
      <c r="E268" s="704"/>
      <c r="F268" s="108"/>
      <c r="G268" s="368"/>
      <c r="H268" s="322"/>
      <c r="I268" s="322"/>
      <c r="J268" s="75"/>
      <c r="K268" s="325"/>
      <c r="L268" s="325"/>
      <c r="M268" s="325"/>
      <c r="N268" s="325"/>
      <c r="O268" s="368"/>
      <c r="P268" s="368"/>
      <c r="Q268" s="368"/>
      <c r="R268" s="368"/>
      <c r="S268" s="368"/>
      <c r="T268" s="368"/>
      <c r="U268" s="368"/>
      <c r="V268" s="368"/>
      <c r="W268" s="368"/>
      <c r="X268" s="741"/>
      <c r="Y268" s="742"/>
      <c r="Z268" s="742"/>
      <c r="AA268" s="743"/>
      <c r="AB268" s="208">
        <v>981</v>
      </c>
      <c r="AC268" s="4"/>
      <c r="AD268" s="4"/>
      <c r="AE268" s="4"/>
      <c r="AF268" s="4"/>
      <c r="AG268" s="4"/>
      <c r="AH268" s="4"/>
      <c r="AI268" s="4"/>
      <c r="AJ268" s="4"/>
      <c r="AK268" s="4"/>
      <c r="AL268" s="4"/>
    </row>
    <row r="269" spans="1:38" s="1" customFormat="1" ht="12.6" customHeight="1" x14ac:dyDescent="0.2">
      <c r="A269" s="21"/>
      <c r="B269" s="698" t="s">
        <v>538</v>
      </c>
      <c r="C269" s="917"/>
      <c r="D269" s="917"/>
      <c r="E269" s="918"/>
      <c r="F269" s="107"/>
      <c r="G269" s="546"/>
      <c r="H269" s="321"/>
      <c r="I269" s="321"/>
      <c r="J269" s="93"/>
      <c r="K269" s="97"/>
      <c r="L269" s="97"/>
      <c r="M269" s="97"/>
      <c r="N269" s="97"/>
      <c r="O269" s="565"/>
      <c r="P269" s="565"/>
      <c r="Q269" s="565"/>
      <c r="R269" s="565"/>
      <c r="S269" s="565"/>
      <c r="T269" s="565"/>
      <c r="U269" s="565"/>
      <c r="V269" s="565"/>
      <c r="W269" s="565"/>
      <c r="X269" s="741"/>
      <c r="Y269" s="742"/>
      <c r="Z269" s="742"/>
      <c r="AA269" s="743"/>
      <c r="AB269" s="208">
        <v>982</v>
      </c>
      <c r="AC269" s="4"/>
      <c r="AD269" s="4"/>
      <c r="AE269" s="4"/>
      <c r="AF269" s="4"/>
      <c r="AG269" s="4"/>
      <c r="AH269" s="4"/>
      <c r="AI269" s="4"/>
      <c r="AJ269" s="4"/>
      <c r="AK269" s="4"/>
      <c r="AL269" s="4"/>
    </row>
    <row r="270" spans="1:38" s="1" customFormat="1" ht="12.6" customHeight="1" x14ac:dyDescent="0.2">
      <c r="A270" s="21"/>
      <c r="B270" s="736" t="s">
        <v>575</v>
      </c>
      <c r="C270" s="737"/>
      <c r="D270" s="737"/>
      <c r="E270" s="738"/>
      <c r="F270" s="108"/>
      <c r="G270" s="368"/>
      <c r="H270" s="327"/>
      <c r="I270" s="322"/>
      <c r="J270" s="75"/>
      <c r="K270" s="325"/>
      <c r="L270" s="325"/>
      <c r="M270" s="325"/>
      <c r="N270" s="325"/>
      <c r="O270" s="368"/>
      <c r="P270" s="368"/>
      <c r="Q270" s="368"/>
      <c r="R270" s="368"/>
      <c r="S270" s="368"/>
      <c r="T270" s="368"/>
      <c r="U270" s="368"/>
      <c r="V270" s="368"/>
      <c r="W270" s="368"/>
      <c r="X270" s="741"/>
      <c r="Y270" s="742"/>
      <c r="Z270" s="742"/>
      <c r="AA270" s="743"/>
      <c r="AB270" s="208">
        <v>983</v>
      </c>
      <c r="AC270" s="4"/>
      <c r="AD270" s="4"/>
      <c r="AE270" s="4"/>
      <c r="AF270" s="4"/>
      <c r="AG270" s="4"/>
      <c r="AH270" s="4"/>
      <c r="AI270" s="4"/>
      <c r="AJ270" s="4"/>
      <c r="AK270" s="4"/>
      <c r="AL270" s="4"/>
    </row>
    <row r="271" spans="1:38" s="1" customFormat="1" ht="12.6" customHeight="1" x14ac:dyDescent="0.2">
      <c r="A271" s="21"/>
      <c r="B271" s="698" t="s">
        <v>220</v>
      </c>
      <c r="C271" s="917"/>
      <c r="D271" s="917"/>
      <c r="E271" s="918"/>
      <c r="F271" s="97"/>
      <c r="G271" s="546"/>
      <c r="H271" s="321"/>
      <c r="I271" s="321"/>
      <c r="J271" s="93"/>
      <c r="K271" s="97"/>
      <c r="L271" s="97"/>
      <c r="M271" s="97"/>
      <c r="N271" s="97"/>
      <c r="O271" s="565"/>
      <c r="P271" s="565"/>
      <c r="Q271" s="565"/>
      <c r="R271" s="565"/>
      <c r="S271" s="565"/>
      <c r="T271" s="565"/>
      <c r="U271" s="565"/>
      <c r="V271" s="565"/>
      <c r="W271" s="565"/>
      <c r="X271" s="741"/>
      <c r="Y271" s="742"/>
      <c r="Z271" s="742"/>
      <c r="AA271" s="743"/>
      <c r="AB271" s="208">
        <v>984</v>
      </c>
      <c r="AC271" s="4"/>
      <c r="AD271" s="4"/>
      <c r="AE271" s="4"/>
      <c r="AF271" s="4"/>
      <c r="AG271" s="4"/>
      <c r="AH271" s="4"/>
      <c r="AI271" s="4"/>
      <c r="AJ271" s="4"/>
      <c r="AK271" s="4"/>
      <c r="AL271" s="4"/>
    </row>
    <row r="272" spans="1:38" s="1" customFormat="1" ht="12.6" customHeight="1" x14ac:dyDescent="0.2">
      <c r="A272" s="21"/>
      <c r="B272" s="736" t="s">
        <v>221</v>
      </c>
      <c r="C272" s="737"/>
      <c r="D272" s="737"/>
      <c r="E272" s="738"/>
      <c r="F272" s="360"/>
      <c r="G272" s="368"/>
      <c r="H272" s="327"/>
      <c r="I272" s="322"/>
      <c r="J272" s="75"/>
      <c r="K272" s="325"/>
      <c r="L272" s="325"/>
      <c r="M272" s="325"/>
      <c r="N272" s="325"/>
      <c r="O272" s="368"/>
      <c r="P272" s="368"/>
      <c r="Q272" s="368"/>
      <c r="R272" s="368"/>
      <c r="S272" s="368"/>
      <c r="T272" s="368"/>
      <c r="U272" s="368"/>
      <c r="V272" s="368"/>
      <c r="W272" s="368"/>
      <c r="X272" s="741"/>
      <c r="Y272" s="742"/>
      <c r="Z272" s="742"/>
      <c r="AA272" s="743"/>
      <c r="AB272" s="208">
        <v>985</v>
      </c>
      <c r="AC272" s="4"/>
      <c r="AD272" s="4"/>
      <c r="AE272" s="4"/>
      <c r="AF272" s="4"/>
      <c r="AG272" s="4"/>
      <c r="AH272" s="4"/>
      <c r="AI272" s="4"/>
      <c r="AJ272" s="4"/>
      <c r="AK272" s="4"/>
      <c r="AL272" s="4"/>
    </row>
    <row r="273" spans="1:38" s="1" customFormat="1" ht="12.6" customHeight="1" x14ac:dyDescent="0.2">
      <c r="A273" s="21"/>
      <c r="B273" s="679" t="s">
        <v>434</v>
      </c>
      <c r="C273" s="695"/>
      <c r="D273" s="695"/>
      <c r="E273" s="695"/>
      <c r="F273" s="331">
        <v>362</v>
      </c>
      <c r="G273" s="331">
        <f>+F273*$X$1</f>
        <v>362</v>
      </c>
      <c r="H273" s="321"/>
      <c r="I273" s="321"/>
      <c r="J273" s="565">
        <f>F273+120</f>
        <v>482</v>
      </c>
      <c r="K273" s="331">
        <f t="shared" ref="K273" si="614">+J273*$X$1</f>
        <v>482</v>
      </c>
      <c r="L273" s="565">
        <f>F273+74</f>
        <v>436</v>
      </c>
      <c r="M273" s="331">
        <f t="shared" ref="M273" si="615">+L273*$X$1</f>
        <v>436</v>
      </c>
      <c r="N273" s="565">
        <f>F273+46</f>
        <v>408</v>
      </c>
      <c r="O273" s="331">
        <f t="shared" ref="O273" si="616">+N273*$X$1</f>
        <v>408</v>
      </c>
      <c r="P273" s="565">
        <f>F273+42</f>
        <v>404</v>
      </c>
      <c r="Q273" s="331">
        <f t="shared" ref="Q273" si="617">+P273*$X$1</f>
        <v>404</v>
      </c>
      <c r="R273" s="565">
        <f>F273+35</f>
        <v>397</v>
      </c>
      <c r="S273" s="331">
        <f t="shared" ref="S273" si="618">+R273*$X$1</f>
        <v>397</v>
      </c>
      <c r="T273" s="107">
        <f>F273+29</f>
        <v>391</v>
      </c>
      <c r="U273" s="356">
        <f t="shared" ref="U273" si="619">+T273*$X$1</f>
        <v>391</v>
      </c>
      <c r="V273" s="107">
        <f>F273+24</f>
        <v>386</v>
      </c>
      <c r="W273" s="356">
        <f t="shared" ref="W273" si="620">+V273*$X$1</f>
        <v>386</v>
      </c>
      <c r="X273" s="162"/>
      <c r="Y273" s="162"/>
      <c r="Z273" s="162"/>
      <c r="AA273" s="162"/>
      <c r="AB273" s="208">
        <v>998</v>
      </c>
      <c r="AC273" s="79"/>
      <c r="AD273" s="4"/>
      <c r="AE273" s="4"/>
      <c r="AF273" s="4"/>
      <c r="AG273" s="4"/>
      <c r="AH273" s="4"/>
      <c r="AI273" s="4"/>
      <c r="AJ273" s="4"/>
      <c r="AK273" s="4"/>
      <c r="AL273" s="4"/>
    </row>
    <row r="274" spans="1:38" s="1" customFormat="1" ht="12.6" customHeight="1" x14ac:dyDescent="0.2">
      <c r="A274" s="21"/>
      <c r="B274" s="736" t="s">
        <v>222</v>
      </c>
      <c r="C274" s="744"/>
      <c r="D274" s="744"/>
      <c r="E274" s="745"/>
      <c r="F274" s="330">
        <v>1210</v>
      </c>
      <c r="G274" s="357">
        <f t="shared" ref="G274" si="621">+F274*$X$1</f>
        <v>1210</v>
      </c>
      <c r="H274" s="752" t="s">
        <v>458</v>
      </c>
      <c r="I274" s="753"/>
      <c r="J274" s="753"/>
      <c r="K274" s="753"/>
      <c r="L274" s="753"/>
      <c r="M274" s="754"/>
      <c r="N274" s="483">
        <f>F274+59</f>
        <v>1269</v>
      </c>
      <c r="O274" s="330">
        <f t="shared" ref="O274:O278" si="622">+N274*$X$1</f>
        <v>1269</v>
      </c>
      <c r="P274" s="368">
        <f>F274+55</f>
        <v>1265</v>
      </c>
      <c r="Q274" s="330">
        <f t="shared" ref="Q274:Q278" si="623">+P274*$X$1</f>
        <v>1265</v>
      </c>
      <c r="R274" s="368">
        <f>F274+51</f>
        <v>1261</v>
      </c>
      <c r="S274" s="330">
        <f t="shared" ref="S274:S278" si="624">+R274*$X$1</f>
        <v>1261</v>
      </c>
      <c r="T274" s="368">
        <f>F274+46</f>
        <v>1256</v>
      </c>
      <c r="U274" s="330">
        <f t="shared" ref="U274:U278" si="625">+T274*$X$1</f>
        <v>1256</v>
      </c>
      <c r="V274" s="368">
        <f>F274+43</f>
        <v>1253</v>
      </c>
      <c r="W274" s="330">
        <f t="shared" ref="W274:W278" si="626">+V274*$X$1</f>
        <v>1253</v>
      </c>
      <c r="X274" s="735"/>
      <c r="Y274" s="710"/>
      <c r="Z274" s="710"/>
      <c r="AA274" s="712"/>
      <c r="AB274" s="208">
        <v>1001</v>
      </c>
      <c r="AC274" s="4"/>
      <c r="AD274" s="4"/>
      <c r="AE274" s="4"/>
      <c r="AF274" s="4"/>
      <c r="AG274" s="4"/>
      <c r="AH274" s="4"/>
      <c r="AI274" s="4"/>
      <c r="AJ274" s="4"/>
      <c r="AK274" s="4"/>
      <c r="AL274" s="4"/>
    </row>
    <row r="275" spans="1:38" s="1" customFormat="1" ht="12.6" customHeight="1" x14ac:dyDescent="0.2">
      <c r="A275" s="21"/>
      <c r="B275" s="698" t="s">
        <v>223</v>
      </c>
      <c r="C275" s="920"/>
      <c r="D275" s="920"/>
      <c r="E275" s="921"/>
      <c r="F275" s="371">
        <v>1210</v>
      </c>
      <c r="G275" s="331">
        <f t="shared" ref="G275:G284" si="627">+F275*$X$1</f>
        <v>1210</v>
      </c>
      <c r="H275" s="755"/>
      <c r="I275" s="756"/>
      <c r="J275" s="756"/>
      <c r="K275" s="753"/>
      <c r="L275" s="756"/>
      <c r="M275" s="754"/>
      <c r="N275" s="105">
        <f>F275+59</f>
        <v>1269</v>
      </c>
      <c r="O275" s="331">
        <f t="shared" si="622"/>
        <v>1269</v>
      </c>
      <c r="P275" s="565">
        <f>F275+55</f>
        <v>1265</v>
      </c>
      <c r="Q275" s="331">
        <f t="shared" si="623"/>
        <v>1265</v>
      </c>
      <c r="R275" s="565">
        <f>F275+51</f>
        <v>1261</v>
      </c>
      <c r="S275" s="331">
        <f t="shared" si="624"/>
        <v>1261</v>
      </c>
      <c r="T275" s="565">
        <f>F275+46</f>
        <v>1256</v>
      </c>
      <c r="U275" s="331">
        <f t="shared" si="625"/>
        <v>1256</v>
      </c>
      <c r="V275" s="565">
        <f>F275+43</f>
        <v>1253</v>
      </c>
      <c r="W275" s="331">
        <f t="shared" si="626"/>
        <v>1253</v>
      </c>
      <c r="X275" s="735"/>
      <c r="Y275" s="710"/>
      <c r="Z275" s="710"/>
      <c r="AA275" s="712"/>
      <c r="AB275" s="208">
        <v>1002</v>
      </c>
      <c r="AC275" s="4"/>
      <c r="AD275" s="4"/>
      <c r="AE275" s="4"/>
      <c r="AF275" s="4"/>
      <c r="AG275" s="4"/>
      <c r="AH275" s="4"/>
      <c r="AI275" s="4"/>
      <c r="AJ275" s="4"/>
      <c r="AK275" s="4"/>
      <c r="AL275" s="4"/>
    </row>
    <row r="276" spans="1:38" s="1" customFormat="1" ht="12.6" customHeight="1" x14ac:dyDescent="0.2">
      <c r="A276" s="21"/>
      <c r="B276" s="736" t="s">
        <v>728</v>
      </c>
      <c r="C276" s="744"/>
      <c r="D276" s="744"/>
      <c r="E276" s="745"/>
      <c r="F276" s="330">
        <v>1210</v>
      </c>
      <c r="G276" s="330">
        <f t="shared" si="627"/>
        <v>1210</v>
      </c>
      <c r="H276" s="755"/>
      <c r="I276" s="756"/>
      <c r="J276" s="756"/>
      <c r="K276" s="753"/>
      <c r="L276" s="756"/>
      <c r="M276" s="754"/>
      <c r="N276" s="483">
        <f>F276+59</f>
        <v>1269</v>
      </c>
      <c r="O276" s="330">
        <f t="shared" si="622"/>
        <v>1269</v>
      </c>
      <c r="P276" s="368">
        <f>F276+55</f>
        <v>1265</v>
      </c>
      <c r="Q276" s="330">
        <f t="shared" si="623"/>
        <v>1265</v>
      </c>
      <c r="R276" s="368">
        <f>F276+51</f>
        <v>1261</v>
      </c>
      <c r="S276" s="330">
        <f t="shared" si="624"/>
        <v>1261</v>
      </c>
      <c r="T276" s="368">
        <f>F276+46</f>
        <v>1256</v>
      </c>
      <c r="U276" s="330">
        <f t="shared" si="625"/>
        <v>1256</v>
      </c>
      <c r="V276" s="368">
        <f>F276+43</f>
        <v>1253</v>
      </c>
      <c r="W276" s="330">
        <f t="shared" si="626"/>
        <v>1253</v>
      </c>
      <c r="X276" s="735"/>
      <c r="Y276" s="710"/>
      <c r="Z276" s="710"/>
      <c r="AA276" s="712"/>
      <c r="AB276" s="208"/>
      <c r="AC276" s="4"/>
      <c r="AD276" s="4"/>
      <c r="AE276" s="4"/>
      <c r="AF276" s="4"/>
      <c r="AG276" s="4"/>
      <c r="AH276" s="4"/>
      <c r="AI276" s="4"/>
      <c r="AJ276" s="4"/>
      <c r="AK276" s="4"/>
      <c r="AL276" s="4"/>
    </row>
    <row r="277" spans="1:38" s="1" customFormat="1" ht="12.6" customHeight="1" x14ac:dyDescent="0.2">
      <c r="A277" s="21"/>
      <c r="B277" s="679" t="s">
        <v>798</v>
      </c>
      <c r="C277" s="695"/>
      <c r="D277" s="695"/>
      <c r="E277" s="695"/>
      <c r="F277" s="331">
        <v>1430</v>
      </c>
      <c r="G277" s="331">
        <f t="shared" si="627"/>
        <v>1430</v>
      </c>
      <c r="H277" s="755"/>
      <c r="I277" s="756"/>
      <c r="J277" s="756"/>
      <c r="K277" s="753"/>
      <c r="L277" s="756"/>
      <c r="M277" s="754"/>
      <c r="N277" s="105">
        <f>F277+59</f>
        <v>1489</v>
      </c>
      <c r="O277" s="331">
        <f t="shared" si="622"/>
        <v>1489</v>
      </c>
      <c r="P277" s="565">
        <f>F277+55</f>
        <v>1485</v>
      </c>
      <c r="Q277" s="331">
        <f t="shared" si="623"/>
        <v>1485</v>
      </c>
      <c r="R277" s="565">
        <f>F277+51</f>
        <v>1481</v>
      </c>
      <c r="S277" s="331">
        <f t="shared" si="624"/>
        <v>1481</v>
      </c>
      <c r="T277" s="565">
        <f>F277+46</f>
        <v>1476</v>
      </c>
      <c r="U277" s="331">
        <f t="shared" si="625"/>
        <v>1476</v>
      </c>
      <c r="V277" s="565">
        <f>F277+43</f>
        <v>1473</v>
      </c>
      <c r="W277" s="331">
        <f t="shared" si="626"/>
        <v>1473</v>
      </c>
      <c r="X277" s="735"/>
      <c r="Y277" s="711"/>
      <c r="Z277" s="711"/>
      <c r="AA277" s="712"/>
      <c r="AB277" s="208">
        <v>1004</v>
      </c>
      <c r="AC277" s="4"/>
      <c r="AD277" s="4"/>
      <c r="AE277" s="4"/>
      <c r="AF277" s="4"/>
      <c r="AG277" s="4"/>
      <c r="AH277" s="4"/>
      <c r="AI277" s="4"/>
      <c r="AJ277" s="4"/>
      <c r="AK277" s="4"/>
      <c r="AL277" s="4"/>
    </row>
    <row r="278" spans="1:38" s="1" customFormat="1" ht="12.6" customHeight="1" x14ac:dyDescent="0.2">
      <c r="A278" s="21"/>
      <c r="B278" s="736" t="s">
        <v>797</v>
      </c>
      <c r="C278" s="744"/>
      <c r="D278" s="744"/>
      <c r="E278" s="745"/>
      <c r="F278" s="330">
        <v>1430</v>
      </c>
      <c r="G278" s="330">
        <f t="shared" si="627"/>
        <v>1430</v>
      </c>
      <c r="H278" s="755"/>
      <c r="I278" s="756"/>
      <c r="J278" s="756"/>
      <c r="K278" s="753"/>
      <c r="L278" s="756"/>
      <c r="M278" s="754"/>
      <c r="N278" s="483">
        <f>F278+59</f>
        <v>1489</v>
      </c>
      <c r="O278" s="330">
        <f t="shared" si="622"/>
        <v>1489</v>
      </c>
      <c r="P278" s="368">
        <f>F278+55</f>
        <v>1485</v>
      </c>
      <c r="Q278" s="330">
        <f t="shared" si="623"/>
        <v>1485</v>
      </c>
      <c r="R278" s="368">
        <f>F278+51</f>
        <v>1481</v>
      </c>
      <c r="S278" s="330">
        <f t="shared" si="624"/>
        <v>1481</v>
      </c>
      <c r="T278" s="368">
        <f>F278+46</f>
        <v>1476</v>
      </c>
      <c r="U278" s="330">
        <f t="shared" si="625"/>
        <v>1476</v>
      </c>
      <c r="V278" s="368">
        <f>F278+43</f>
        <v>1473</v>
      </c>
      <c r="W278" s="330">
        <f t="shared" si="626"/>
        <v>1473</v>
      </c>
      <c r="X278" s="735"/>
      <c r="Y278" s="710"/>
      <c r="Z278" s="710"/>
      <c r="AA278" s="712"/>
      <c r="AB278" s="208">
        <v>1005</v>
      </c>
      <c r="AC278" s="4"/>
      <c r="AD278" s="4"/>
      <c r="AE278" s="4"/>
      <c r="AF278" s="4"/>
      <c r="AG278" s="4"/>
      <c r="AH278" s="138"/>
      <c r="AI278" s="4"/>
      <c r="AJ278" s="4"/>
      <c r="AK278" s="4"/>
      <c r="AL278" s="4"/>
    </row>
    <row r="279" spans="1:38" s="1" customFormat="1" ht="12.6" customHeight="1" x14ac:dyDescent="0.2">
      <c r="A279" s="21"/>
      <c r="B279" s="698" t="s">
        <v>224</v>
      </c>
      <c r="C279" s="693"/>
      <c r="D279" s="693"/>
      <c r="E279" s="694"/>
      <c r="F279" s="331"/>
      <c r="G279" s="331"/>
      <c r="H279" s="757"/>
      <c r="I279" s="758"/>
      <c r="J279" s="758"/>
      <c r="K279" s="758"/>
      <c r="L279" s="758"/>
      <c r="M279" s="759"/>
      <c r="N279" s="456"/>
      <c r="O279" s="331"/>
      <c r="P279" s="456"/>
      <c r="Q279" s="331"/>
      <c r="R279" s="456"/>
      <c r="S279" s="331"/>
      <c r="T279" s="456"/>
      <c r="U279" s="331"/>
      <c r="V279" s="456"/>
      <c r="W279" s="331"/>
      <c r="X279" s="735"/>
      <c r="Y279" s="710"/>
      <c r="Z279" s="710"/>
      <c r="AA279" s="712"/>
      <c r="AB279" s="208">
        <v>1006</v>
      </c>
      <c r="AC279" s="4"/>
      <c r="AD279" s="4"/>
      <c r="AE279" s="4"/>
      <c r="AF279" s="4"/>
      <c r="AG279" s="4"/>
      <c r="AH279" s="138"/>
      <c r="AI279" s="4"/>
      <c r="AJ279" s="4"/>
      <c r="AK279" s="4"/>
      <c r="AL279" s="4"/>
    </row>
    <row r="280" spans="1:38" s="1" customFormat="1" ht="12.6" customHeight="1" x14ac:dyDescent="0.2">
      <c r="A280" s="21"/>
      <c r="B280" s="760" t="s">
        <v>889</v>
      </c>
      <c r="C280" s="761"/>
      <c r="D280" s="761"/>
      <c r="E280" s="762"/>
      <c r="F280" s="468">
        <f>2.8*X2</f>
        <v>2626.3999999999996</v>
      </c>
      <c r="G280" s="332">
        <f t="shared" ref="G280" si="628">+F280*$X$1</f>
        <v>2626.3999999999996</v>
      </c>
      <c r="H280" s="75">
        <f>F280+300</f>
        <v>2926.3999999999996</v>
      </c>
      <c r="I280" s="330">
        <f t="shared" ref="I280" si="629">+H280*$X$1</f>
        <v>2926.3999999999996</v>
      </c>
      <c r="J280" s="665">
        <f>F280+150</f>
        <v>2776.3999999999996</v>
      </c>
      <c r="K280" s="330">
        <f>+J280*$X$1</f>
        <v>2776.3999999999996</v>
      </c>
      <c r="L280" s="665">
        <f>F280+120</f>
        <v>2746.3999999999996</v>
      </c>
      <c r="M280" s="330">
        <f>+L280*$X$1</f>
        <v>2746.3999999999996</v>
      </c>
      <c r="N280" s="75">
        <f>F280+95</f>
        <v>2721.3999999999996</v>
      </c>
      <c r="O280" s="330">
        <f t="shared" ref="O280" si="630">+N280*$X$1</f>
        <v>2721.3999999999996</v>
      </c>
      <c r="P280" s="75">
        <f>F280+80</f>
        <v>2706.3999999999996</v>
      </c>
      <c r="Q280" s="330">
        <f t="shared" ref="Q280" si="631">+P280*$X$1</f>
        <v>2706.3999999999996</v>
      </c>
      <c r="R280" s="665">
        <f>F280+74</f>
        <v>2700.3999999999996</v>
      </c>
      <c r="S280" s="330">
        <f t="shared" ref="S280" si="632">+R280*$X$1</f>
        <v>2700.3999999999996</v>
      </c>
      <c r="T280" s="665">
        <f>F280+68</f>
        <v>2694.3999999999996</v>
      </c>
      <c r="U280" s="330">
        <f t="shared" ref="U280" si="633">+T280*$X$1</f>
        <v>2694.3999999999996</v>
      </c>
      <c r="V280" s="665">
        <f>F280+62</f>
        <v>2688.3999999999996</v>
      </c>
      <c r="W280" s="330">
        <f t="shared" ref="W280" si="634">+V280*$X$1</f>
        <v>2688.3999999999996</v>
      </c>
      <c r="X280" s="643"/>
      <c r="Y280" s="641"/>
      <c r="Z280" s="641"/>
      <c r="AA280" s="642"/>
      <c r="AB280" s="208">
        <v>1026</v>
      </c>
      <c r="AC280" s="4"/>
      <c r="AD280" s="4"/>
      <c r="AE280" s="4"/>
      <c r="AF280" s="4"/>
      <c r="AG280" s="4"/>
      <c r="AH280" s="138"/>
      <c r="AI280" s="4"/>
      <c r="AJ280" s="4"/>
      <c r="AK280" s="4"/>
      <c r="AL280" s="4"/>
    </row>
    <row r="281" spans="1:38" s="1" customFormat="1" ht="12.6" customHeight="1" x14ac:dyDescent="0.2">
      <c r="A281" s="21"/>
      <c r="B281" s="698" t="s">
        <v>796</v>
      </c>
      <c r="C281" s="693"/>
      <c r="D281" s="693"/>
      <c r="E281" s="694"/>
      <c r="F281" s="467">
        <f>3.528*X2</f>
        <v>3309.2640000000001</v>
      </c>
      <c r="G281" s="333">
        <f t="shared" ref="G281" si="635">+F281*$X$1</f>
        <v>3309.2640000000001</v>
      </c>
      <c r="H281" s="93">
        <f>F281+300</f>
        <v>3609.2640000000001</v>
      </c>
      <c r="I281" s="331">
        <f t="shared" ref="I281" si="636">+H281*$X$1</f>
        <v>3609.2640000000001</v>
      </c>
      <c r="J281" s="650">
        <f>F281+150</f>
        <v>3459.2640000000001</v>
      </c>
      <c r="K281" s="331">
        <f>+J281*$X$1</f>
        <v>3459.2640000000001</v>
      </c>
      <c r="L281" s="650">
        <f>F281+120</f>
        <v>3429.2640000000001</v>
      </c>
      <c r="M281" s="331">
        <f>+L281*$X$1</f>
        <v>3429.2640000000001</v>
      </c>
      <c r="N281" s="93">
        <f>F281+95</f>
        <v>3404.2640000000001</v>
      </c>
      <c r="O281" s="331">
        <f t="shared" ref="O281" si="637">+N281*$X$1</f>
        <v>3404.2640000000001</v>
      </c>
      <c r="P281" s="93">
        <f>F281+80</f>
        <v>3389.2640000000001</v>
      </c>
      <c r="Q281" s="331">
        <f t="shared" ref="Q281" si="638">+P281*$X$1</f>
        <v>3389.2640000000001</v>
      </c>
      <c r="R281" s="650">
        <f>F281+74</f>
        <v>3383.2640000000001</v>
      </c>
      <c r="S281" s="331">
        <f t="shared" ref="S281" si="639">+R281*$X$1</f>
        <v>3383.2640000000001</v>
      </c>
      <c r="T281" s="650">
        <f>F281+68</f>
        <v>3377.2640000000001</v>
      </c>
      <c r="U281" s="331">
        <f t="shared" ref="U281" si="640">+T281*$X$1</f>
        <v>3377.2640000000001</v>
      </c>
      <c r="V281" s="650">
        <f>F281+62</f>
        <v>3371.2640000000001</v>
      </c>
      <c r="W281" s="331">
        <f t="shared" ref="W281" si="641">+V281*$X$1</f>
        <v>3371.2640000000001</v>
      </c>
      <c r="X281" s="564"/>
      <c r="Y281" s="562"/>
      <c r="Z281" s="562"/>
      <c r="AA281" s="563"/>
      <c r="AB281" s="208">
        <v>1027</v>
      </c>
      <c r="AC281" s="4"/>
      <c r="AD281" s="4"/>
      <c r="AE281" s="4"/>
      <c r="AF281" s="4"/>
      <c r="AG281" s="4"/>
      <c r="AH281" s="138"/>
      <c r="AI281" s="4"/>
      <c r="AJ281" s="4"/>
      <c r="AK281" s="4"/>
      <c r="AL281" s="4"/>
    </row>
    <row r="282" spans="1:38" s="1" customFormat="1" ht="12.6" customHeight="1" x14ac:dyDescent="0.2">
      <c r="A282" s="21"/>
      <c r="B282" s="736" t="s">
        <v>678</v>
      </c>
      <c r="C282" s="739"/>
      <c r="D282" s="739"/>
      <c r="E282" s="740"/>
      <c r="F282" s="468">
        <f>15.25*X2</f>
        <v>14304.5</v>
      </c>
      <c r="G282" s="332">
        <f t="shared" si="627"/>
        <v>14304.5</v>
      </c>
      <c r="H282" s="75">
        <f>F282+300</f>
        <v>14604.5</v>
      </c>
      <c r="I282" s="330">
        <f t="shared" ref="I282" si="642">+H282*$X$1</f>
        <v>14604.5</v>
      </c>
      <c r="J282" s="665">
        <f>F282+140</f>
        <v>14444.5</v>
      </c>
      <c r="K282" s="330">
        <f t="shared" ref="K282" si="643">+J282*$X$1</f>
        <v>14444.5</v>
      </c>
      <c r="L282" s="665">
        <f>F282+100</f>
        <v>14404.5</v>
      </c>
      <c r="M282" s="330">
        <f t="shared" ref="M282" si="644">+L282*$X$1</f>
        <v>14404.5</v>
      </c>
      <c r="N282" s="665">
        <f>F282+80</f>
        <v>14384.5</v>
      </c>
      <c r="O282" s="330">
        <f t="shared" ref="O282:O285" si="645">+N282*$X$1</f>
        <v>14384.5</v>
      </c>
      <c r="P282" s="665">
        <f>F282+68</f>
        <v>14372.5</v>
      </c>
      <c r="Q282" s="330">
        <f t="shared" ref="Q282:Q285" si="646">+P282*$X$1</f>
        <v>14372.5</v>
      </c>
      <c r="R282" s="665">
        <f>F282+62</f>
        <v>14366.5</v>
      </c>
      <c r="S282" s="330">
        <f t="shared" ref="S282:S285" si="647">+R282*$X$1</f>
        <v>14366.5</v>
      </c>
      <c r="T282" s="665">
        <f>F282+56</f>
        <v>14360.5</v>
      </c>
      <c r="U282" s="330">
        <f t="shared" ref="U282:U285" si="648">+T282*$X$1</f>
        <v>14360.5</v>
      </c>
      <c r="V282" s="665">
        <f>F282+50</f>
        <v>14354.5</v>
      </c>
      <c r="W282" s="330">
        <f t="shared" ref="W282:W285" si="649">+V282*$X$1</f>
        <v>14354.5</v>
      </c>
      <c r="X282" s="390"/>
      <c r="Y282" s="391"/>
      <c r="Z282" s="391"/>
      <c r="AA282" s="392"/>
      <c r="AB282" s="208">
        <v>1028</v>
      </c>
      <c r="AC282" s="4"/>
      <c r="AD282" s="4"/>
      <c r="AE282" s="4"/>
      <c r="AF282" s="4"/>
      <c r="AG282" s="4"/>
      <c r="AH282" s="138"/>
      <c r="AI282" s="4"/>
      <c r="AJ282" s="4"/>
      <c r="AK282" s="4"/>
      <c r="AL282" s="4"/>
    </row>
    <row r="283" spans="1:38" s="1" customFormat="1" ht="12.6" customHeight="1" x14ac:dyDescent="0.2">
      <c r="A283" s="21"/>
      <c r="B283" s="698" t="s">
        <v>675</v>
      </c>
      <c r="C283" s="693"/>
      <c r="D283" s="693"/>
      <c r="E283" s="694"/>
      <c r="F283" s="331">
        <v>2960</v>
      </c>
      <c r="G283" s="331">
        <f t="shared" ref="G283" si="650">+F283*$X$1</f>
        <v>2960</v>
      </c>
      <c r="H283" s="93"/>
      <c r="I283" s="331"/>
      <c r="J283" s="650"/>
      <c r="K283" s="331"/>
      <c r="L283" s="650">
        <f>F283+120</f>
        <v>3080</v>
      </c>
      <c r="M283" s="331">
        <f>+L283*$X$1</f>
        <v>3080</v>
      </c>
      <c r="N283" s="93">
        <f>F283+95</f>
        <v>3055</v>
      </c>
      <c r="O283" s="331">
        <f t="shared" si="645"/>
        <v>3055</v>
      </c>
      <c r="P283" s="93">
        <f>F283+80</f>
        <v>3040</v>
      </c>
      <c r="Q283" s="331">
        <f t="shared" si="646"/>
        <v>3040</v>
      </c>
      <c r="R283" s="650">
        <f>F283+74</f>
        <v>3034</v>
      </c>
      <c r="S283" s="331">
        <f t="shared" si="647"/>
        <v>3034</v>
      </c>
      <c r="T283" s="650">
        <f>F283+68</f>
        <v>3028</v>
      </c>
      <c r="U283" s="331">
        <f t="shared" si="648"/>
        <v>3028</v>
      </c>
      <c r="V283" s="650">
        <f>F283+62</f>
        <v>3022</v>
      </c>
      <c r="W283" s="331">
        <f t="shared" si="649"/>
        <v>3022</v>
      </c>
      <c r="X283" s="453"/>
      <c r="Y283" s="454"/>
      <c r="Z283" s="454"/>
      <c r="AA283" s="455"/>
      <c r="AB283" s="208">
        <v>1029</v>
      </c>
      <c r="AC283" s="4"/>
      <c r="AD283" s="4"/>
      <c r="AE283" s="4"/>
      <c r="AF283" s="4"/>
      <c r="AG283" s="4"/>
      <c r="AH283" s="138"/>
      <c r="AI283" s="4"/>
      <c r="AJ283" s="4"/>
      <c r="AK283" s="4"/>
      <c r="AL283" s="4"/>
    </row>
    <row r="284" spans="1:38" s="1" customFormat="1" ht="12.6" customHeight="1" x14ac:dyDescent="0.2">
      <c r="A284" s="21"/>
      <c r="B284" s="736" t="s">
        <v>676</v>
      </c>
      <c r="C284" s="739"/>
      <c r="D284" s="739"/>
      <c r="E284" s="740"/>
      <c r="F284" s="330">
        <v>2960</v>
      </c>
      <c r="G284" s="330">
        <f t="shared" si="627"/>
        <v>2960</v>
      </c>
      <c r="H284" s="75"/>
      <c r="I284" s="330"/>
      <c r="J284" s="665"/>
      <c r="K284" s="330"/>
      <c r="L284" s="665">
        <f>F284+120</f>
        <v>3080</v>
      </c>
      <c r="M284" s="330">
        <f>+L284*$X$1</f>
        <v>3080</v>
      </c>
      <c r="N284" s="75">
        <f>F284+95</f>
        <v>3055</v>
      </c>
      <c r="O284" s="330">
        <f t="shared" si="645"/>
        <v>3055</v>
      </c>
      <c r="P284" s="75">
        <f>F284+80</f>
        <v>3040</v>
      </c>
      <c r="Q284" s="330">
        <f t="shared" si="646"/>
        <v>3040</v>
      </c>
      <c r="R284" s="665">
        <f>F284+74</f>
        <v>3034</v>
      </c>
      <c r="S284" s="330">
        <f t="shared" si="647"/>
        <v>3034</v>
      </c>
      <c r="T284" s="665">
        <f>F284+68</f>
        <v>3028</v>
      </c>
      <c r="U284" s="330">
        <f t="shared" si="648"/>
        <v>3028</v>
      </c>
      <c r="V284" s="665">
        <f>F284+62</f>
        <v>3022</v>
      </c>
      <c r="W284" s="330">
        <f t="shared" si="649"/>
        <v>3022</v>
      </c>
      <c r="X284" s="378"/>
      <c r="Y284" s="376"/>
      <c r="Z284" s="376"/>
      <c r="AA284" s="377"/>
      <c r="AB284" s="208">
        <v>1030</v>
      </c>
      <c r="AC284" s="4"/>
      <c r="AD284" s="4"/>
      <c r="AE284" s="4"/>
      <c r="AF284" s="4"/>
      <c r="AG284" s="4"/>
      <c r="AH284" s="138"/>
      <c r="AI284" s="4"/>
      <c r="AJ284" s="4"/>
      <c r="AK284" s="4"/>
      <c r="AL284" s="4"/>
    </row>
    <row r="285" spans="1:38" s="1" customFormat="1" ht="12.6" customHeight="1" x14ac:dyDescent="0.2">
      <c r="A285" s="21"/>
      <c r="B285" s="698" t="s">
        <v>677</v>
      </c>
      <c r="C285" s="693"/>
      <c r="D285" s="693"/>
      <c r="E285" s="694"/>
      <c r="F285" s="331">
        <v>2960</v>
      </c>
      <c r="G285" s="331">
        <f t="shared" ref="G285" si="651">+F285*$X$1</f>
        <v>2960</v>
      </c>
      <c r="H285" s="93"/>
      <c r="I285" s="331"/>
      <c r="J285" s="650"/>
      <c r="K285" s="331"/>
      <c r="L285" s="650">
        <f>F285+120</f>
        <v>3080</v>
      </c>
      <c r="M285" s="331">
        <f>+L285*$X$1</f>
        <v>3080</v>
      </c>
      <c r="N285" s="93">
        <f>F285+95</f>
        <v>3055</v>
      </c>
      <c r="O285" s="331">
        <f t="shared" si="645"/>
        <v>3055</v>
      </c>
      <c r="P285" s="93">
        <f>F285+80</f>
        <v>3040</v>
      </c>
      <c r="Q285" s="331">
        <f t="shared" si="646"/>
        <v>3040</v>
      </c>
      <c r="R285" s="650">
        <f>F285+74</f>
        <v>3034</v>
      </c>
      <c r="S285" s="331">
        <f t="shared" si="647"/>
        <v>3034</v>
      </c>
      <c r="T285" s="650">
        <f>F285+68</f>
        <v>3028</v>
      </c>
      <c r="U285" s="331">
        <f t="shared" si="648"/>
        <v>3028</v>
      </c>
      <c r="V285" s="650">
        <f>F285+62</f>
        <v>3022</v>
      </c>
      <c r="W285" s="331">
        <f t="shared" si="649"/>
        <v>3022</v>
      </c>
      <c r="X285" s="385"/>
      <c r="Y285" s="386"/>
      <c r="Z285" s="386"/>
      <c r="AA285" s="387"/>
      <c r="AB285" s="208">
        <v>1031</v>
      </c>
      <c r="AC285" s="4"/>
      <c r="AD285" s="4"/>
      <c r="AE285" s="4"/>
      <c r="AF285" s="4"/>
      <c r="AG285" s="4"/>
      <c r="AH285" s="138"/>
      <c r="AI285" s="4"/>
      <c r="AJ285" s="4"/>
      <c r="AK285" s="4"/>
      <c r="AL285" s="4"/>
    </row>
    <row r="286" spans="1:38" s="1" customFormat="1" ht="12.6" customHeight="1" x14ac:dyDescent="0.2">
      <c r="A286" s="21"/>
      <c r="B286" s="1083" t="s">
        <v>550</v>
      </c>
      <c r="C286" s="1084"/>
      <c r="D286" s="1084"/>
      <c r="E286" s="1085"/>
      <c r="F286" s="672">
        <f>4.5*X2</f>
        <v>4221</v>
      </c>
      <c r="G286" s="673">
        <f t="shared" ref="G286" si="652">+F286*$X$1</f>
        <v>4221</v>
      </c>
      <c r="H286" s="109">
        <f t="shared" ref="H286:H292" si="653">F286+300</f>
        <v>4521</v>
      </c>
      <c r="I286" s="393">
        <f t="shared" ref="I286" si="654">+H286*$X$1</f>
        <v>4521</v>
      </c>
      <c r="J286" s="667">
        <f>F286+140</f>
        <v>4361</v>
      </c>
      <c r="K286" s="393">
        <f t="shared" ref="K286" si="655">+J286*$X$1</f>
        <v>4361</v>
      </c>
      <c r="L286" s="667">
        <f>F286+100</f>
        <v>4321</v>
      </c>
      <c r="M286" s="393">
        <f t="shared" ref="M286" si="656">+L286*$X$1</f>
        <v>4321</v>
      </c>
      <c r="N286" s="667">
        <f>F286+80</f>
        <v>4301</v>
      </c>
      <c r="O286" s="393">
        <f t="shared" ref="O286:O288" si="657">+N286*$X$1</f>
        <v>4301</v>
      </c>
      <c r="P286" s="667">
        <f>F286+68</f>
        <v>4289</v>
      </c>
      <c r="Q286" s="393">
        <f t="shared" ref="Q286:Q288" si="658">+P286*$X$1</f>
        <v>4289</v>
      </c>
      <c r="R286" s="667">
        <f>F286+62</f>
        <v>4283</v>
      </c>
      <c r="S286" s="393">
        <f t="shared" ref="S286:S288" si="659">+R286*$X$1</f>
        <v>4283</v>
      </c>
      <c r="T286" s="667">
        <f>F286+56</f>
        <v>4277</v>
      </c>
      <c r="U286" s="393">
        <f t="shared" ref="U286:U288" si="660">+T286*$X$1</f>
        <v>4277</v>
      </c>
      <c r="V286" s="667">
        <f>F286+50</f>
        <v>4271</v>
      </c>
      <c r="W286" s="393">
        <f t="shared" ref="W286:W288" si="661">+V286*$X$1</f>
        <v>4271</v>
      </c>
      <c r="X286" s="277"/>
      <c r="Y286" s="278"/>
      <c r="Z286" s="278"/>
      <c r="AA286" s="279"/>
      <c r="AB286" s="208">
        <v>1033</v>
      </c>
      <c r="AC286" s="4"/>
      <c r="AD286" s="4"/>
      <c r="AE286" s="4"/>
      <c r="AF286" s="4"/>
      <c r="AG286" s="4"/>
      <c r="AH286" s="138"/>
      <c r="AI286" s="4"/>
      <c r="AJ286" s="4"/>
      <c r="AK286" s="4"/>
      <c r="AL286" s="4"/>
    </row>
    <row r="287" spans="1:38" s="1" customFormat="1" ht="12.6" customHeight="1" x14ac:dyDescent="0.2">
      <c r="A287" s="21"/>
      <c r="B287" s="698" t="s">
        <v>539</v>
      </c>
      <c r="C287" s="693"/>
      <c r="D287" s="693"/>
      <c r="E287" s="694"/>
      <c r="F287" s="461">
        <f>21.33*X2</f>
        <v>20007.539999999997</v>
      </c>
      <c r="G287" s="331">
        <f t="shared" ref="G287" si="662">+F287*$X$1</f>
        <v>20007.539999999997</v>
      </c>
      <c r="H287" s="93">
        <f t="shared" si="653"/>
        <v>20307.539999999997</v>
      </c>
      <c r="I287" s="331">
        <f t="shared" ref="I287:I288" si="663">+H287*$X$1</f>
        <v>20307.539999999997</v>
      </c>
      <c r="J287" s="650">
        <f>F287+140</f>
        <v>20147.539999999997</v>
      </c>
      <c r="K287" s="331">
        <f t="shared" ref="K287" si="664">+J287*$X$1</f>
        <v>20147.539999999997</v>
      </c>
      <c r="L287" s="650">
        <f>F287+100</f>
        <v>20107.539999999997</v>
      </c>
      <c r="M287" s="331">
        <f t="shared" ref="M287" si="665">+L287*$X$1</f>
        <v>20107.539999999997</v>
      </c>
      <c r="N287" s="650">
        <f>F287+80</f>
        <v>20087.539999999997</v>
      </c>
      <c r="O287" s="331">
        <f t="shared" si="657"/>
        <v>20087.539999999997</v>
      </c>
      <c r="P287" s="650">
        <f>F287+68</f>
        <v>20075.539999999997</v>
      </c>
      <c r="Q287" s="331">
        <f t="shared" si="658"/>
        <v>20075.539999999997</v>
      </c>
      <c r="R287" s="650">
        <f>F287+62</f>
        <v>20069.539999999997</v>
      </c>
      <c r="S287" s="331">
        <f t="shared" si="659"/>
        <v>20069.539999999997</v>
      </c>
      <c r="T287" s="650">
        <f>F287+56</f>
        <v>20063.539999999997</v>
      </c>
      <c r="U287" s="331">
        <f t="shared" si="660"/>
        <v>20063.539999999997</v>
      </c>
      <c r="V287" s="650">
        <f>F287+50</f>
        <v>20057.539999999997</v>
      </c>
      <c r="W287" s="331">
        <f t="shared" si="661"/>
        <v>20057.539999999997</v>
      </c>
      <c r="X287" s="270"/>
      <c r="Y287" s="272"/>
      <c r="Z287" s="272"/>
      <c r="AA287" s="271"/>
      <c r="AB287" s="208">
        <v>1034</v>
      </c>
      <c r="AC287" s="4"/>
      <c r="AD287" s="4"/>
      <c r="AE287" s="4"/>
      <c r="AF287" s="4"/>
      <c r="AG287" s="4"/>
      <c r="AH287" s="138"/>
      <c r="AI287" s="4"/>
      <c r="AJ287" s="4"/>
      <c r="AK287" s="4"/>
      <c r="AL287" s="4"/>
    </row>
    <row r="288" spans="1:38" ht="12.6" customHeight="1" x14ac:dyDescent="0.2">
      <c r="A288" s="20"/>
      <c r="B288" s="736" t="s">
        <v>681</v>
      </c>
      <c r="C288" s="739"/>
      <c r="D288" s="739"/>
      <c r="E288" s="740"/>
      <c r="F288" s="460">
        <f>4.49*X2</f>
        <v>4211.62</v>
      </c>
      <c r="G288" s="330">
        <f t="shared" ref="G288" si="666">+F288*$X$1</f>
        <v>4211.62</v>
      </c>
      <c r="H288" s="75">
        <f t="shared" si="653"/>
        <v>4511.62</v>
      </c>
      <c r="I288" s="330">
        <f t="shared" si="663"/>
        <v>4511.62</v>
      </c>
      <c r="J288" s="665">
        <f>F288+150</f>
        <v>4361.62</v>
      </c>
      <c r="K288" s="330">
        <f>+J288*$X$1</f>
        <v>4361.62</v>
      </c>
      <c r="L288" s="665">
        <f>F288+120</f>
        <v>4331.62</v>
      </c>
      <c r="M288" s="330">
        <f>+L288*$X$1</f>
        <v>4331.62</v>
      </c>
      <c r="N288" s="75">
        <f>F288+95</f>
        <v>4306.62</v>
      </c>
      <c r="O288" s="330">
        <f t="shared" si="657"/>
        <v>4306.62</v>
      </c>
      <c r="P288" s="75">
        <f>F288+80</f>
        <v>4291.62</v>
      </c>
      <c r="Q288" s="330">
        <f t="shared" si="658"/>
        <v>4291.62</v>
      </c>
      <c r="R288" s="665">
        <f>F288+74</f>
        <v>4285.62</v>
      </c>
      <c r="S288" s="330">
        <f t="shared" si="659"/>
        <v>4285.62</v>
      </c>
      <c r="T288" s="665">
        <f>F288+68</f>
        <v>4279.62</v>
      </c>
      <c r="U288" s="330">
        <f t="shared" si="660"/>
        <v>4279.62</v>
      </c>
      <c r="V288" s="665">
        <f>F288+62</f>
        <v>4273.62</v>
      </c>
      <c r="W288" s="330">
        <f t="shared" si="661"/>
        <v>4273.62</v>
      </c>
      <c r="X288" s="264"/>
      <c r="Y288" s="266"/>
      <c r="Z288" s="266"/>
      <c r="AA288" s="265"/>
      <c r="AB288" s="208">
        <v>1036</v>
      </c>
    </row>
    <row r="289" spans="1:29" ht="12.6" customHeight="1" x14ac:dyDescent="0.2">
      <c r="A289" s="20"/>
      <c r="B289" s="679" t="s">
        <v>501</v>
      </c>
      <c r="C289" s="695"/>
      <c r="D289" s="695"/>
      <c r="E289" s="695"/>
      <c r="F289" s="331">
        <v>12270</v>
      </c>
      <c r="G289" s="331">
        <f>+F289*$X$1</f>
        <v>12270</v>
      </c>
      <c r="H289" s="93">
        <f t="shared" si="653"/>
        <v>12570</v>
      </c>
      <c r="I289" s="331">
        <f t="shared" ref="I289:I292" si="667">+H289*$X$1</f>
        <v>12570</v>
      </c>
      <c r="J289" s="650">
        <f>F289+140</f>
        <v>12410</v>
      </c>
      <c r="K289" s="331">
        <f t="shared" ref="K289:K292" si="668">+J289*$X$1</f>
        <v>12410</v>
      </c>
      <c r="L289" s="650">
        <f>F289+100</f>
        <v>12370</v>
      </c>
      <c r="M289" s="331">
        <f t="shared" ref="M289:M292" si="669">+L289*$X$1</f>
        <v>12370</v>
      </c>
      <c r="N289" s="650">
        <f>F289+80</f>
        <v>12350</v>
      </c>
      <c r="O289" s="331">
        <f t="shared" ref="O289:O292" si="670">+N289*$X$1</f>
        <v>12350</v>
      </c>
      <c r="P289" s="650">
        <f>F289+68</f>
        <v>12338</v>
      </c>
      <c r="Q289" s="331">
        <f t="shared" ref="Q289:Q292" si="671">+P289*$X$1</f>
        <v>12338</v>
      </c>
      <c r="R289" s="650">
        <f>F289+62</f>
        <v>12332</v>
      </c>
      <c r="S289" s="331">
        <f t="shared" ref="S289:S292" si="672">+R289*$X$1</f>
        <v>12332</v>
      </c>
      <c r="T289" s="650">
        <f>F289+56</f>
        <v>12326</v>
      </c>
      <c r="U289" s="331">
        <f t="shared" ref="U289:U292" si="673">+T289*$X$1</f>
        <v>12326</v>
      </c>
      <c r="V289" s="650">
        <f>F289+50</f>
        <v>12320</v>
      </c>
      <c r="W289" s="331">
        <f t="shared" ref="W289:W292" si="674">+V289*$X$1</f>
        <v>12320</v>
      </c>
      <c r="X289" s="735"/>
      <c r="Y289" s="710"/>
      <c r="Z289" s="710"/>
      <c r="AA289" s="712"/>
      <c r="AB289" s="208">
        <v>1040</v>
      </c>
      <c r="AC289" s="68"/>
    </row>
    <row r="290" spans="1:29" ht="12.6" customHeight="1" x14ac:dyDescent="0.2">
      <c r="A290" s="20"/>
      <c r="B290" s="696" t="s">
        <v>892</v>
      </c>
      <c r="C290" s="697"/>
      <c r="D290" s="697"/>
      <c r="E290" s="697"/>
      <c r="F290" s="460">
        <f>22.35*X2</f>
        <v>20964.300000000003</v>
      </c>
      <c r="G290" s="330">
        <f>+F290*$X$1</f>
        <v>20964.300000000003</v>
      </c>
      <c r="H290" s="75">
        <f t="shared" si="653"/>
        <v>21264.300000000003</v>
      </c>
      <c r="I290" s="330">
        <f t="shared" si="667"/>
        <v>21264.300000000003</v>
      </c>
      <c r="J290" s="665">
        <f>F290+140</f>
        <v>21104.300000000003</v>
      </c>
      <c r="K290" s="330">
        <f t="shared" si="668"/>
        <v>21104.300000000003</v>
      </c>
      <c r="L290" s="665">
        <f>F290+100</f>
        <v>21064.300000000003</v>
      </c>
      <c r="M290" s="330">
        <f t="shared" si="669"/>
        <v>21064.300000000003</v>
      </c>
      <c r="N290" s="665">
        <f>F290+80</f>
        <v>21044.300000000003</v>
      </c>
      <c r="O290" s="330">
        <f t="shared" si="670"/>
        <v>21044.300000000003</v>
      </c>
      <c r="P290" s="665">
        <f>F290+68</f>
        <v>21032.300000000003</v>
      </c>
      <c r="Q290" s="330">
        <f t="shared" si="671"/>
        <v>21032.300000000003</v>
      </c>
      <c r="R290" s="665">
        <f>F290+62</f>
        <v>21026.300000000003</v>
      </c>
      <c r="S290" s="330">
        <f t="shared" si="672"/>
        <v>21026.300000000003</v>
      </c>
      <c r="T290" s="665">
        <f>F290+56</f>
        <v>21020.300000000003</v>
      </c>
      <c r="U290" s="330">
        <f t="shared" si="673"/>
        <v>21020.300000000003</v>
      </c>
      <c r="V290" s="665">
        <f>F290+50</f>
        <v>21014.300000000003</v>
      </c>
      <c r="W290" s="330">
        <f t="shared" si="674"/>
        <v>21014.300000000003</v>
      </c>
      <c r="X290" s="735"/>
      <c r="Y290" s="710"/>
      <c r="Z290" s="710"/>
      <c r="AA290" s="712"/>
      <c r="AB290" s="208">
        <v>1041</v>
      </c>
      <c r="AC290" s="68"/>
    </row>
    <row r="291" spans="1:29" ht="12.6" customHeight="1" x14ac:dyDescent="0.2">
      <c r="A291" s="20"/>
      <c r="B291" s="679" t="s">
        <v>891</v>
      </c>
      <c r="C291" s="695"/>
      <c r="D291" s="695"/>
      <c r="E291" s="695"/>
      <c r="F291" s="461">
        <f>16.6*X2</f>
        <v>15570.800000000001</v>
      </c>
      <c r="G291" s="331">
        <f t="shared" ref="G291" si="675">+F291*$X$1</f>
        <v>15570.800000000001</v>
      </c>
      <c r="H291" s="93">
        <f t="shared" si="653"/>
        <v>15870.800000000001</v>
      </c>
      <c r="I291" s="331">
        <f t="shared" si="667"/>
        <v>15870.800000000001</v>
      </c>
      <c r="J291" s="650">
        <f>F291+140</f>
        <v>15710.800000000001</v>
      </c>
      <c r="K291" s="331">
        <f t="shared" si="668"/>
        <v>15710.800000000001</v>
      </c>
      <c r="L291" s="650">
        <f>F291+100</f>
        <v>15670.800000000001</v>
      </c>
      <c r="M291" s="331">
        <f t="shared" si="669"/>
        <v>15670.800000000001</v>
      </c>
      <c r="N291" s="650">
        <f>F291+80</f>
        <v>15650.800000000001</v>
      </c>
      <c r="O291" s="331">
        <f t="shared" si="670"/>
        <v>15650.800000000001</v>
      </c>
      <c r="P291" s="650">
        <f>F291+68</f>
        <v>15638.800000000001</v>
      </c>
      <c r="Q291" s="331">
        <f t="shared" si="671"/>
        <v>15638.800000000001</v>
      </c>
      <c r="R291" s="650">
        <f>F291+62</f>
        <v>15632.800000000001</v>
      </c>
      <c r="S291" s="331">
        <f t="shared" si="672"/>
        <v>15632.800000000001</v>
      </c>
      <c r="T291" s="650">
        <f>F291+56</f>
        <v>15626.800000000001</v>
      </c>
      <c r="U291" s="331">
        <f t="shared" si="673"/>
        <v>15626.800000000001</v>
      </c>
      <c r="V291" s="650">
        <f>F291+50</f>
        <v>15620.800000000001</v>
      </c>
      <c r="W291" s="331">
        <f t="shared" si="674"/>
        <v>15620.800000000001</v>
      </c>
      <c r="X291" s="735"/>
      <c r="Y291" s="710"/>
      <c r="Z291" s="710"/>
      <c r="AA291" s="712"/>
      <c r="AB291" s="208">
        <v>1042</v>
      </c>
    </row>
    <row r="292" spans="1:29" ht="12.6" customHeight="1" x14ac:dyDescent="0.2">
      <c r="A292" s="20"/>
      <c r="B292" s="696" t="s">
        <v>596</v>
      </c>
      <c r="C292" s="697"/>
      <c r="D292" s="697"/>
      <c r="E292" s="697"/>
      <c r="F292" s="330">
        <v>20350</v>
      </c>
      <c r="G292" s="330">
        <f t="shared" ref="G292:G299" si="676">+F292*$X$1</f>
        <v>20350</v>
      </c>
      <c r="H292" s="75">
        <f t="shared" si="653"/>
        <v>20650</v>
      </c>
      <c r="I292" s="330">
        <f t="shared" si="667"/>
        <v>20650</v>
      </c>
      <c r="J292" s="665">
        <f>F292+140</f>
        <v>20490</v>
      </c>
      <c r="K292" s="330">
        <f t="shared" si="668"/>
        <v>20490</v>
      </c>
      <c r="L292" s="665">
        <f>F292+100</f>
        <v>20450</v>
      </c>
      <c r="M292" s="330">
        <f t="shared" si="669"/>
        <v>20450</v>
      </c>
      <c r="N292" s="665">
        <f>F292+80</f>
        <v>20430</v>
      </c>
      <c r="O292" s="330">
        <f t="shared" si="670"/>
        <v>20430</v>
      </c>
      <c r="P292" s="665">
        <f>F292+68</f>
        <v>20418</v>
      </c>
      <c r="Q292" s="330">
        <f t="shared" si="671"/>
        <v>20418</v>
      </c>
      <c r="R292" s="665">
        <f>F292+62</f>
        <v>20412</v>
      </c>
      <c r="S292" s="330">
        <f t="shared" si="672"/>
        <v>20412</v>
      </c>
      <c r="T292" s="665">
        <f>F292+56</f>
        <v>20406</v>
      </c>
      <c r="U292" s="330">
        <f t="shared" si="673"/>
        <v>20406</v>
      </c>
      <c r="V292" s="665">
        <f>F292+50</f>
        <v>20400</v>
      </c>
      <c r="W292" s="330">
        <f t="shared" si="674"/>
        <v>20400</v>
      </c>
      <c r="X292" s="735"/>
      <c r="Y292" s="710"/>
      <c r="Z292" s="710"/>
      <c r="AA292" s="712"/>
      <c r="AB292" s="208">
        <v>1043</v>
      </c>
      <c r="AC292" s="68"/>
    </row>
    <row r="293" spans="1:29" ht="12.6" customHeight="1" x14ac:dyDescent="0.2">
      <c r="A293" s="20"/>
      <c r="B293" s="679" t="s">
        <v>597</v>
      </c>
      <c r="C293" s="695"/>
      <c r="D293" s="695"/>
      <c r="E293" s="695"/>
      <c r="F293" s="331">
        <v>20576</v>
      </c>
      <c r="G293" s="331">
        <f t="shared" si="676"/>
        <v>20576</v>
      </c>
      <c r="H293" s="93">
        <f t="shared" ref="H293:H301" si="677">F293+300</f>
        <v>20876</v>
      </c>
      <c r="I293" s="331">
        <f t="shared" ref="I293:I302" si="678">+H293*$X$1</f>
        <v>20876</v>
      </c>
      <c r="J293" s="650">
        <f t="shared" ref="J293:J301" si="679">F293+140</f>
        <v>20716</v>
      </c>
      <c r="K293" s="331">
        <f t="shared" ref="K293:K301" si="680">+J293*$X$1</f>
        <v>20716</v>
      </c>
      <c r="L293" s="650">
        <f t="shared" ref="L293:L301" si="681">F293+100</f>
        <v>20676</v>
      </c>
      <c r="M293" s="331">
        <f t="shared" ref="M293:M301" si="682">+L293*$X$1</f>
        <v>20676</v>
      </c>
      <c r="N293" s="650">
        <f t="shared" ref="N293:N301" si="683">F293+80</f>
        <v>20656</v>
      </c>
      <c r="O293" s="331">
        <f t="shared" ref="O293:O302" si="684">+N293*$X$1</f>
        <v>20656</v>
      </c>
      <c r="P293" s="650">
        <f t="shared" ref="P293:P301" si="685">F293+68</f>
        <v>20644</v>
      </c>
      <c r="Q293" s="331">
        <f t="shared" ref="Q293:Q302" si="686">+P293*$X$1</f>
        <v>20644</v>
      </c>
      <c r="R293" s="650">
        <f t="shared" ref="R293:R301" si="687">F293+62</f>
        <v>20638</v>
      </c>
      <c r="S293" s="331">
        <f t="shared" ref="S293:S302" si="688">+R293*$X$1</f>
        <v>20638</v>
      </c>
      <c r="T293" s="650">
        <f t="shared" ref="T293:T301" si="689">F293+56</f>
        <v>20632</v>
      </c>
      <c r="U293" s="331">
        <f t="shared" ref="U293:U302" si="690">+T293*$X$1</f>
        <v>20632</v>
      </c>
      <c r="V293" s="650">
        <f t="shared" ref="V293:V301" si="691">F293+50</f>
        <v>20626</v>
      </c>
      <c r="W293" s="331">
        <f t="shared" ref="W293:W302" si="692">+V293*$X$1</f>
        <v>20626</v>
      </c>
      <c r="X293" s="735"/>
      <c r="Y293" s="710"/>
      <c r="Z293" s="710"/>
      <c r="AA293" s="712"/>
      <c r="AB293" s="208">
        <v>1044</v>
      </c>
      <c r="AC293" s="68"/>
    </row>
    <row r="294" spans="1:29" ht="12.6" customHeight="1" x14ac:dyDescent="0.2">
      <c r="A294" s="20"/>
      <c r="B294" s="684" t="s">
        <v>893</v>
      </c>
      <c r="C294" s="817"/>
      <c r="D294" s="817"/>
      <c r="E294" s="817"/>
      <c r="F294" s="330">
        <v>21437</v>
      </c>
      <c r="G294" s="330">
        <f>+F294*$X$1</f>
        <v>21437</v>
      </c>
      <c r="H294" s="75">
        <f t="shared" si="677"/>
        <v>21737</v>
      </c>
      <c r="I294" s="330">
        <f t="shared" si="678"/>
        <v>21737</v>
      </c>
      <c r="J294" s="665">
        <f t="shared" si="679"/>
        <v>21577</v>
      </c>
      <c r="K294" s="330">
        <f t="shared" si="680"/>
        <v>21577</v>
      </c>
      <c r="L294" s="665">
        <f t="shared" si="681"/>
        <v>21537</v>
      </c>
      <c r="M294" s="330">
        <f t="shared" si="682"/>
        <v>21537</v>
      </c>
      <c r="N294" s="665">
        <f t="shared" si="683"/>
        <v>21517</v>
      </c>
      <c r="O294" s="330">
        <f t="shared" si="684"/>
        <v>21517</v>
      </c>
      <c r="P294" s="665">
        <f t="shared" si="685"/>
        <v>21505</v>
      </c>
      <c r="Q294" s="330">
        <f t="shared" si="686"/>
        <v>21505</v>
      </c>
      <c r="R294" s="665">
        <f t="shared" si="687"/>
        <v>21499</v>
      </c>
      <c r="S294" s="330">
        <f t="shared" si="688"/>
        <v>21499</v>
      </c>
      <c r="T294" s="665">
        <f t="shared" si="689"/>
        <v>21493</v>
      </c>
      <c r="U294" s="330">
        <f t="shared" si="690"/>
        <v>21493</v>
      </c>
      <c r="V294" s="665">
        <f t="shared" si="691"/>
        <v>21487</v>
      </c>
      <c r="W294" s="330">
        <f t="shared" si="692"/>
        <v>21487</v>
      </c>
      <c r="X294" s="710"/>
      <c r="Y294" s="710"/>
      <c r="Z294" s="710"/>
      <c r="AA294" s="712"/>
      <c r="AB294" s="208">
        <v>1045</v>
      </c>
      <c r="AC294" s="68"/>
    </row>
    <row r="295" spans="1:29" ht="12.6" customHeight="1" x14ac:dyDescent="0.2">
      <c r="A295" s="20"/>
      <c r="B295" s="684" t="s">
        <v>894</v>
      </c>
      <c r="C295" s="817"/>
      <c r="D295" s="817"/>
      <c r="E295" s="817"/>
      <c r="F295" s="331">
        <v>21665</v>
      </c>
      <c r="G295" s="331">
        <f>+F295*$X$1</f>
        <v>21665</v>
      </c>
      <c r="H295" s="93">
        <f t="shared" si="677"/>
        <v>21965</v>
      </c>
      <c r="I295" s="331">
        <f t="shared" si="678"/>
        <v>21965</v>
      </c>
      <c r="J295" s="650">
        <f t="shared" si="679"/>
        <v>21805</v>
      </c>
      <c r="K295" s="331">
        <f t="shared" si="680"/>
        <v>21805</v>
      </c>
      <c r="L295" s="650">
        <f t="shared" si="681"/>
        <v>21765</v>
      </c>
      <c r="M295" s="331">
        <f t="shared" si="682"/>
        <v>21765</v>
      </c>
      <c r="N295" s="650">
        <f t="shared" si="683"/>
        <v>21745</v>
      </c>
      <c r="O295" s="331">
        <f t="shared" si="684"/>
        <v>21745</v>
      </c>
      <c r="P295" s="650">
        <f t="shared" si="685"/>
        <v>21733</v>
      </c>
      <c r="Q295" s="331">
        <f t="shared" si="686"/>
        <v>21733</v>
      </c>
      <c r="R295" s="650">
        <f t="shared" si="687"/>
        <v>21727</v>
      </c>
      <c r="S295" s="331">
        <f t="shared" si="688"/>
        <v>21727</v>
      </c>
      <c r="T295" s="650">
        <f t="shared" si="689"/>
        <v>21721</v>
      </c>
      <c r="U295" s="331">
        <f t="shared" si="690"/>
        <v>21721</v>
      </c>
      <c r="V295" s="650">
        <f t="shared" si="691"/>
        <v>21715</v>
      </c>
      <c r="W295" s="331">
        <f t="shared" si="692"/>
        <v>21715</v>
      </c>
      <c r="X295" s="710"/>
      <c r="Y295" s="710"/>
      <c r="Z295" s="710"/>
      <c r="AA295" s="712"/>
      <c r="AB295" s="208">
        <v>1046</v>
      </c>
      <c r="AC295" s="68"/>
    </row>
    <row r="296" spans="1:29" ht="12.6" customHeight="1" x14ac:dyDescent="0.2">
      <c r="A296" s="20"/>
      <c r="B296" s="696" t="s">
        <v>632</v>
      </c>
      <c r="C296" s="697"/>
      <c r="D296" s="697"/>
      <c r="E296" s="697"/>
      <c r="F296" s="330">
        <v>11200</v>
      </c>
      <c r="G296" s="330">
        <f t="shared" si="676"/>
        <v>11200</v>
      </c>
      <c r="H296" s="75">
        <f t="shared" si="677"/>
        <v>11500</v>
      </c>
      <c r="I296" s="330">
        <f t="shared" si="678"/>
        <v>11500</v>
      </c>
      <c r="J296" s="665">
        <f t="shared" si="679"/>
        <v>11340</v>
      </c>
      <c r="K296" s="330">
        <f t="shared" si="680"/>
        <v>11340</v>
      </c>
      <c r="L296" s="665">
        <f t="shared" si="681"/>
        <v>11300</v>
      </c>
      <c r="M296" s="330">
        <f t="shared" si="682"/>
        <v>11300</v>
      </c>
      <c r="N296" s="665">
        <f t="shared" si="683"/>
        <v>11280</v>
      </c>
      <c r="O296" s="330">
        <f t="shared" si="684"/>
        <v>11280</v>
      </c>
      <c r="P296" s="665">
        <f t="shared" si="685"/>
        <v>11268</v>
      </c>
      <c r="Q296" s="330">
        <f t="shared" si="686"/>
        <v>11268</v>
      </c>
      <c r="R296" s="665">
        <f t="shared" si="687"/>
        <v>11262</v>
      </c>
      <c r="S296" s="330">
        <f t="shared" si="688"/>
        <v>11262</v>
      </c>
      <c r="T296" s="665">
        <f t="shared" si="689"/>
        <v>11256</v>
      </c>
      <c r="U296" s="330">
        <f t="shared" si="690"/>
        <v>11256</v>
      </c>
      <c r="V296" s="665">
        <f t="shared" si="691"/>
        <v>11250</v>
      </c>
      <c r="W296" s="330">
        <f t="shared" si="692"/>
        <v>11250</v>
      </c>
      <c r="X296" s="735"/>
      <c r="Y296" s="710"/>
      <c r="Z296" s="710"/>
      <c r="AA296" s="712"/>
      <c r="AB296" s="208">
        <v>1048</v>
      </c>
      <c r="AC296" s="68"/>
    </row>
    <row r="297" spans="1:29" ht="12.6" customHeight="1" x14ac:dyDescent="0.2">
      <c r="A297" s="20"/>
      <c r="B297" s="679" t="s">
        <v>631</v>
      </c>
      <c r="C297" s="695"/>
      <c r="D297" s="695"/>
      <c r="E297" s="695"/>
      <c r="F297" s="331">
        <v>10550</v>
      </c>
      <c r="G297" s="331">
        <f t="shared" si="676"/>
        <v>10550</v>
      </c>
      <c r="H297" s="93">
        <f t="shared" si="677"/>
        <v>10850</v>
      </c>
      <c r="I297" s="331">
        <f t="shared" si="678"/>
        <v>10850</v>
      </c>
      <c r="J297" s="650">
        <f t="shared" si="679"/>
        <v>10690</v>
      </c>
      <c r="K297" s="331">
        <f t="shared" si="680"/>
        <v>10690</v>
      </c>
      <c r="L297" s="650">
        <f t="shared" si="681"/>
        <v>10650</v>
      </c>
      <c r="M297" s="331">
        <f t="shared" si="682"/>
        <v>10650</v>
      </c>
      <c r="N297" s="650">
        <f t="shared" si="683"/>
        <v>10630</v>
      </c>
      <c r="O297" s="331">
        <f t="shared" si="684"/>
        <v>10630</v>
      </c>
      <c r="P297" s="650">
        <f t="shared" si="685"/>
        <v>10618</v>
      </c>
      <c r="Q297" s="331">
        <f t="shared" si="686"/>
        <v>10618</v>
      </c>
      <c r="R297" s="650">
        <f t="shared" si="687"/>
        <v>10612</v>
      </c>
      <c r="S297" s="331">
        <f t="shared" si="688"/>
        <v>10612</v>
      </c>
      <c r="T297" s="650">
        <f t="shared" si="689"/>
        <v>10606</v>
      </c>
      <c r="U297" s="331">
        <f t="shared" si="690"/>
        <v>10606</v>
      </c>
      <c r="V297" s="650">
        <f t="shared" si="691"/>
        <v>10600</v>
      </c>
      <c r="W297" s="331">
        <f t="shared" si="692"/>
        <v>10600</v>
      </c>
      <c r="X297" s="735"/>
      <c r="Y297" s="710"/>
      <c r="Z297" s="710"/>
      <c r="AA297" s="712"/>
      <c r="AB297" s="208">
        <v>1049</v>
      </c>
      <c r="AC297" s="68"/>
    </row>
    <row r="298" spans="1:29" ht="12.6" customHeight="1" x14ac:dyDescent="0.2">
      <c r="A298" s="20"/>
      <c r="B298" s="696" t="s">
        <v>633</v>
      </c>
      <c r="C298" s="697"/>
      <c r="D298" s="697"/>
      <c r="E298" s="697"/>
      <c r="F298" s="330">
        <v>11860</v>
      </c>
      <c r="G298" s="330">
        <f t="shared" si="676"/>
        <v>11860</v>
      </c>
      <c r="H298" s="75">
        <f t="shared" si="677"/>
        <v>12160</v>
      </c>
      <c r="I298" s="330">
        <f t="shared" si="678"/>
        <v>12160</v>
      </c>
      <c r="J298" s="665">
        <f t="shared" si="679"/>
        <v>12000</v>
      </c>
      <c r="K298" s="330">
        <f t="shared" si="680"/>
        <v>12000</v>
      </c>
      <c r="L298" s="665">
        <f t="shared" si="681"/>
        <v>11960</v>
      </c>
      <c r="M298" s="330">
        <f t="shared" si="682"/>
        <v>11960</v>
      </c>
      <c r="N298" s="665">
        <f t="shared" si="683"/>
        <v>11940</v>
      </c>
      <c r="O298" s="330">
        <f t="shared" si="684"/>
        <v>11940</v>
      </c>
      <c r="P298" s="665">
        <f t="shared" si="685"/>
        <v>11928</v>
      </c>
      <c r="Q298" s="330">
        <f t="shared" si="686"/>
        <v>11928</v>
      </c>
      <c r="R298" s="665">
        <f t="shared" si="687"/>
        <v>11922</v>
      </c>
      <c r="S298" s="330">
        <f t="shared" si="688"/>
        <v>11922</v>
      </c>
      <c r="T298" s="665">
        <f t="shared" si="689"/>
        <v>11916</v>
      </c>
      <c r="U298" s="330">
        <f t="shared" si="690"/>
        <v>11916</v>
      </c>
      <c r="V298" s="665">
        <f t="shared" si="691"/>
        <v>11910</v>
      </c>
      <c r="W298" s="330">
        <f t="shared" si="692"/>
        <v>11910</v>
      </c>
      <c r="X298" s="735"/>
      <c r="Y298" s="710"/>
      <c r="Z298" s="710"/>
      <c r="AA298" s="712"/>
      <c r="AB298" s="208">
        <v>1050</v>
      </c>
      <c r="AC298" s="68"/>
    </row>
    <row r="299" spans="1:29" ht="12.6" customHeight="1" x14ac:dyDescent="0.2">
      <c r="A299" s="20"/>
      <c r="B299" s="698" t="s">
        <v>531</v>
      </c>
      <c r="C299" s="920"/>
      <c r="D299" s="920"/>
      <c r="E299" s="921"/>
      <c r="F299" s="461">
        <f>31.583*X2</f>
        <v>29624.853999999999</v>
      </c>
      <c r="G299" s="331">
        <f t="shared" si="676"/>
        <v>29624.853999999999</v>
      </c>
      <c r="H299" s="93">
        <f t="shared" si="677"/>
        <v>29924.853999999999</v>
      </c>
      <c r="I299" s="331">
        <f t="shared" si="678"/>
        <v>29924.853999999999</v>
      </c>
      <c r="J299" s="650">
        <f t="shared" si="679"/>
        <v>29764.853999999999</v>
      </c>
      <c r="K299" s="331">
        <f t="shared" si="680"/>
        <v>29764.853999999999</v>
      </c>
      <c r="L299" s="650">
        <f t="shared" si="681"/>
        <v>29724.853999999999</v>
      </c>
      <c r="M299" s="331">
        <f t="shared" si="682"/>
        <v>29724.853999999999</v>
      </c>
      <c r="N299" s="650">
        <f t="shared" si="683"/>
        <v>29704.853999999999</v>
      </c>
      <c r="O299" s="331">
        <f t="shared" si="684"/>
        <v>29704.853999999999</v>
      </c>
      <c r="P299" s="650">
        <f t="shared" si="685"/>
        <v>29692.853999999999</v>
      </c>
      <c r="Q299" s="331">
        <f t="shared" si="686"/>
        <v>29692.853999999999</v>
      </c>
      <c r="R299" s="650">
        <f t="shared" si="687"/>
        <v>29686.853999999999</v>
      </c>
      <c r="S299" s="331">
        <f t="shared" si="688"/>
        <v>29686.853999999999</v>
      </c>
      <c r="T299" s="650">
        <f t="shared" si="689"/>
        <v>29680.853999999999</v>
      </c>
      <c r="U299" s="331">
        <f t="shared" si="690"/>
        <v>29680.853999999999</v>
      </c>
      <c r="V299" s="650">
        <f t="shared" si="691"/>
        <v>29674.853999999999</v>
      </c>
      <c r="W299" s="331">
        <f t="shared" si="692"/>
        <v>29674.853999999999</v>
      </c>
      <c r="X299" s="735"/>
      <c r="Y299" s="710"/>
      <c r="Z299" s="710"/>
      <c r="AA299" s="712"/>
      <c r="AB299" s="208">
        <v>1053</v>
      </c>
      <c r="AC299" s="68"/>
    </row>
    <row r="300" spans="1:29" ht="12.6" customHeight="1" x14ac:dyDescent="0.2">
      <c r="A300" s="20"/>
      <c r="B300" s="696" t="s">
        <v>692</v>
      </c>
      <c r="C300" s="697"/>
      <c r="D300" s="697"/>
      <c r="E300" s="697"/>
      <c r="F300" s="330">
        <v>17335</v>
      </c>
      <c r="G300" s="330">
        <f>+F300*$X$1</f>
        <v>17335</v>
      </c>
      <c r="H300" s="75">
        <f t="shared" si="677"/>
        <v>17635</v>
      </c>
      <c r="I300" s="330">
        <f t="shared" si="678"/>
        <v>17635</v>
      </c>
      <c r="J300" s="665">
        <f t="shared" si="679"/>
        <v>17475</v>
      </c>
      <c r="K300" s="330">
        <f t="shared" si="680"/>
        <v>17475</v>
      </c>
      <c r="L300" s="665">
        <f t="shared" si="681"/>
        <v>17435</v>
      </c>
      <c r="M300" s="330">
        <f t="shared" si="682"/>
        <v>17435</v>
      </c>
      <c r="N300" s="665">
        <f t="shared" si="683"/>
        <v>17415</v>
      </c>
      <c r="O300" s="330">
        <f t="shared" si="684"/>
        <v>17415</v>
      </c>
      <c r="P300" s="665">
        <f t="shared" si="685"/>
        <v>17403</v>
      </c>
      <c r="Q300" s="330">
        <f t="shared" si="686"/>
        <v>17403</v>
      </c>
      <c r="R300" s="665">
        <f t="shared" si="687"/>
        <v>17397</v>
      </c>
      <c r="S300" s="330">
        <f t="shared" si="688"/>
        <v>17397</v>
      </c>
      <c r="T300" s="665">
        <f t="shared" si="689"/>
        <v>17391</v>
      </c>
      <c r="U300" s="330">
        <f t="shared" si="690"/>
        <v>17391</v>
      </c>
      <c r="V300" s="665">
        <f t="shared" si="691"/>
        <v>17385</v>
      </c>
      <c r="W300" s="330">
        <f t="shared" si="692"/>
        <v>17385</v>
      </c>
      <c r="X300" s="735"/>
      <c r="Y300" s="710"/>
      <c r="Z300" s="710"/>
      <c r="AA300" s="712"/>
      <c r="AB300" s="208">
        <v>1057</v>
      </c>
    </row>
    <row r="301" spans="1:29" ht="12.6" customHeight="1" x14ac:dyDescent="0.2">
      <c r="A301" s="20"/>
      <c r="B301" s="679" t="s">
        <v>499</v>
      </c>
      <c r="C301" s="695"/>
      <c r="D301" s="695"/>
      <c r="E301" s="695"/>
      <c r="F301" s="461">
        <f>16.66*X2</f>
        <v>15627.08</v>
      </c>
      <c r="G301" s="331">
        <f>+F301*$X$1</f>
        <v>15627.08</v>
      </c>
      <c r="H301" s="93">
        <f t="shared" si="677"/>
        <v>15927.08</v>
      </c>
      <c r="I301" s="331">
        <f t="shared" si="678"/>
        <v>15927.08</v>
      </c>
      <c r="J301" s="650">
        <f t="shared" si="679"/>
        <v>15767.08</v>
      </c>
      <c r="K301" s="331">
        <f t="shared" si="680"/>
        <v>15767.08</v>
      </c>
      <c r="L301" s="650">
        <f t="shared" si="681"/>
        <v>15727.08</v>
      </c>
      <c r="M301" s="331">
        <f t="shared" si="682"/>
        <v>15727.08</v>
      </c>
      <c r="N301" s="650">
        <f t="shared" si="683"/>
        <v>15707.08</v>
      </c>
      <c r="O301" s="331">
        <f t="shared" si="684"/>
        <v>15707.08</v>
      </c>
      <c r="P301" s="650">
        <f t="shared" si="685"/>
        <v>15695.08</v>
      </c>
      <c r="Q301" s="331">
        <f t="shared" si="686"/>
        <v>15695.08</v>
      </c>
      <c r="R301" s="650">
        <f t="shared" si="687"/>
        <v>15689.08</v>
      </c>
      <c r="S301" s="331">
        <f t="shared" si="688"/>
        <v>15689.08</v>
      </c>
      <c r="T301" s="650">
        <f t="shared" si="689"/>
        <v>15683.08</v>
      </c>
      <c r="U301" s="331">
        <f t="shared" si="690"/>
        <v>15683.08</v>
      </c>
      <c r="V301" s="650">
        <f t="shared" si="691"/>
        <v>15677.08</v>
      </c>
      <c r="W301" s="331">
        <f t="shared" si="692"/>
        <v>15677.08</v>
      </c>
      <c r="X301" s="735"/>
      <c r="Y301" s="710"/>
      <c r="Z301" s="710"/>
      <c r="AA301" s="712"/>
      <c r="AB301" s="208">
        <v>1064</v>
      </c>
      <c r="AC301" s="68"/>
    </row>
    <row r="302" spans="1:29" ht="12.6" customHeight="1" x14ac:dyDescent="0.2">
      <c r="A302" s="20"/>
      <c r="B302" s="736" t="s">
        <v>225</v>
      </c>
      <c r="C302" s="739"/>
      <c r="D302" s="739"/>
      <c r="E302" s="740"/>
      <c r="F302" s="460">
        <f>12.1*X2</f>
        <v>11349.8</v>
      </c>
      <c r="G302" s="330">
        <f>+F302*$X$1</f>
        <v>11349.8</v>
      </c>
      <c r="H302" s="75">
        <f>F302+300</f>
        <v>11649.8</v>
      </c>
      <c r="I302" s="330">
        <f t="shared" si="678"/>
        <v>11649.8</v>
      </c>
      <c r="J302" s="665">
        <f>F302+150</f>
        <v>11499.8</v>
      </c>
      <c r="K302" s="330">
        <f>+J302*$X$1</f>
        <v>11499.8</v>
      </c>
      <c r="L302" s="665">
        <f>F302+120</f>
        <v>11469.8</v>
      </c>
      <c r="M302" s="330">
        <f>+L302*$X$1</f>
        <v>11469.8</v>
      </c>
      <c r="N302" s="75">
        <f>F302+95</f>
        <v>11444.8</v>
      </c>
      <c r="O302" s="330">
        <f t="shared" si="684"/>
        <v>11444.8</v>
      </c>
      <c r="P302" s="75">
        <f>F302+80</f>
        <v>11429.8</v>
      </c>
      <c r="Q302" s="330">
        <f t="shared" si="686"/>
        <v>11429.8</v>
      </c>
      <c r="R302" s="665">
        <f>F302+74</f>
        <v>11423.8</v>
      </c>
      <c r="S302" s="330">
        <f t="shared" si="688"/>
        <v>11423.8</v>
      </c>
      <c r="T302" s="665">
        <f>F302+68</f>
        <v>11417.8</v>
      </c>
      <c r="U302" s="330">
        <f t="shared" si="690"/>
        <v>11417.8</v>
      </c>
      <c r="V302" s="665">
        <f>F302+62</f>
        <v>11411.8</v>
      </c>
      <c r="W302" s="330">
        <f t="shared" si="692"/>
        <v>11411.8</v>
      </c>
      <c r="X302" s="193"/>
      <c r="Y302" s="196"/>
      <c r="Z302" s="196"/>
      <c r="AA302" s="195"/>
      <c r="AB302" s="208">
        <v>1075</v>
      </c>
    </row>
    <row r="303" spans="1:29" ht="12.6" customHeight="1" x14ac:dyDescent="0.2">
      <c r="A303" s="20"/>
      <c r="B303" s="679" t="s">
        <v>444</v>
      </c>
      <c r="C303" s="680"/>
      <c r="D303" s="680"/>
      <c r="E303" s="680"/>
      <c r="F303" s="461">
        <f>8.45*X2</f>
        <v>7926.0999999999995</v>
      </c>
      <c r="G303" s="331">
        <f>+F303*$X$1</f>
        <v>7926.0999999999995</v>
      </c>
      <c r="H303" s="93">
        <f t="shared" ref="H303:H304" si="693">F303+300</f>
        <v>8226.0999999999985</v>
      </c>
      <c r="I303" s="331">
        <f t="shared" ref="I303:I308" si="694">+H303*$X$1</f>
        <v>8226.0999999999985</v>
      </c>
      <c r="J303" s="650">
        <f t="shared" ref="J303:J304" si="695">F303+140</f>
        <v>8066.0999999999995</v>
      </c>
      <c r="K303" s="331">
        <f t="shared" ref="K303:K304" si="696">+J303*$X$1</f>
        <v>8066.0999999999995</v>
      </c>
      <c r="L303" s="650">
        <f t="shared" ref="L303:L304" si="697">F303+100</f>
        <v>8026.0999999999995</v>
      </c>
      <c r="M303" s="331">
        <f t="shared" ref="M303:M304" si="698">+L303*$X$1</f>
        <v>8026.0999999999995</v>
      </c>
      <c r="N303" s="650">
        <f t="shared" ref="N303" si="699">F303+80</f>
        <v>8006.0999999999995</v>
      </c>
      <c r="O303" s="331">
        <f t="shared" ref="O303:O310" si="700">+N303*$X$1</f>
        <v>8006.0999999999995</v>
      </c>
      <c r="P303" s="650">
        <f t="shared" ref="P303" si="701">F303+68</f>
        <v>7994.0999999999995</v>
      </c>
      <c r="Q303" s="331">
        <f t="shared" ref="Q303:Q310" si="702">+P303*$X$1</f>
        <v>7994.0999999999995</v>
      </c>
      <c r="R303" s="650">
        <f t="shared" ref="R303" si="703">F303+62</f>
        <v>7988.0999999999995</v>
      </c>
      <c r="S303" s="331">
        <f t="shared" ref="S303:S310" si="704">+R303*$X$1</f>
        <v>7988.0999999999995</v>
      </c>
      <c r="T303" s="650">
        <f t="shared" ref="T303" si="705">F303+56</f>
        <v>7982.0999999999995</v>
      </c>
      <c r="U303" s="331">
        <f t="shared" ref="U303:U310" si="706">+T303*$X$1</f>
        <v>7982.0999999999995</v>
      </c>
      <c r="V303" s="650">
        <f t="shared" ref="V303" si="707">F303+50</f>
        <v>7976.0999999999995</v>
      </c>
      <c r="W303" s="331">
        <f t="shared" ref="W303:W310" si="708">+V303*$X$1</f>
        <v>7976.0999999999995</v>
      </c>
      <c r="X303" s="735"/>
      <c r="Y303" s="710"/>
      <c r="Z303" s="710"/>
      <c r="AA303" s="712"/>
      <c r="AB303" s="208">
        <v>1078</v>
      </c>
    </row>
    <row r="304" spans="1:29" ht="12.6" customHeight="1" x14ac:dyDescent="0.2">
      <c r="A304" s="20"/>
      <c r="B304" s="945" t="s">
        <v>447</v>
      </c>
      <c r="C304" s="790"/>
      <c r="D304" s="790"/>
      <c r="E304" s="790"/>
      <c r="F304" s="466">
        <f>6.52*X2</f>
        <v>6115.7599999999993</v>
      </c>
      <c r="G304" s="357">
        <f t="shared" ref="G304" si="709">+F304*$X$1</f>
        <v>6115.7599999999993</v>
      </c>
      <c r="H304" s="75">
        <f t="shared" si="693"/>
        <v>6415.7599999999993</v>
      </c>
      <c r="I304" s="330">
        <f t="shared" si="694"/>
        <v>6415.7599999999993</v>
      </c>
      <c r="J304" s="665">
        <f t="shared" si="695"/>
        <v>6255.7599999999993</v>
      </c>
      <c r="K304" s="330">
        <f t="shared" si="696"/>
        <v>6255.7599999999993</v>
      </c>
      <c r="L304" s="665">
        <f t="shared" si="697"/>
        <v>6215.7599999999993</v>
      </c>
      <c r="M304" s="330">
        <f t="shared" si="698"/>
        <v>6215.7599999999993</v>
      </c>
      <c r="N304" s="665"/>
      <c r="O304" s="330"/>
      <c r="P304" s="665"/>
      <c r="Q304" s="330"/>
      <c r="R304" s="665"/>
      <c r="S304" s="330"/>
      <c r="T304" s="665"/>
      <c r="U304" s="330"/>
      <c r="V304" s="665"/>
      <c r="W304" s="330"/>
      <c r="X304" s="710"/>
      <c r="Y304" s="710"/>
      <c r="Z304" s="710"/>
      <c r="AA304" s="712"/>
      <c r="AB304" s="208">
        <v>1079</v>
      </c>
    </row>
    <row r="305" spans="1:34" ht="12.6" customHeight="1" x14ac:dyDescent="0.2">
      <c r="A305" s="20"/>
      <c r="B305" s="679" t="s">
        <v>594</v>
      </c>
      <c r="C305" s="695"/>
      <c r="D305" s="695"/>
      <c r="E305" s="695"/>
      <c r="F305" s="331">
        <v>15390</v>
      </c>
      <c r="G305" s="331">
        <f>+F305*$X$1</f>
        <v>15390</v>
      </c>
      <c r="H305" s="93">
        <f t="shared" ref="H305:H308" si="710">F305+300</f>
        <v>15690</v>
      </c>
      <c r="I305" s="331">
        <f t="shared" si="694"/>
        <v>15690</v>
      </c>
      <c r="J305" s="650">
        <f t="shared" ref="J305:J308" si="711">F305+140</f>
        <v>15530</v>
      </c>
      <c r="K305" s="331">
        <f t="shared" ref="K305:K308" si="712">+J305*$X$1</f>
        <v>15530</v>
      </c>
      <c r="L305" s="650">
        <f t="shared" ref="L305:L308" si="713">F305+100</f>
        <v>15490</v>
      </c>
      <c r="M305" s="331">
        <f t="shared" ref="M305:M308" si="714">+L305*$X$1</f>
        <v>15490</v>
      </c>
      <c r="N305" s="650">
        <f t="shared" ref="N305:N308" si="715">F305+80</f>
        <v>15470</v>
      </c>
      <c r="O305" s="331">
        <f t="shared" ref="O305:O308" si="716">+N305*$X$1</f>
        <v>15470</v>
      </c>
      <c r="P305" s="650">
        <f t="shared" ref="P305:P308" si="717">F305+68</f>
        <v>15458</v>
      </c>
      <c r="Q305" s="331">
        <f t="shared" ref="Q305:Q308" si="718">+P305*$X$1</f>
        <v>15458</v>
      </c>
      <c r="R305" s="650">
        <f t="shared" ref="R305:R308" si="719">F305+62</f>
        <v>15452</v>
      </c>
      <c r="S305" s="331">
        <f t="shared" ref="S305:S308" si="720">+R305*$X$1</f>
        <v>15452</v>
      </c>
      <c r="T305" s="650">
        <f t="shared" ref="T305:T308" si="721">F305+56</f>
        <v>15446</v>
      </c>
      <c r="U305" s="331">
        <f t="shared" ref="U305:U308" si="722">+T305*$X$1</f>
        <v>15446</v>
      </c>
      <c r="V305" s="650">
        <f t="shared" ref="V305:V308" si="723">F305+50</f>
        <v>15440</v>
      </c>
      <c r="W305" s="331">
        <f t="shared" ref="W305:W308" si="724">+V305*$X$1</f>
        <v>15440</v>
      </c>
      <c r="X305" s="710"/>
      <c r="Y305" s="710"/>
      <c r="Z305" s="710"/>
      <c r="AA305" s="712"/>
      <c r="AB305" s="208">
        <v>1080</v>
      </c>
      <c r="AC305" s="68"/>
    </row>
    <row r="306" spans="1:34" ht="12.6" customHeight="1" x14ac:dyDescent="0.2">
      <c r="A306" s="20"/>
      <c r="B306" s="696" t="s">
        <v>595</v>
      </c>
      <c r="C306" s="697"/>
      <c r="D306" s="697"/>
      <c r="E306" s="697"/>
      <c r="F306" s="330">
        <v>16286</v>
      </c>
      <c r="G306" s="330">
        <f>+F306*$X$1</f>
        <v>16286</v>
      </c>
      <c r="H306" s="75">
        <f t="shared" si="710"/>
        <v>16586</v>
      </c>
      <c r="I306" s="330">
        <f t="shared" si="694"/>
        <v>16586</v>
      </c>
      <c r="J306" s="665">
        <f t="shared" si="711"/>
        <v>16426</v>
      </c>
      <c r="K306" s="330">
        <f t="shared" si="712"/>
        <v>16426</v>
      </c>
      <c r="L306" s="665">
        <f t="shared" si="713"/>
        <v>16386</v>
      </c>
      <c r="M306" s="330">
        <f t="shared" si="714"/>
        <v>16386</v>
      </c>
      <c r="N306" s="665">
        <f t="shared" si="715"/>
        <v>16366</v>
      </c>
      <c r="O306" s="330">
        <f t="shared" si="716"/>
        <v>16366</v>
      </c>
      <c r="P306" s="665">
        <f t="shared" si="717"/>
        <v>16354</v>
      </c>
      <c r="Q306" s="330">
        <f t="shared" si="718"/>
        <v>16354</v>
      </c>
      <c r="R306" s="665">
        <f t="shared" si="719"/>
        <v>16348</v>
      </c>
      <c r="S306" s="330">
        <f t="shared" si="720"/>
        <v>16348</v>
      </c>
      <c r="T306" s="665">
        <f t="shared" si="721"/>
        <v>16342</v>
      </c>
      <c r="U306" s="330">
        <f t="shared" si="722"/>
        <v>16342</v>
      </c>
      <c r="V306" s="665">
        <f t="shared" si="723"/>
        <v>16336</v>
      </c>
      <c r="W306" s="330">
        <f t="shared" si="724"/>
        <v>16336</v>
      </c>
      <c r="X306" s="710"/>
      <c r="Y306" s="710"/>
      <c r="Z306" s="710"/>
      <c r="AA306" s="712"/>
      <c r="AB306" s="208">
        <v>1081</v>
      </c>
      <c r="AC306" s="68"/>
    </row>
    <row r="307" spans="1:34" ht="12.6" customHeight="1" x14ac:dyDescent="0.2">
      <c r="A307" s="20"/>
      <c r="B307" s="679" t="s">
        <v>726</v>
      </c>
      <c r="C307" s="695"/>
      <c r="D307" s="695"/>
      <c r="E307" s="695"/>
      <c r="F307" s="331">
        <v>20358</v>
      </c>
      <c r="G307" s="331">
        <f>+F307*$X$1</f>
        <v>20358</v>
      </c>
      <c r="H307" s="93">
        <f t="shared" si="710"/>
        <v>20658</v>
      </c>
      <c r="I307" s="331">
        <f t="shared" si="694"/>
        <v>20658</v>
      </c>
      <c r="J307" s="650">
        <f t="shared" si="711"/>
        <v>20498</v>
      </c>
      <c r="K307" s="331">
        <f t="shared" si="712"/>
        <v>20498</v>
      </c>
      <c r="L307" s="650">
        <f t="shared" si="713"/>
        <v>20458</v>
      </c>
      <c r="M307" s="331">
        <f t="shared" si="714"/>
        <v>20458</v>
      </c>
      <c r="N307" s="650">
        <f t="shared" si="715"/>
        <v>20438</v>
      </c>
      <c r="O307" s="331">
        <f t="shared" si="716"/>
        <v>20438</v>
      </c>
      <c r="P307" s="650">
        <f t="shared" si="717"/>
        <v>20426</v>
      </c>
      <c r="Q307" s="331">
        <f t="shared" si="718"/>
        <v>20426</v>
      </c>
      <c r="R307" s="650">
        <f t="shared" si="719"/>
        <v>20420</v>
      </c>
      <c r="S307" s="331">
        <f t="shared" si="720"/>
        <v>20420</v>
      </c>
      <c r="T307" s="650">
        <f t="shared" si="721"/>
        <v>20414</v>
      </c>
      <c r="U307" s="331">
        <f t="shared" si="722"/>
        <v>20414</v>
      </c>
      <c r="V307" s="650">
        <f t="shared" si="723"/>
        <v>20408</v>
      </c>
      <c r="W307" s="331">
        <f t="shared" si="724"/>
        <v>20408</v>
      </c>
      <c r="X307" s="710"/>
      <c r="Y307" s="710"/>
      <c r="Z307" s="710"/>
      <c r="AA307" s="712"/>
      <c r="AB307" s="208">
        <v>1082</v>
      </c>
      <c r="AC307" s="68"/>
    </row>
    <row r="308" spans="1:34" ht="12.6" customHeight="1" x14ac:dyDescent="0.2">
      <c r="A308" s="20"/>
      <c r="B308" s="943" t="s">
        <v>503</v>
      </c>
      <c r="C308" s="944"/>
      <c r="D308" s="944"/>
      <c r="E308" s="944"/>
      <c r="F308" s="393">
        <v>13320</v>
      </c>
      <c r="G308" s="393">
        <f>+F308*$X$1</f>
        <v>13320</v>
      </c>
      <c r="H308" s="75">
        <f t="shared" si="710"/>
        <v>13620</v>
      </c>
      <c r="I308" s="330">
        <f t="shared" si="694"/>
        <v>13620</v>
      </c>
      <c r="J308" s="665">
        <f t="shared" si="711"/>
        <v>13460</v>
      </c>
      <c r="K308" s="330">
        <f t="shared" si="712"/>
        <v>13460</v>
      </c>
      <c r="L308" s="665">
        <f t="shared" si="713"/>
        <v>13420</v>
      </c>
      <c r="M308" s="330">
        <f t="shared" si="714"/>
        <v>13420</v>
      </c>
      <c r="N308" s="665">
        <f t="shared" si="715"/>
        <v>13400</v>
      </c>
      <c r="O308" s="330">
        <f t="shared" si="716"/>
        <v>13400</v>
      </c>
      <c r="P308" s="665">
        <f t="shared" si="717"/>
        <v>13388</v>
      </c>
      <c r="Q308" s="330">
        <f t="shared" si="718"/>
        <v>13388</v>
      </c>
      <c r="R308" s="665">
        <f t="shared" si="719"/>
        <v>13382</v>
      </c>
      <c r="S308" s="330">
        <f t="shared" si="720"/>
        <v>13382</v>
      </c>
      <c r="T308" s="665">
        <f t="shared" si="721"/>
        <v>13376</v>
      </c>
      <c r="U308" s="330">
        <f t="shared" si="722"/>
        <v>13376</v>
      </c>
      <c r="V308" s="665">
        <f t="shared" si="723"/>
        <v>13370</v>
      </c>
      <c r="W308" s="330">
        <f t="shared" si="724"/>
        <v>13370</v>
      </c>
      <c r="X308" s="710"/>
      <c r="Y308" s="710"/>
      <c r="Z308" s="710"/>
      <c r="AA308" s="712"/>
      <c r="AB308" s="208">
        <v>1083</v>
      </c>
      <c r="AC308" s="68"/>
    </row>
    <row r="309" spans="1:34" ht="12.6" customHeight="1" x14ac:dyDescent="0.2">
      <c r="A309" s="20"/>
      <c r="B309" s="785" t="s">
        <v>412</v>
      </c>
      <c r="C309" s="786"/>
      <c r="D309" s="786"/>
      <c r="E309" s="786"/>
      <c r="F309" s="461">
        <f>3.89*X2</f>
        <v>3648.82</v>
      </c>
      <c r="G309" s="331">
        <f t="shared" ref="G309" si="725">+F309*$X$1</f>
        <v>3648.82</v>
      </c>
      <c r="H309" s="650">
        <f>F309+370</f>
        <v>4018.82</v>
      </c>
      <c r="I309" s="331">
        <f>+H309*$X$1</f>
        <v>4018.82</v>
      </c>
      <c r="J309" s="93">
        <f>F309+140</f>
        <v>3788.82</v>
      </c>
      <c r="K309" s="331">
        <f t="shared" ref="K309" si="726">+J309*$X$1</f>
        <v>3788.82</v>
      </c>
      <c r="L309" s="650">
        <f>F309+85</f>
        <v>3733.82</v>
      </c>
      <c r="M309" s="331">
        <f t="shared" ref="M309:M310" si="727">+L309*$X$1</f>
        <v>3733.82</v>
      </c>
      <c r="N309" s="650">
        <f>F309+55</f>
        <v>3703.82</v>
      </c>
      <c r="O309" s="331">
        <f t="shared" si="700"/>
        <v>3703.82</v>
      </c>
      <c r="P309" s="650">
        <f>F309+50</f>
        <v>3698.82</v>
      </c>
      <c r="Q309" s="331">
        <f t="shared" si="702"/>
        <v>3698.82</v>
      </c>
      <c r="R309" s="650">
        <f>F309+44</f>
        <v>3692.82</v>
      </c>
      <c r="S309" s="331">
        <f t="shared" si="704"/>
        <v>3692.82</v>
      </c>
      <c r="T309" s="650">
        <f>F309+39</f>
        <v>3687.82</v>
      </c>
      <c r="U309" s="331">
        <f t="shared" si="706"/>
        <v>3687.82</v>
      </c>
      <c r="V309" s="650">
        <f>F309+31</f>
        <v>3679.82</v>
      </c>
      <c r="W309" s="331">
        <f t="shared" si="708"/>
        <v>3679.82</v>
      </c>
      <c r="X309" s="907"/>
      <c r="Y309" s="1136"/>
      <c r="Z309" s="1136"/>
      <c r="AA309" s="1137"/>
      <c r="AB309" s="507">
        <v>2131</v>
      </c>
      <c r="AC309" s="69"/>
    </row>
    <row r="310" spans="1:34" ht="12.6" customHeight="1" x14ac:dyDescent="0.2">
      <c r="A310" s="111"/>
      <c r="B310" s="696" t="s">
        <v>226</v>
      </c>
      <c r="C310" s="697"/>
      <c r="D310" s="697"/>
      <c r="E310" s="697"/>
      <c r="F310" s="460">
        <f>0.445*X2</f>
        <v>417.41</v>
      </c>
      <c r="G310" s="330">
        <f t="shared" ref="G310:G311" si="728">+F310*$X$1</f>
        <v>417.41</v>
      </c>
      <c r="H310" s="322"/>
      <c r="I310" s="403"/>
      <c r="J310" s="665"/>
      <c r="K310" s="330"/>
      <c r="L310" s="665">
        <f t="shared" ref="L310" si="729">F310+80</f>
        <v>497.41</v>
      </c>
      <c r="M310" s="330">
        <f t="shared" si="727"/>
        <v>497.41</v>
      </c>
      <c r="N310" s="665">
        <f t="shared" ref="N310" si="730">F310+50</f>
        <v>467.41</v>
      </c>
      <c r="O310" s="330">
        <f t="shared" si="700"/>
        <v>467.41</v>
      </c>
      <c r="P310" s="665">
        <f t="shared" ref="P310" si="731">F310+40</f>
        <v>457.41</v>
      </c>
      <c r="Q310" s="330">
        <f t="shared" si="702"/>
        <v>457.41</v>
      </c>
      <c r="R310" s="665">
        <f t="shared" ref="R310" si="732">F310+33</f>
        <v>450.41</v>
      </c>
      <c r="S310" s="330">
        <f t="shared" si="704"/>
        <v>450.41</v>
      </c>
      <c r="T310" s="108">
        <f t="shared" ref="T310" si="733">F310+26</f>
        <v>443.41</v>
      </c>
      <c r="U310" s="293">
        <f t="shared" si="706"/>
        <v>443.41</v>
      </c>
      <c r="V310" s="108">
        <f t="shared" ref="V310" si="734">F310+22</f>
        <v>439.41</v>
      </c>
      <c r="W310" s="293">
        <f t="shared" si="708"/>
        <v>439.41</v>
      </c>
      <c r="X310" s="144"/>
      <c r="Y310" s="141"/>
      <c r="Z310" s="141"/>
      <c r="AA310" s="141"/>
      <c r="AB310" s="507">
        <v>2145</v>
      </c>
      <c r="AC310" s="69"/>
    </row>
    <row r="311" spans="1:34" ht="12.6" customHeight="1" x14ac:dyDescent="0.2">
      <c r="A311" s="20"/>
      <c r="B311" s="679" t="s">
        <v>227</v>
      </c>
      <c r="C311" s="695"/>
      <c r="D311" s="695"/>
      <c r="E311" s="695"/>
      <c r="F311" s="461">
        <v>48</v>
      </c>
      <c r="G311" s="331">
        <f t="shared" si="728"/>
        <v>48</v>
      </c>
      <c r="H311" s="321"/>
      <c r="I311" s="404"/>
      <c r="J311" s="650">
        <f>F311+133</f>
        <v>181</v>
      </c>
      <c r="K311" s="331">
        <f t="shared" ref="K311" si="735">+J311*$X$1</f>
        <v>181</v>
      </c>
      <c r="L311" s="650">
        <f t="shared" ref="L311" si="736">F311+80</f>
        <v>128</v>
      </c>
      <c r="M311" s="331">
        <f t="shared" ref="M311" si="737">+L311*$X$1</f>
        <v>128</v>
      </c>
      <c r="N311" s="650">
        <f t="shared" ref="N311" si="738">F311+50</f>
        <v>98</v>
      </c>
      <c r="O311" s="331">
        <f t="shared" ref="O311" si="739">+N311*$X$1</f>
        <v>98</v>
      </c>
      <c r="P311" s="650">
        <f t="shared" ref="P311" si="740">F311+40</f>
        <v>88</v>
      </c>
      <c r="Q311" s="331">
        <f t="shared" ref="Q311" si="741">+P311*$X$1</f>
        <v>88</v>
      </c>
      <c r="R311" s="650">
        <f t="shared" ref="R311" si="742">F311+33</f>
        <v>81</v>
      </c>
      <c r="S311" s="331">
        <f t="shared" ref="S311" si="743">+R311*$X$1</f>
        <v>81</v>
      </c>
      <c r="T311" s="107">
        <f t="shared" ref="T311" si="744">F311+26</f>
        <v>74</v>
      </c>
      <c r="U311" s="356">
        <f t="shared" ref="U311" si="745">+T311*$X$1</f>
        <v>74</v>
      </c>
      <c r="V311" s="107">
        <f t="shared" ref="V311" si="746">F311+22</f>
        <v>70</v>
      </c>
      <c r="W311" s="356">
        <f t="shared" ref="W311" si="747">+V311*$X$1</f>
        <v>70</v>
      </c>
      <c r="X311" s="141"/>
      <c r="Y311" s="141"/>
      <c r="Z311" s="141"/>
      <c r="AA311" s="141"/>
      <c r="AB311" s="507">
        <v>2149</v>
      </c>
    </row>
    <row r="312" spans="1:34" ht="12.6" customHeight="1" x14ac:dyDescent="0.25">
      <c r="A312" s="136"/>
      <c r="B312" s="696" t="s">
        <v>228</v>
      </c>
      <c r="C312" s="697"/>
      <c r="D312" s="697"/>
      <c r="E312" s="697"/>
      <c r="F312" s="460">
        <f>0.892*X2</f>
        <v>836.69600000000003</v>
      </c>
      <c r="G312" s="330">
        <f>+F312*$X$1</f>
        <v>836.69600000000003</v>
      </c>
      <c r="H312" s="322"/>
      <c r="I312" s="403"/>
      <c r="J312" s="595"/>
      <c r="K312" s="330"/>
      <c r="L312" s="596"/>
      <c r="M312" s="330"/>
      <c r="N312" s="596"/>
      <c r="O312" s="597"/>
      <c r="P312" s="322"/>
      <c r="Q312" s="403"/>
      <c r="R312" s="596"/>
      <c r="S312" s="597"/>
      <c r="T312" s="596"/>
      <c r="U312" s="597"/>
      <c r="V312" s="596"/>
      <c r="W312" s="597"/>
      <c r="X312" s="141"/>
      <c r="Y312" s="141"/>
      <c r="Z312" s="141"/>
      <c r="AA312" s="141"/>
      <c r="AB312" s="208">
        <v>2151</v>
      </c>
    </row>
    <row r="313" spans="1:34" ht="12.6" customHeight="1" x14ac:dyDescent="0.2">
      <c r="A313" s="20"/>
      <c r="B313" s="679" t="s">
        <v>229</v>
      </c>
      <c r="C313" s="866"/>
      <c r="D313" s="866"/>
      <c r="E313" s="866"/>
      <c r="F313" s="461">
        <f>0.685*X2</f>
        <v>642.53000000000009</v>
      </c>
      <c r="G313" s="331">
        <f>+F313*$X$1</f>
        <v>642.53000000000009</v>
      </c>
      <c r="H313" s="321"/>
      <c r="I313" s="404"/>
      <c r="J313" s="650"/>
      <c r="K313" s="331"/>
      <c r="L313" s="650">
        <f t="shared" ref="L313:L315" si="748">F313+80</f>
        <v>722.53000000000009</v>
      </c>
      <c r="M313" s="331">
        <f t="shared" ref="M313:M315" si="749">+L313*$X$1</f>
        <v>722.53000000000009</v>
      </c>
      <c r="N313" s="650">
        <f t="shared" ref="N313:N315" si="750">F313+50</f>
        <v>692.53000000000009</v>
      </c>
      <c r="O313" s="331">
        <f t="shared" ref="O313:O315" si="751">+N313*$X$1</f>
        <v>692.53000000000009</v>
      </c>
      <c r="P313" s="650">
        <f t="shared" ref="P313:P315" si="752">F313+40</f>
        <v>682.53000000000009</v>
      </c>
      <c r="Q313" s="331">
        <f t="shared" ref="Q313:Q315" si="753">+P313*$X$1</f>
        <v>682.53000000000009</v>
      </c>
      <c r="R313" s="650">
        <f t="shared" ref="R313:R315" si="754">F313+33</f>
        <v>675.53000000000009</v>
      </c>
      <c r="S313" s="331">
        <f t="shared" ref="S313:S315" si="755">+R313*$X$1</f>
        <v>675.53000000000009</v>
      </c>
      <c r="T313" s="107">
        <f t="shared" ref="T313:T315" si="756">F313+26</f>
        <v>668.53000000000009</v>
      </c>
      <c r="U313" s="356">
        <f t="shared" ref="U313:U315" si="757">+T313*$X$1</f>
        <v>668.53000000000009</v>
      </c>
      <c r="V313" s="107">
        <f t="shared" ref="V313:V315" si="758">F313+22</f>
        <v>664.53000000000009</v>
      </c>
      <c r="W313" s="356">
        <f t="shared" ref="W313:W315" si="759">+V313*$X$1</f>
        <v>664.53000000000009</v>
      </c>
      <c r="X313" s="141"/>
      <c r="Y313" s="141"/>
      <c r="Z313" s="141"/>
      <c r="AA313" s="141"/>
      <c r="AB313" s="507">
        <v>2153</v>
      </c>
      <c r="AC313" s="69"/>
    </row>
    <row r="314" spans="1:34" ht="12.6" customHeight="1" x14ac:dyDescent="0.2">
      <c r="A314" s="20"/>
      <c r="B314" s="696" t="s">
        <v>437</v>
      </c>
      <c r="C314" s="697"/>
      <c r="D314" s="697"/>
      <c r="E314" s="697"/>
      <c r="F314" s="460">
        <f>0.519*X2</f>
        <v>486.822</v>
      </c>
      <c r="G314" s="330">
        <f>+F314*$X$1</f>
        <v>486.822</v>
      </c>
      <c r="H314" s="322"/>
      <c r="I314" s="403"/>
      <c r="J314" s="665"/>
      <c r="K314" s="330"/>
      <c r="L314" s="665">
        <f t="shared" si="748"/>
        <v>566.822</v>
      </c>
      <c r="M314" s="330">
        <f t="shared" si="749"/>
        <v>566.822</v>
      </c>
      <c r="N314" s="665">
        <f t="shared" si="750"/>
        <v>536.822</v>
      </c>
      <c r="O314" s="330">
        <f t="shared" si="751"/>
        <v>536.822</v>
      </c>
      <c r="P314" s="665">
        <f t="shared" si="752"/>
        <v>526.822</v>
      </c>
      <c r="Q314" s="330">
        <f t="shared" si="753"/>
        <v>526.822</v>
      </c>
      <c r="R314" s="665">
        <f t="shared" si="754"/>
        <v>519.822</v>
      </c>
      <c r="S314" s="330">
        <f t="shared" si="755"/>
        <v>519.822</v>
      </c>
      <c r="T314" s="108">
        <f t="shared" si="756"/>
        <v>512.822</v>
      </c>
      <c r="U314" s="293">
        <f t="shared" si="757"/>
        <v>512.822</v>
      </c>
      <c r="V314" s="108">
        <f t="shared" si="758"/>
        <v>508.822</v>
      </c>
      <c r="W314" s="293">
        <f t="shared" si="759"/>
        <v>508.822</v>
      </c>
      <c r="X314" s="141"/>
      <c r="Y314" s="149"/>
      <c r="Z314" s="149"/>
      <c r="AA314" s="149"/>
      <c r="AB314" s="522">
        <v>2154</v>
      </c>
      <c r="AC314" s="24"/>
      <c r="AD314" s="24"/>
    </row>
    <row r="315" spans="1:34" ht="12.6" customHeight="1" x14ac:dyDescent="0.2">
      <c r="A315" s="20"/>
      <c r="B315" s="679" t="s">
        <v>438</v>
      </c>
      <c r="C315" s="695"/>
      <c r="D315" s="695"/>
      <c r="E315" s="695"/>
      <c r="F315" s="461">
        <f>0.611*X2</f>
        <v>573.11799999999994</v>
      </c>
      <c r="G315" s="331">
        <f>+F315*$X$1</f>
        <v>573.11799999999994</v>
      </c>
      <c r="H315" s="321"/>
      <c r="I315" s="404"/>
      <c r="J315" s="650"/>
      <c r="K315" s="331"/>
      <c r="L315" s="650">
        <f t="shared" si="748"/>
        <v>653.11799999999994</v>
      </c>
      <c r="M315" s="331">
        <f t="shared" si="749"/>
        <v>653.11799999999994</v>
      </c>
      <c r="N315" s="650">
        <f t="shared" si="750"/>
        <v>623.11799999999994</v>
      </c>
      <c r="O315" s="331">
        <f t="shared" si="751"/>
        <v>623.11799999999994</v>
      </c>
      <c r="P315" s="650">
        <f t="shared" si="752"/>
        <v>613.11799999999994</v>
      </c>
      <c r="Q315" s="331">
        <f t="shared" si="753"/>
        <v>613.11799999999994</v>
      </c>
      <c r="R315" s="650">
        <f t="shared" si="754"/>
        <v>606.11799999999994</v>
      </c>
      <c r="S315" s="331">
        <f t="shared" si="755"/>
        <v>606.11799999999994</v>
      </c>
      <c r="T315" s="107">
        <f t="shared" si="756"/>
        <v>599.11799999999994</v>
      </c>
      <c r="U315" s="356">
        <f t="shared" si="757"/>
        <v>599.11799999999994</v>
      </c>
      <c r="V315" s="107">
        <f t="shared" si="758"/>
        <v>595.11799999999994</v>
      </c>
      <c r="W315" s="356">
        <f t="shared" si="759"/>
        <v>595.11799999999994</v>
      </c>
      <c r="X315" s="164"/>
      <c r="Y315" s="141"/>
      <c r="Z315" s="149"/>
      <c r="AA315" s="149"/>
      <c r="AB315" s="522">
        <v>2156</v>
      </c>
      <c r="AC315" s="24"/>
      <c r="AD315" s="24"/>
    </row>
    <row r="316" spans="1:34" ht="12.75" customHeight="1" x14ac:dyDescent="0.2">
      <c r="A316" s="20"/>
      <c r="B316" s="3"/>
      <c r="C316" s="3"/>
      <c r="D316" s="3"/>
      <c r="E316" s="3"/>
      <c r="F316" s="4"/>
      <c r="G316" s="4"/>
      <c r="H316" s="26"/>
      <c r="I316" s="26"/>
      <c r="J316" s="3"/>
      <c r="K316" s="3"/>
      <c r="L316" s="3"/>
      <c r="M316" s="3"/>
      <c r="N316" s="3"/>
      <c r="O316" s="3"/>
      <c r="P316" s="3"/>
      <c r="Q316" s="3"/>
      <c r="R316" s="3"/>
      <c r="S316" s="3"/>
      <c r="T316" s="3"/>
      <c r="U316" s="3"/>
      <c r="V316" s="8"/>
      <c r="W316" s="8"/>
    </row>
    <row r="317" spans="1:34" ht="12.75" customHeight="1" x14ac:dyDescent="0.2">
      <c r="A317" s="20"/>
      <c r="B317" s="3"/>
      <c r="C317" s="3"/>
      <c r="D317" s="3"/>
      <c r="E317" s="3"/>
      <c r="F317" s="4"/>
      <c r="G317" s="4"/>
      <c r="H317" s="26"/>
      <c r="I317" s="26"/>
      <c r="J317" s="3"/>
      <c r="K317" s="3"/>
      <c r="L317" s="3"/>
      <c r="M317" s="3"/>
      <c r="N317" s="3"/>
      <c r="O317" s="3"/>
      <c r="P317" s="3"/>
      <c r="Q317" s="3"/>
      <c r="R317" s="3"/>
      <c r="S317" s="3"/>
      <c r="T317" s="3"/>
      <c r="U317" s="3"/>
      <c r="V317" s="8"/>
      <c r="W317" s="8"/>
    </row>
    <row r="318" spans="1:34" ht="12.75" customHeight="1" thickBot="1" x14ac:dyDescent="0.25">
      <c r="A318" s="20"/>
      <c r="B318" s="3"/>
      <c r="C318" s="3"/>
      <c r="D318" s="3"/>
      <c r="E318" s="3"/>
      <c r="F318" s="4"/>
      <c r="G318" s="4"/>
      <c r="H318" s="26"/>
      <c r="I318" s="26"/>
      <c r="J318" s="3"/>
      <c r="K318" s="3"/>
      <c r="L318" s="3"/>
      <c r="M318" s="3"/>
      <c r="N318" s="3"/>
      <c r="O318" s="3"/>
      <c r="P318" s="3"/>
      <c r="Q318" s="3"/>
      <c r="R318" s="3"/>
      <c r="S318" s="3"/>
      <c r="T318" s="3"/>
      <c r="U318" s="3"/>
      <c r="V318" s="8"/>
      <c r="W318" s="8"/>
    </row>
    <row r="319" spans="1:34" ht="14.25" customHeight="1" x14ac:dyDescent="0.2">
      <c r="A319" s="20"/>
      <c r="B319" s="763" t="s">
        <v>11</v>
      </c>
      <c r="C319" s="689" t="s">
        <v>12</v>
      </c>
      <c r="D319" s="690"/>
      <c r="E319" s="690"/>
      <c r="F319" s="895" t="s">
        <v>13</v>
      </c>
      <c r="G319" s="895" t="s">
        <v>13</v>
      </c>
      <c r="H319" s="746" t="s">
        <v>14</v>
      </c>
      <c r="I319" s="746"/>
      <c r="J319" s="747"/>
      <c r="K319" s="747"/>
      <c r="L319" s="747"/>
      <c r="M319" s="747"/>
      <c r="N319" s="747"/>
      <c r="O319" s="747"/>
      <c r="P319" s="747"/>
      <c r="Q319" s="747"/>
      <c r="R319" s="747"/>
      <c r="S319" s="747"/>
      <c r="T319" s="747"/>
      <c r="U319" s="747"/>
      <c r="V319" s="747"/>
      <c r="W319" s="748"/>
      <c r="X319" s="731" t="s">
        <v>15</v>
      </c>
      <c r="Y319" s="732"/>
      <c r="Z319" s="732"/>
      <c r="AA319" s="732"/>
      <c r="AB319" s="729" t="s">
        <v>16</v>
      </c>
      <c r="AF319" s="727" t="s">
        <v>3</v>
      </c>
      <c r="AG319" s="728"/>
      <c r="AH319" s="728"/>
    </row>
    <row r="320" spans="1:34" ht="11.25" customHeight="1" thickBot="1" x14ac:dyDescent="0.25">
      <c r="A320" s="20"/>
      <c r="B320" s="764"/>
      <c r="C320" s="691"/>
      <c r="D320" s="691"/>
      <c r="E320" s="691"/>
      <c r="F320" s="896"/>
      <c r="G320" s="896"/>
      <c r="H320" s="285"/>
      <c r="I320" s="282" t="s">
        <v>307</v>
      </c>
      <c r="J320" s="286"/>
      <c r="K320" s="671" t="s">
        <v>18</v>
      </c>
      <c r="L320" s="288"/>
      <c r="M320" s="288" t="s">
        <v>19</v>
      </c>
      <c r="N320" s="288"/>
      <c r="O320" s="671" t="s">
        <v>20</v>
      </c>
      <c r="P320" s="288"/>
      <c r="Q320" s="288" t="s">
        <v>309</v>
      </c>
      <c r="R320" s="288"/>
      <c r="S320" s="288" t="s">
        <v>21</v>
      </c>
      <c r="T320" s="288"/>
      <c r="U320" s="288" t="s">
        <v>22</v>
      </c>
      <c r="V320" s="288"/>
      <c r="W320" s="675" t="s">
        <v>23</v>
      </c>
      <c r="X320" s="733"/>
      <c r="Y320" s="734"/>
      <c r="Z320" s="734"/>
      <c r="AA320" s="734"/>
      <c r="AB320" s="730"/>
    </row>
    <row r="321" spans="1:34" ht="12.6" customHeight="1" x14ac:dyDescent="0.2">
      <c r="A321" s="20"/>
      <c r="B321" s="698" t="s">
        <v>230</v>
      </c>
      <c r="C321" s="693"/>
      <c r="D321" s="693"/>
      <c r="E321" s="694"/>
      <c r="F321" s="461">
        <f>0.482*X2</f>
        <v>452.11599999999999</v>
      </c>
      <c r="G321" s="331">
        <f t="shared" ref="G321" si="760">+F321*$X$1</f>
        <v>452.11599999999999</v>
      </c>
      <c r="H321" s="321"/>
      <c r="I321" s="404"/>
      <c r="J321" s="650"/>
      <c r="K321" s="331"/>
      <c r="L321" s="650">
        <f>F321+80</f>
        <v>532.11599999999999</v>
      </c>
      <c r="M321" s="331">
        <f>+L321*$X$1</f>
        <v>532.11599999999999</v>
      </c>
      <c r="N321" s="650">
        <f>F321+50</f>
        <v>502.11599999999999</v>
      </c>
      <c r="O321" s="331">
        <f>+N321*$X$1</f>
        <v>502.11599999999999</v>
      </c>
      <c r="P321" s="650">
        <f>F321+40</f>
        <v>492.11599999999999</v>
      </c>
      <c r="Q321" s="331">
        <f>+P321*$X$1</f>
        <v>492.11599999999999</v>
      </c>
      <c r="R321" s="650">
        <f>F321+33</f>
        <v>485.11599999999999</v>
      </c>
      <c r="S321" s="331">
        <f>+R321*$X$1</f>
        <v>485.11599999999999</v>
      </c>
      <c r="T321" s="650">
        <f>F321+26</f>
        <v>478.11599999999999</v>
      </c>
      <c r="U321" s="331">
        <f>+T321*$X$1</f>
        <v>478.11599999999999</v>
      </c>
      <c r="V321" s="650">
        <f>F321+22</f>
        <v>474.11599999999999</v>
      </c>
      <c r="W321" s="331">
        <f>+V321*$X$1</f>
        <v>474.11599999999999</v>
      </c>
      <c r="X321" s="141"/>
      <c r="Y321" s="149"/>
      <c r="Z321" s="149"/>
      <c r="AA321" s="149"/>
      <c r="AB321" s="522">
        <v>2160</v>
      </c>
      <c r="AC321" s="24"/>
      <c r="AD321" s="24"/>
      <c r="AH321" s="68"/>
    </row>
    <row r="322" spans="1:34" ht="12.6" customHeight="1" x14ac:dyDescent="0.2">
      <c r="A322" s="101"/>
      <c r="B322" s="765" t="s">
        <v>231</v>
      </c>
      <c r="C322" s="766"/>
      <c r="D322" s="766"/>
      <c r="E322" s="767"/>
      <c r="F322" s="460">
        <f>0.648*X2</f>
        <v>607.82400000000007</v>
      </c>
      <c r="G322" s="293">
        <f>+F322*$X$1</f>
        <v>607.82400000000007</v>
      </c>
      <c r="H322" s="665"/>
      <c r="I322" s="665"/>
      <c r="J322" s="131"/>
      <c r="K322" s="330"/>
      <c r="L322" s="665">
        <f t="shared" ref="L322:L342" si="761">F322+80</f>
        <v>687.82400000000007</v>
      </c>
      <c r="M322" s="330">
        <f t="shared" ref="M322:M342" si="762">+L322*$X$1</f>
        <v>687.82400000000007</v>
      </c>
      <c r="N322" s="665">
        <f t="shared" ref="N322:N342" si="763">F322+50</f>
        <v>657.82400000000007</v>
      </c>
      <c r="O322" s="330">
        <f t="shared" ref="O322:O342" si="764">+N322*$X$1</f>
        <v>657.82400000000007</v>
      </c>
      <c r="P322" s="665">
        <f t="shared" ref="P322:P342" si="765">F322+40</f>
        <v>647.82400000000007</v>
      </c>
      <c r="Q322" s="330">
        <f t="shared" ref="Q322:Q342" si="766">+P322*$X$1</f>
        <v>647.82400000000007</v>
      </c>
      <c r="R322" s="665">
        <f t="shared" ref="R322:R342" si="767">F322+33</f>
        <v>640.82400000000007</v>
      </c>
      <c r="S322" s="330">
        <f t="shared" ref="S322:S342" si="768">+R322*$X$1</f>
        <v>640.82400000000007</v>
      </c>
      <c r="T322" s="665">
        <f t="shared" ref="T322:T342" si="769">F322+26</f>
        <v>633.82400000000007</v>
      </c>
      <c r="U322" s="330">
        <f t="shared" ref="U322:U342" si="770">+T322*$X$1</f>
        <v>633.82400000000007</v>
      </c>
      <c r="V322" s="665">
        <f t="shared" ref="V322:V342" si="771">F322+22</f>
        <v>629.82400000000007</v>
      </c>
      <c r="W322" s="330">
        <f t="shared" ref="W322:W342" si="772">+V322*$X$1</f>
        <v>629.82400000000007</v>
      </c>
      <c r="X322" s="141"/>
      <c r="Y322" s="149"/>
      <c r="Z322" s="149"/>
      <c r="AA322" s="149"/>
      <c r="AB322" s="507">
        <v>2174</v>
      </c>
      <c r="AC322" s="70"/>
      <c r="AD322" s="24"/>
    </row>
    <row r="323" spans="1:34" ht="12.6" customHeight="1" x14ac:dyDescent="0.2">
      <c r="A323" s="101"/>
      <c r="B323" s="892" t="s">
        <v>232</v>
      </c>
      <c r="C323" s="893"/>
      <c r="D323" s="893"/>
      <c r="E323" s="894"/>
      <c r="F323" s="461">
        <f>0.648*X2</f>
        <v>607.82400000000007</v>
      </c>
      <c r="G323" s="356">
        <f>+F323*$X$1</f>
        <v>607.82400000000007</v>
      </c>
      <c r="H323" s="650"/>
      <c r="I323" s="650"/>
      <c r="J323" s="130"/>
      <c r="K323" s="331"/>
      <c r="L323" s="650">
        <f t="shared" si="761"/>
        <v>687.82400000000007</v>
      </c>
      <c r="M323" s="331">
        <f t="shared" si="762"/>
        <v>687.82400000000007</v>
      </c>
      <c r="N323" s="650">
        <f t="shared" si="763"/>
        <v>657.82400000000007</v>
      </c>
      <c r="O323" s="331">
        <f t="shared" si="764"/>
        <v>657.82400000000007</v>
      </c>
      <c r="P323" s="650">
        <f t="shared" si="765"/>
        <v>647.82400000000007</v>
      </c>
      <c r="Q323" s="331">
        <f t="shared" si="766"/>
        <v>647.82400000000007</v>
      </c>
      <c r="R323" s="650">
        <f t="shared" si="767"/>
        <v>640.82400000000007</v>
      </c>
      <c r="S323" s="331">
        <f t="shared" si="768"/>
        <v>640.82400000000007</v>
      </c>
      <c r="T323" s="650">
        <f t="shared" si="769"/>
        <v>633.82400000000007</v>
      </c>
      <c r="U323" s="331">
        <f t="shared" si="770"/>
        <v>633.82400000000007</v>
      </c>
      <c r="V323" s="650">
        <f t="shared" si="771"/>
        <v>629.82400000000007</v>
      </c>
      <c r="W323" s="331">
        <f t="shared" si="772"/>
        <v>629.82400000000007</v>
      </c>
      <c r="X323" s="141"/>
      <c r="Y323" s="149"/>
      <c r="Z323" s="149"/>
      <c r="AA323" s="149"/>
      <c r="AB323" s="507" t="s">
        <v>386</v>
      </c>
      <c r="AC323" s="70"/>
      <c r="AD323" s="24"/>
    </row>
    <row r="324" spans="1:34" ht="12.6" customHeight="1" x14ac:dyDescent="0.2">
      <c r="A324" s="101" t="s">
        <v>410</v>
      </c>
      <c r="B324" s="765" t="s">
        <v>417</v>
      </c>
      <c r="C324" s="766"/>
      <c r="D324" s="766"/>
      <c r="E324" s="767"/>
      <c r="F324" s="460">
        <f>0.466*X2</f>
        <v>437.108</v>
      </c>
      <c r="G324" s="293">
        <f t="shared" ref="G324:G330" si="773">+F324*$X$1</f>
        <v>437.108</v>
      </c>
      <c r="H324" s="368"/>
      <c r="I324" s="368"/>
      <c r="J324" s="131"/>
      <c r="K324" s="330"/>
      <c r="L324" s="665">
        <f t="shared" si="761"/>
        <v>517.10799999999995</v>
      </c>
      <c r="M324" s="330">
        <f t="shared" si="762"/>
        <v>517.10799999999995</v>
      </c>
      <c r="N324" s="665">
        <f t="shared" si="763"/>
        <v>487.108</v>
      </c>
      <c r="O324" s="330">
        <f t="shared" si="764"/>
        <v>487.108</v>
      </c>
      <c r="P324" s="665">
        <f t="shared" si="765"/>
        <v>477.108</v>
      </c>
      <c r="Q324" s="330">
        <f t="shared" si="766"/>
        <v>477.108</v>
      </c>
      <c r="R324" s="665">
        <f t="shared" si="767"/>
        <v>470.108</v>
      </c>
      <c r="S324" s="330">
        <f t="shared" si="768"/>
        <v>470.108</v>
      </c>
      <c r="T324" s="665">
        <f t="shared" si="769"/>
        <v>463.108</v>
      </c>
      <c r="U324" s="330">
        <f t="shared" si="770"/>
        <v>463.108</v>
      </c>
      <c r="V324" s="665">
        <f t="shared" si="771"/>
        <v>459.108</v>
      </c>
      <c r="W324" s="330">
        <f t="shared" si="772"/>
        <v>459.108</v>
      </c>
      <c r="X324" s="141"/>
      <c r="Y324" s="149"/>
      <c r="Z324" s="149"/>
      <c r="AA324" s="149"/>
      <c r="AB324" s="507">
        <v>2176</v>
      </c>
      <c r="AC324" s="523"/>
      <c r="AD324" s="24"/>
    </row>
    <row r="325" spans="1:34" ht="12.6" customHeight="1" x14ac:dyDescent="0.2">
      <c r="A325" s="101"/>
      <c r="B325" s="679" t="s">
        <v>795</v>
      </c>
      <c r="C325" s="695"/>
      <c r="D325" s="695"/>
      <c r="E325" s="695"/>
      <c r="F325" s="461">
        <f>0.614*X2</f>
        <v>575.93200000000002</v>
      </c>
      <c r="G325" s="356">
        <f t="shared" si="773"/>
        <v>575.93200000000002</v>
      </c>
      <c r="H325" s="650"/>
      <c r="I325" s="650"/>
      <c r="J325" s="130"/>
      <c r="K325" s="331"/>
      <c r="L325" s="650">
        <f t="shared" si="761"/>
        <v>655.93200000000002</v>
      </c>
      <c r="M325" s="331">
        <f t="shared" si="762"/>
        <v>655.93200000000002</v>
      </c>
      <c r="N325" s="650">
        <f t="shared" si="763"/>
        <v>625.93200000000002</v>
      </c>
      <c r="O325" s="331">
        <f t="shared" si="764"/>
        <v>625.93200000000002</v>
      </c>
      <c r="P325" s="650">
        <f t="shared" si="765"/>
        <v>615.93200000000002</v>
      </c>
      <c r="Q325" s="331">
        <f t="shared" si="766"/>
        <v>615.93200000000002</v>
      </c>
      <c r="R325" s="650">
        <f t="shared" si="767"/>
        <v>608.93200000000002</v>
      </c>
      <c r="S325" s="331">
        <f t="shared" si="768"/>
        <v>608.93200000000002</v>
      </c>
      <c r="T325" s="650">
        <f t="shared" si="769"/>
        <v>601.93200000000002</v>
      </c>
      <c r="U325" s="331">
        <f t="shared" si="770"/>
        <v>601.93200000000002</v>
      </c>
      <c r="V325" s="650">
        <f t="shared" si="771"/>
        <v>597.93200000000002</v>
      </c>
      <c r="W325" s="331">
        <f t="shared" si="772"/>
        <v>597.93200000000002</v>
      </c>
      <c r="X325" s="141"/>
      <c r="Y325" s="149"/>
      <c r="Z325" s="149"/>
      <c r="AA325" s="149"/>
      <c r="AB325" s="507">
        <v>2180</v>
      </c>
      <c r="AC325" s="24"/>
      <c r="AD325" s="24"/>
    </row>
    <row r="326" spans="1:34" ht="12" customHeight="1" x14ac:dyDescent="0.2">
      <c r="A326" s="200"/>
      <c r="B326" s="736" t="s">
        <v>233</v>
      </c>
      <c r="C326" s="737"/>
      <c r="D326" s="737"/>
      <c r="E326" s="738"/>
      <c r="F326" s="460">
        <f>0.8*X2</f>
        <v>750.40000000000009</v>
      </c>
      <c r="G326" s="293">
        <f t="shared" si="773"/>
        <v>750.40000000000009</v>
      </c>
      <c r="H326" s="665"/>
      <c r="I326" s="665"/>
      <c r="J326" s="131"/>
      <c r="K326" s="330"/>
      <c r="L326" s="665">
        <f t="shared" si="761"/>
        <v>830.40000000000009</v>
      </c>
      <c r="M326" s="330">
        <f t="shared" si="762"/>
        <v>830.40000000000009</v>
      </c>
      <c r="N326" s="665">
        <f t="shared" si="763"/>
        <v>800.40000000000009</v>
      </c>
      <c r="O326" s="330">
        <f t="shared" si="764"/>
        <v>800.40000000000009</v>
      </c>
      <c r="P326" s="665"/>
      <c r="Q326" s="330"/>
      <c r="R326" s="665"/>
      <c r="S326" s="330"/>
      <c r="T326" s="665"/>
      <c r="U326" s="330"/>
      <c r="V326" s="665"/>
      <c r="W326" s="330"/>
      <c r="X326" s="141"/>
      <c r="Y326" s="141"/>
      <c r="Z326" s="141"/>
      <c r="AA326" s="141"/>
      <c r="AB326" s="507">
        <v>2184</v>
      </c>
    </row>
    <row r="327" spans="1:34" ht="12" customHeight="1" x14ac:dyDescent="0.2">
      <c r="A327" s="200"/>
      <c r="B327" s="698" t="s">
        <v>234</v>
      </c>
      <c r="C327" s="693"/>
      <c r="D327" s="693"/>
      <c r="E327" s="694"/>
      <c r="F327" s="461">
        <f>0.763*X2</f>
        <v>715.69399999999996</v>
      </c>
      <c r="G327" s="356">
        <f t="shared" si="773"/>
        <v>715.69399999999996</v>
      </c>
      <c r="H327" s="650"/>
      <c r="I327" s="650"/>
      <c r="J327" s="130"/>
      <c r="K327" s="331"/>
      <c r="L327" s="650">
        <f t="shared" si="761"/>
        <v>795.69399999999996</v>
      </c>
      <c r="M327" s="331">
        <f t="shared" si="762"/>
        <v>795.69399999999996</v>
      </c>
      <c r="N327" s="650">
        <f t="shared" si="763"/>
        <v>765.69399999999996</v>
      </c>
      <c r="O327" s="331">
        <f t="shared" si="764"/>
        <v>765.69399999999996</v>
      </c>
      <c r="P327" s="650">
        <f t="shared" si="765"/>
        <v>755.69399999999996</v>
      </c>
      <c r="Q327" s="331">
        <f t="shared" si="766"/>
        <v>755.69399999999996</v>
      </c>
      <c r="R327" s="650">
        <f t="shared" si="767"/>
        <v>748.69399999999996</v>
      </c>
      <c r="S327" s="331">
        <f t="shared" si="768"/>
        <v>748.69399999999996</v>
      </c>
      <c r="T327" s="650">
        <f t="shared" si="769"/>
        <v>741.69399999999996</v>
      </c>
      <c r="U327" s="331">
        <f t="shared" si="770"/>
        <v>741.69399999999996</v>
      </c>
      <c r="V327" s="650">
        <f t="shared" si="771"/>
        <v>737.69399999999996</v>
      </c>
      <c r="W327" s="331">
        <f t="shared" si="772"/>
        <v>737.69399999999996</v>
      </c>
      <c r="X327" s="141"/>
      <c r="Y327" s="141"/>
      <c r="Z327" s="141"/>
      <c r="AA327" s="141"/>
      <c r="AB327" s="507" t="s">
        <v>235</v>
      </c>
    </row>
    <row r="328" spans="1:34" ht="12" customHeight="1" x14ac:dyDescent="0.2">
      <c r="A328" s="101"/>
      <c r="B328" s="736" t="s">
        <v>236</v>
      </c>
      <c r="C328" s="739"/>
      <c r="D328" s="739"/>
      <c r="E328" s="740"/>
      <c r="F328" s="460">
        <f>0.372*X2</f>
        <v>348.93599999999998</v>
      </c>
      <c r="G328" s="293">
        <f t="shared" si="773"/>
        <v>348.93599999999998</v>
      </c>
      <c r="H328" s="665"/>
      <c r="I328" s="665"/>
      <c r="J328" s="131"/>
      <c r="K328" s="330"/>
      <c r="L328" s="665">
        <f t="shared" si="761"/>
        <v>428.93599999999998</v>
      </c>
      <c r="M328" s="330">
        <f t="shared" si="762"/>
        <v>428.93599999999998</v>
      </c>
      <c r="N328" s="665">
        <f t="shared" si="763"/>
        <v>398.93599999999998</v>
      </c>
      <c r="O328" s="330">
        <f t="shared" si="764"/>
        <v>398.93599999999998</v>
      </c>
      <c r="P328" s="665">
        <f t="shared" si="765"/>
        <v>388.93599999999998</v>
      </c>
      <c r="Q328" s="330">
        <f t="shared" si="766"/>
        <v>388.93599999999998</v>
      </c>
      <c r="R328" s="665">
        <f t="shared" si="767"/>
        <v>381.93599999999998</v>
      </c>
      <c r="S328" s="330">
        <f t="shared" si="768"/>
        <v>381.93599999999998</v>
      </c>
      <c r="T328" s="665">
        <f t="shared" si="769"/>
        <v>374.93599999999998</v>
      </c>
      <c r="U328" s="330">
        <f t="shared" si="770"/>
        <v>374.93599999999998</v>
      </c>
      <c r="V328" s="665">
        <f t="shared" si="771"/>
        <v>370.93599999999998</v>
      </c>
      <c r="W328" s="330">
        <f t="shared" si="772"/>
        <v>370.93599999999998</v>
      </c>
      <c r="X328" s="141"/>
      <c r="Y328" s="141"/>
      <c r="Z328" s="141"/>
      <c r="AA328" s="141"/>
      <c r="AB328" s="507">
        <v>2189</v>
      </c>
    </row>
    <row r="329" spans="1:34" ht="12.6" customHeight="1" x14ac:dyDescent="0.2">
      <c r="A329" s="101"/>
      <c r="B329" s="698" t="s">
        <v>237</v>
      </c>
      <c r="C329" s="693"/>
      <c r="D329" s="693"/>
      <c r="E329" s="694"/>
      <c r="F329" s="461">
        <f>0.652*X2</f>
        <v>611.57600000000002</v>
      </c>
      <c r="G329" s="356">
        <f t="shared" si="773"/>
        <v>611.57600000000002</v>
      </c>
      <c r="H329" s="650"/>
      <c r="I329" s="650"/>
      <c r="J329" s="130"/>
      <c r="K329" s="331"/>
      <c r="L329" s="650">
        <f t="shared" si="761"/>
        <v>691.57600000000002</v>
      </c>
      <c r="M329" s="331">
        <f t="shared" si="762"/>
        <v>691.57600000000002</v>
      </c>
      <c r="N329" s="650">
        <f t="shared" si="763"/>
        <v>661.57600000000002</v>
      </c>
      <c r="O329" s="331">
        <f t="shared" si="764"/>
        <v>661.57600000000002</v>
      </c>
      <c r="P329" s="650">
        <f t="shared" si="765"/>
        <v>651.57600000000002</v>
      </c>
      <c r="Q329" s="331">
        <f t="shared" si="766"/>
        <v>651.57600000000002</v>
      </c>
      <c r="R329" s="650">
        <f t="shared" si="767"/>
        <v>644.57600000000002</v>
      </c>
      <c r="S329" s="331">
        <f t="shared" si="768"/>
        <v>644.57600000000002</v>
      </c>
      <c r="T329" s="650">
        <f t="shared" si="769"/>
        <v>637.57600000000002</v>
      </c>
      <c r="U329" s="331">
        <f t="shared" si="770"/>
        <v>637.57600000000002</v>
      </c>
      <c r="V329" s="650">
        <f t="shared" si="771"/>
        <v>633.57600000000002</v>
      </c>
      <c r="W329" s="331">
        <f t="shared" si="772"/>
        <v>633.57600000000002</v>
      </c>
      <c r="X329" s="141"/>
      <c r="Y329" s="141"/>
      <c r="Z329" s="141"/>
      <c r="AA329" s="141"/>
      <c r="AB329" s="507">
        <v>2190</v>
      </c>
    </row>
    <row r="330" spans="1:34" ht="12.6" customHeight="1" x14ac:dyDescent="0.2">
      <c r="A330" s="20"/>
      <c r="B330" s="1252" t="s">
        <v>238</v>
      </c>
      <c r="C330" s="739"/>
      <c r="D330" s="739"/>
      <c r="E330" s="740"/>
      <c r="F330" s="460">
        <f>0.521*X2</f>
        <v>488.69800000000004</v>
      </c>
      <c r="G330" s="293">
        <f t="shared" si="773"/>
        <v>488.69800000000004</v>
      </c>
      <c r="H330" s="665"/>
      <c r="I330" s="665"/>
      <c r="J330" s="131"/>
      <c r="K330" s="330"/>
      <c r="L330" s="665">
        <f t="shared" si="761"/>
        <v>568.69800000000009</v>
      </c>
      <c r="M330" s="330">
        <f t="shared" si="762"/>
        <v>568.69800000000009</v>
      </c>
      <c r="N330" s="665">
        <f t="shared" si="763"/>
        <v>538.69800000000009</v>
      </c>
      <c r="O330" s="330">
        <f t="shared" si="764"/>
        <v>538.69800000000009</v>
      </c>
      <c r="P330" s="665">
        <f t="shared" si="765"/>
        <v>528.69800000000009</v>
      </c>
      <c r="Q330" s="330">
        <f t="shared" si="766"/>
        <v>528.69800000000009</v>
      </c>
      <c r="R330" s="665">
        <f t="shared" si="767"/>
        <v>521.69800000000009</v>
      </c>
      <c r="S330" s="330">
        <f t="shared" si="768"/>
        <v>521.69800000000009</v>
      </c>
      <c r="T330" s="665">
        <f t="shared" si="769"/>
        <v>514.69800000000009</v>
      </c>
      <c r="U330" s="330">
        <f t="shared" si="770"/>
        <v>514.69800000000009</v>
      </c>
      <c r="V330" s="665">
        <f t="shared" si="771"/>
        <v>510.69800000000004</v>
      </c>
      <c r="W330" s="330">
        <f t="shared" si="772"/>
        <v>510.69800000000004</v>
      </c>
      <c r="X330" s="197"/>
      <c r="Y330" s="198"/>
      <c r="Z330" s="198"/>
      <c r="AA330" s="197"/>
      <c r="AB330" s="507">
        <v>2193</v>
      </c>
    </row>
    <row r="331" spans="1:34" ht="12.6" customHeight="1" x14ac:dyDescent="0.2">
      <c r="A331" s="20"/>
      <c r="B331" s="679" t="s">
        <v>239</v>
      </c>
      <c r="C331" s="695"/>
      <c r="D331" s="695"/>
      <c r="E331" s="695"/>
      <c r="F331" s="461">
        <f>0.614*X2</f>
        <v>575.93200000000002</v>
      </c>
      <c r="G331" s="356">
        <f t="shared" ref="G331:G338" si="774">+F331*$X$1</f>
        <v>575.93200000000002</v>
      </c>
      <c r="H331" s="650"/>
      <c r="I331" s="650"/>
      <c r="J331" s="130"/>
      <c r="K331" s="331"/>
      <c r="L331" s="650">
        <f t="shared" si="761"/>
        <v>655.93200000000002</v>
      </c>
      <c r="M331" s="331">
        <f t="shared" si="762"/>
        <v>655.93200000000002</v>
      </c>
      <c r="N331" s="650">
        <f t="shared" si="763"/>
        <v>625.93200000000002</v>
      </c>
      <c r="O331" s="331">
        <f t="shared" si="764"/>
        <v>625.93200000000002</v>
      </c>
      <c r="P331" s="650">
        <f t="shared" si="765"/>
        <v>615.93200000000002</v>
      </c>
      <c r="Q331" s="331">
        <f t="shared" si="766"/>
        <v>615.93200000000002</v>
      </c>
      <c r="R331" s="650">
        <f t="shared" si="767"/>
        <v>608.93200000000002</v>
      </c>
      <c r="S331" s="331">
        <f t="shared" si="768"/>
        <v>608.93200000000002</v>
      </c>
      <c r="T331" s="650">
        <f t="shared" si="769"/>
        <v>601.93200000000002</v>
      </c>
      <c r="U331" s="331">
        <f t="shared" si="770"/>
        <v>601.93200000000002</v>
      </c>
      <c r="V331" s="650">
        <f t="shared" si="771"/>
        <v>597.93200000000002</v>
      </c>
      <c r="W331" s="331">
        <f t="shared" si="772"/>
        <v>597.93200000000002</v>
      </c>
      <c r="X331" s="141"/>
      <c r="Y331" s="141"/>
      <c r="Z331" s="141"/>
      <c r="AA331" s="141"/>
      <c r="AB331" s="507">
        <v>2194</v>
      </c>
    </row>
    <row r="332" spans="1:34" ht="12.6" customHeight="1" x14ac:dyDescent="0.2">
      <c r="A332" s="20"/>
      <c r="B332" s="1274" t="s">
        <v>240</v>
      </c>
      <c r="C332" s="1275"/>
      <c r="D332" s="1275"/>
      <c r="E332" s="1276"/>
      <c r="F332" s="460">
        <f>0.67*X2</f>
        <v>628.46</v>
      </c>
      <c r="G332" s="293">
        <f t="shared" si="774"/>
        <v>628.46</v>
      </c>
      <c r="H332" s="665"/>
      <c r="I332" s="665"/>
      <c r="J332" s="131"/>
      <c r="K332" s="330"/>
      <c r="L332" s="665">
        <f t="shared" si="761"/>
        <v>708.46</v>
      </c>
      <c r="M332" s="330">
        <f t="shared" si="762"/>
        <v>708.46</v>
      </c>
      <c r="N332" s="665">
        <f t="shared" si="763"/>
        <v>678.46</v>
      </c>
      <c r="O332" s="330">
        <f t="shared" si="764"/>
        <v>678.46</v>
      </c>
      <c r="P332" s="665">
        <f t="shared" si="765"/>
        <v>668.46</v>
      </c>
      <c r="Q332" s="330">
        <f t="shared" si="766"/>
        <v>668.46</v>
      </c>
      <c r="R332" s="665">
        <f t="shared" si="767"/>
        <v>661.46</v>
      </c>
      <c r="S332" s="330">
        <f t="shared" si="768"/>
        <v>661.46</v>
      </c>
      <c r="T332" s="665">
        <f t="shared" si="769"/>
        <v>654.46</v>
      </c>
      <c r="U332" s="330">
        <f t="shared" si="770"/>
        <v>654.46</v>
      </c>
      <c r="V332" s="665">
        <f t="shared" si="771"/>
        <v>650.46</v>
      </c>
      <c r="W332" s="330">
        <f t="shared" si="772"/>
        <v>650.46</v>
      </c>
      <c r="X332" s="141"/>
      <c r="Y332" s="141"/>
      <c r="Z332" s="141"/>
      <c r="AA332" s="141"/>
      <c r="AB332" s="507">
        <v>2195</v>
      </c>
    </row>
    <row r="333" spans="1:34" ht="12.6" customHeight="1" x14ac:dyDescent="0.2">
      <c r="A333" s="20"/>
      <c r="B333" s="679" t="s">
        <v>241</v>
      </c>
      <c r="C333" s="695"/>
      <c r="D333" s="695"/>
      <c r="E333" s="695"/>
      <c r="F333" s="461">
        <f>0.652*X2</f>
        <v>611.57600000000002</v>
      </c>
      <c r="G333" s="356">
        <f t="shared" si="774"/>
        <v>611.57600000000002</v>
      </c>
      <c r="H333" s="650"/>
      <c r="I333" s="650"/>
      <c r="J333" s="650"/>
      <c r="K333" s="331"/>
      <c r="L333" s="650">
        <f t="shared" si="761"/>
        <v>691.57600000000002</v>
      </c>
      <c r="M333" s="331">
        <f t="shared" si="762"/>
        <v>691.57600000000002</v>
      </c>
      <c r="N333" s="650">
        <f t="shared" si="763"/>
        <v>661.57600000000002</v>
      </c>
      <c r="O333" s="331">
        <f t="shared" si="764"/>
        <v>661.57600000000002</v>
      </c>
      <c r="P333" s="650">
        <f t="shared" si="765"/>
        <v>651.57600000000002</v>
      </c>
      <c r="Q333" s="331">
        <f t="shared" si="766"/>
        <v>651.57600000000002</v>
      </c>
      <c r="R333" s="650">
        <f t="shared" si="767"/>
        <v>644.57600000000002</v>
      </c>
      <c r="S333" s="331">
        <f t="shared" si="768"/>
        <v>644.57600000000002</v>
      </c>
      <c r="T333" s="650">
        <f t="shared" si="769"/>
        <v>637.57600000000002</v>
      </c>
      <c r="U333" s="331">
        <f t="shared" si="770"/>
        <v>637.57600000000002</v>
      </c>
      <c r="V333" s="650">
        <f t="shared" si="771"/>
        <v>633.57600000000002</v>
      </c>
      <c r="W333" s="331">
        <f t="shared" si="772"/>
        <v>633.57600000000002</v>
      </c>
      <c r="X333" s="141"/>
      <c r="Y333" s="141"/>
      <c r="Z333" s="141"/>
      <c r="AA333" s="141"/>
      <c r="AB333" s="507">
        <v>2198</v>
      </c>
    </row>
    <row r="334" spans="1:34" ht="12.6" customHeight="1" x14ac:dyDescent="0.2">
      <c r="A334" s="111"/>
      <c r="B334" s="696" t="s">
        <v>375</v>
      </c>
      <c r="C334" s="704"/>
      <c r="D334" s="704"/>
      <c r="E334" s="704"/>
      <c r="F334" s="460">
        <f>0.56*X2</f>
        <v>525.28000000000009</v>
      </c>
      <c r="G334" s="293">
        <f t="shared" si="774"/>
        <v>525.28000000000009</v>
      </c>
      <c r="H334" s="665"/>
      <c r="I334" s="665"/>
      <c r="J334" s="665"/>
      <c r="K334" s="330"/>
      <c r="L334" s="665">
        <f t="shared" si="761"/>
        <v>605.28000000000009</v>
      </c>
      <c r="M334" s="330">
        <f t="shared" si="762"/>
        <v>605.28000000000009</v>
      </c>
      <c r="N334" s="665">
        <f t="shared" si="763"/>
        <v>575.28000000000009</v>
      </c>
      <c r="O334" s="330">
        <f t="shared" si="764"/>
        <v>575.28000000000009</v>
      </c>
      <c r="P334" s="665">
        <f t="shared" si="765"/>
        <v>565.28000000000009</v>
      </c>
      <c r="Q334" s="330">
        <f t="shared" si="766"/>
        <v>565.28000000000009</v>
      </c>
      <c r="R334" s="665">
        <f t="shared" si="767"/>
        <v>558.28000000000009</v>
      </c>
      <c r="S334" s="330">
        <f t="shared" si="768"/>
        <v>558.28000000000009</v>
      </c>
      <c r="T334" s="665">
        <f t="shared" si="769"/>
        <v>551.28000000000009</v>
      </c>
      <c r="U334" s="330">
        <f t="shared" si="770"/>
        <v>551.28000000000009</v>
      </c>
      <c r="V334" s="665">
        <f t="shared" si="771"/>
        <v>547.28000000000009</v>
      </c>
      <c r="W334" s="330">
        <f t="shared" si="772"/>
        <v>547.28000000000009</v>
      </c>
      <c r="X334" s="166"/>
      <c r="Y334" s="141"/>
      <c r="Z334" s="141"/>
      <c r="AA334" s="141"/>
      <c r="AB334" s="507">
        <v>2202</v>
      </c>
    </row>
    <row r="335" spans="1:34" ht="12.6" customHeight="1" x14ac:dyDescent="0.2">
      <c r="A335" s="111"/>
      <c r="B335" s="679" t="s">
        <v>376</v>
      </c>
      <c r="C335" s="866"/>
      <c r="D335" s="866"/>
      <c r="E335" s="866"/>
      <c r="F335" s="461">
        <f>0.56*X2</f>
        <v>525.28000000000009</v>
      </c>
      <c r="G335" s="356">
        <f t="shared" si="774"/>
        <v>525.28000000000009</v>
      </c>
      <c r="H335" s="650"/>
      <c r="I335" s="650"/>
      <c r="J335" s="650"/>
      <c r="K335" s="331"/>
      <c r="L335" s="650">
        <f t="shared" si="761"/>
        <v>605.28000000000009</v>
      </c>
      <c r="M335" s="331">
        <f t="shared" si="762"/>
        <v>605.28000000000009</v>
      </c>
      <c r="N335" s="650">
        <f t="shared" si="763"/>
        <v>575.28000000000009</v>
      </c>
      <c r="O335" s="331">
        <f t="shared" si="764"/>
        <v>575.28000000000009</v>
      </c>
      <c r="P335" s="650">
        <f t="shared" si="765"/>
        <v>565.28000000000009</v>
      </c>
      <c r="Q335" s="331">
        <f t="shared" si="766"/>
        <v>565.28000000000009</v>
      </c>
      <c r="R335" s="650">
        <f t="shared" si="767"/>
        <v>558.28000000000009</v>
      </c>
      <c r="S335" s="331">
        <f t="shared" si="768"/>
        <v>558.28000000000009</v>
      </c>
      <c r="T335" s="650">
        <f t="shared" si="769"/>
        <v>551.28000000000009</v>
      </c>
      <c r="U335" s="331">
        <f t="shared" si="770"/>
        <v>551.28000000000009</v>
      </c>
      <c r="V335" s="650">
        <f t="shared" si="771"/>
        <v>547.28000000000009</v>
      </c>
      <c r="W335" s="331">
        <f t="shared" si="772"/>
        <v>547.28000000000009</v>
      </c>
      <c r="X335" s="141"/>
      <c r="Y335" s="141"/>
      <c r="Z335" s="141"/>
      <c r="AA335" s="141"/>
      <c r="AB335" s="507" t="s">
        <v>242</v>
      </c>
    </row>
    <row r="336" spans="1:34" ht="12.6" customHeight="1" x14ac:dyDescent="0.2">
      <c r="A336" s="111"/>
      <c r="B336" s="696" t="s">
        <v>377</v>
      </c>
      <c r="C336" s="704"/>
      <c r="D336" s="704"/>
      <c r="E336" s="704"/>
      <c r="F336" s="460">
        <f>0.58*X2</f>
        <v>544.04</v>
      </c>
      <c r="G336" s="293">
        <f t="shared" ref="G336:G339" si="775">+F336*$X$1</f>
        <v>544.04</v>
      </c>
      <c r="H336" s="665"/>
      <c r="I336" s="665"/>
      <c r="J336" s="665"/>
      <c r="K336" s="357"/>
      <c r="L336" s="108">
        <f t="shared" si="761"/>
        <v>624.04</v>
      </c>
      <c r="M336" s="357">
        <f t="shared" si="762"/>
        <v>624.04</v>
      </c>
      <c r="N336" s="108">
        <f t="shared" si="763"/>
        <v>594.04</v>
      </c>
      <c r="O336" s="357">
        <f t="shared" si="764"/>
        <v>594.04</v>
      </c>
      <c r="P336" s="108">
        <f t="shared" si="765"/>
        <v>584.04</v>
      </c>
      <c r="Q336" s="357">
        <f t="shared" si="766"/>
        <v>584.04</v>
      </c>
      <c r="R336" s="108">
        <f t="shared" si="767"/>
        <v>577.04</v>
      </c>
      <c r="S336" s="357">
        <f t="shared" si="768"/>
        <v>577.04</v>
      </c>
      <c r="T336" s="108">
        <f t="shared" si="769"/>
        <v>570.04</v>
      </c>
      <c r="U336" s="293">
        <f t="shared" si="770"/>
        <v>570.04</v>
      </c>
      <c r="V336" s="108">
        <f t="shared" si="771"/>
        <v>566.04</v>
      </c>
      <c r="W336" s="293">
        <f t="shared" si="772"/>
        <v>566.04</v>
      </c>
      <c r="X336" s="141"/>
      <c r="Y336" s="141"/>
      <c r="Z336" s="141"/>
      <c r="AA336" s="141"/>
      <c r="AB336" s="507" t="s">
        <v>243</v>
      </c>
    </row>
    <row r="337" spans="1:31" ht="12.6" customHeight="1" x14ac:dyDescent="0.2">
      <c r="A337" s="111"/>
      <c r="B337" s="770" t="s">
        <v>732</v>
      </c>
      <c r="C337" s="1272"/>
      <c r="D337" s="1272"/>
      <c r="E337" s="1273"/>
      <c r="F337" s="461">
        <f>0.708*X2</f>
        <v>664.10399999999993</v>
      </c>
      <c r="G337" s="356">
        <f t="shared" si="775"/>
        <v>664.10399999999993</v>
      </c>
      <c r="H337" s="650"/>
      <c r="I337" s="650"/>
      <c r="J337" s="650"/>
      <c r="K337" s="331"/>
      <c r="L337" s="650">
        <f t="shared" si="761"/>
        <v>744.10399999999993</v>
      </c>
      <c r="M337" s="331">
        <f t="shared" si="762"/>
        <v>744.10399999999993</v>
      </c>
      <c r="N337" s="650">
        <f t="shared" si="763"/>
        <v>714.10399999999993</v>
      </c>
      <c r="O337" s="331">
        <f t="shared" si="764"/>
        <v>714.10399999999993</v>
      </c>
      <c r="P337" s="650">
        <f t="shared" si="765"/>
        <v>704.10399999999993</v>
      </c>
      <c r="Q337" s="331">
        <f t="shared" si="766"/>
        <v>704.10399999999993</v>
      </c>
      <c r="R337" s="650">
        <f t="shared" si="767"/>
        <v>697.10399999999993</v>
      </c>
      <c r="S337" s="331">
        <f t="shared" si="768"/>
        <v>697.10399999999993</v>
      </c>
      <c r="T337" s="107">
        <f t="shared" si="769"/>
        <v>690.10399999999993</v>
      </c>
      <c r="U337" s="356">
        <f t="shared" si="770"/>
        <v>690.10399999999993</v>
      </c>
      <c r="V337" s="107">
        <f t="shared" si="771"/>
        <v>686.10399999999993</v>
      </c>
      <c r="W337" s="356">
        <f t="shared" si="772"/>
        <v>686.10399999999993</v>
      </c>
      <c r="X337" s="687"/>
      <c r="Y337" s="687"/>
      <c r="Z337" s="687"/>
      <c r="AA337" s="688"/>
      <c r="AB337" s="507" t="s">
        <v>736</v>
      </c>
      <c r="AC337" s="69"/>
      <c r="AE337" s="91"/>
    </row>
    <row r="338" spans="1:31" ht="12.6" customHeight="1" x14ac:dyDescent="0.2">
      <c r="A338" s="111"/>
      <c r="B338" s="1066" t="s">
        <v>244</v>
      </c>
      <c r="C338" s="1128"/>
      <c r="D338" s="1128"/>
      <c r="E338" s="1129"/>
      <c r="F338" s="460">
        <f>0.75*X2</f>
        <v>703.5</v>
      </c>
      <c r="G338" s="293">
        <f t="shared" si="774"/>
        <v>703.5</v>
      </c>
      <c r="H338" s="665"/>
      <c r="I338" s="665"/>
      <c r="J338" s="665"/>
      <c r="K338" s="330"/>
      <c r="L338" s="665">
        <f t="shared" si="761"/>
        <v>783.5</v>
      </c>
      <c r="M338" s="330">
        <f t="shared" si="762"/>
        <v>783.5</v>
      </c>
      <c r="N338" s="665">
        <f t="shared" si="763"/>
        <v>753.5</v>
      </c>
      <c r="O338" s="330">
        <f t="shared" si="764"/>
        <v>753.5</v>
      </c>
      <c r="P338" s="665">
        <f t="shared" si="765"/>
        <v>743.5</v>
      </c>
      <c r="Q338" s="330">
        <f t="shared" si="766"/>
        <v>743.5</v>
      </c>
      <c r="R338" s="665">
        <f t="shared" si="767"/>
        <v>736.5</v>
      </c>
      <c r="S338" s="330">
        <f t="shared" si="768"/>
        <v>736.5</v>
      </c>
      <c r="T338" s="108">
        <f t="shared" si="769"/>
        <v>729.5</v>
      </c>
      <c r="U338" s="293">
        <f t="shared" si="770"/>
        <v>729.5</v>
      </c>
      <c r="V338" s="108">
        <f t="shared" si="771"/>
        <v>725.5</v>
      </c>
      <c r="W338" s="293">
        <f t="shared" si="772"/>
        <v>725.5</v>
      </c>
      <c r="X338" s="687"/>
      <c r="Y338" s="687"/>
      <c r="Z338" s="687"/>
      <c r="AA338" s="688"/>
      <c r="AB338" s="507" t="s">
        <v>245</v>
      </c>
      <c r="AC338" s="69"/>
      <c r="AE338" s="91"/>
    </row>
    <row r="339" spans="1:31" ht="12.6" customHeight="1" x14ac:dyDescent="0.2">
      <c r="A339" s="101"/>
      <c r="B339" s="749" t="s">
        <v>246</v>
      </c>
      <c r="C339" s="1291"/>
      <c r="D339" s="1291"/>
      <c r="E339" s="1292"/>
      <c r="F339" s="461">
        <f>0.782*X2</f>
        <v>733.51600000000008</v>
      </c>
      <c r="G339" s="356">
        <f t="shared" si="775"/>
        <v>733.51600000000008</v>
      </c>
      <c r="H339" s="650"/>
      <c r="I339" s="650"/>
      <c r="J339" s="650"/>
      <c r="K339" s="331"/>
      <c r="L339" s="650">
        <f t="shared" si="761"/>
        <v>813.51600000000008</v>
      </c>
      <c r="M339" s="331">
        <f t="shared" si="762"/>
        <v>813.51600000000008</v>
      </c>
      <c r="N339" s="650">
        <f t="shared" si="763"/>
        <v>783.51600000000008</v>
      </c>
      <c r="O339" s="331">
        <f t="shared" si="764"/>
        <v>783.51600000000008</v>
      </c>
      <c r="P339" s="650">
        <f t="shared" si="765"/>
        <v>773.51600000000008</v>
      </c>
      <c r="Q339" s="331">
        <f t="shared" si="766"/>
        <v>773.51600000000008</v>
      </c>
      <c r="R339" s="650">
        <f t="shared" si="767"/>
        <v>766.51600000000008</v>
      </c>
      <c r="S339" s="331">
        <f t="shared" si="768"/>
        <v>766.51600000000008</v>
      </c>
      <c r="T339" s="107">
        <f t="shared" si="769"/>
        <v>759.51600000000008</v>
      </c>
      <c r="U339" s="356">
        <f t="shared" si="770"/>
        <v>759.51600000000008</v>
      </c>
      <c r="V339" s="107">
        <f t="shared" si="771"/>
        <v>755.51600000000008</v>
      </c>
      <c r="W339" s="356">
        <f t="shared" si="772"/>
        <v>755.51600000000008</v>
      </c>
      <c r="X339" s="184"/>
      <c r="Y339" s="141"/>
      <c r="Z339" s="141"/>
      <c r="AA339" s="141"/>
      <c r="AB339" s="507">
        <v>2203</v>
      </c>
      <c r="AC339" s="245"/>
    </row>
    <row r="340" spans="1:31" ht="12.6" customHeight="1" x14ac:dyDescent="0.2">
      <c r="A340" s="101"/>
      <c r="B340" s="773" t="s">
        <v>247</v>
      </c>
      <c r="C340" s="774"/>
      <c r="D340" s="774"/>
      <c r="E340" s="774"/>
      <c r="F340" s="460">
        <f>0.838*X2</f>
        <v>786.04399999999998</v>
      </c>
      <c r="G340" s="293">
        <f>+F340*$X$1</f>
        <v>786.04399999999998</v>
      </c>
      <c r="H340" s="665"/>
      <c r="I340" s="665"/>
      <c r="J340" s="665"/>
      <c r="K340" s="330"/>
      <c r="L340" s="665">
        <f t="shared" si="761"/>
        <v>866.04399999999998</v>
      </c>
      <c r="M340" s="330">
        <f t="shared" si="762"/>
        <v>866.04399999999998</v>
      </c>
      <c r="N340" s="665">
        <f t="shared" si="763"/>
        <v>836.04399999999998</v>
      </c>
      <c r="O340" s="330">
        <f t="shared" si="764"/>
        <v>836.04399999999998</v>
      </c>
      <c r="P340" s="665">
        <f t="shared" si="765"/>
        <v>826.04399999999998</v>
      </c>
      <c r="Q340" s="330">
        <f t="shared" si="766"/>
        <v>826.04399999999998</v>
      </c>
      <c r="R340" s="665">
        <f t="shared" si="767"/>
        <v>819.04399999999998</v>
      </c>
      <c r="S340" s="330">
        <f t="shared" si="768"/>
        <v>819.04399999999998</v>
      </c>
      <c r="T340" s="108">
        <f t="shared" si="769"/>
        <v>812.04399999999998</v>
      </c>
      <c r="U340" s="293">
        <f t="shared" si="770"/>
        <v>812.04399999999998</v>
      </c>
      <c r="V340" s="108">
        <f t="shared" si="771"/>
        <v>808.04399999999998</v>
      </c>
      <c r="W340" s="293">
        <f t="shared" si="772"/>
        <v>808.04399999999998</v>
      </c>
      <c r="X340" s="185"/>
      <c r="Y340" s="145"/>
      <c r="Z340" s="145"/>
      <c r="AA340" s="148"/>
      <c r="AB340" s="507">
        <v>2205</v>
      </c>
      <c r="AC340" s="69"/>
    </row>
    <row r="341" spans="1:31" ht="12.6" customHeight="1" x14ac:dyDescent="0.2">
      <c r="A341" s="101"/>
      <c r="B341" s="679" t="s">
        <v>248</v>
      </c>
      <c r="C341" s="866"/>
      <c r="D341" s="866"/>
      <c r="E341" s="866"/>
      <c r="F341" s="461">
        <f>0.521*X2</f>
        <v>488.69800000000004</v>
      </c>
      <c r="G341" s="356">
        <f>+F341*$X$1</f>
        <v>488.69800000000004</v>
      </c>
      <c r="H341" s="650"/>
      <c r="I341" s="650"/>
      <c r="J341" s="650"/>
      <c r="K341" s="331"/>
      <c r="L341" s="650">
        <f t="shared" si="761"/>
        <v>568.69800000000009</v>
      </c>
      <c r="M341" s="331">
        <f t="shared" si="762"/>
        <v>568.69800000000009</v>
      </c>
      <c r="N341" s="650">
        <f t="shared" si="763"/>
        <v>538.69800000000009</v>
      </c>
      <c r="O341" s="331">
        <f t="shared" si="764"/>
        <v>538.69800000000009</v>
      </c>
      <c r="P341" s="650">
        <f t="shared" si="765"/>
        <v>528.69800000000009</v>
      </c>
      <c r="Q341" s="331">
        <f t="shared" si="766"/>
        <v>528.69800000000009</v>
      </c>
      <c r="R341" s="650">
        <f t="shared" si="767"/>
        <v>521.69800000000009</v>
      </c>
      <c r="S341" s="331">
        <f t="shared" si="768"/>
        <v>521.69800000000009</v>
      </c>
      <c r="T341" s="107">
        <f t="shared" si="769"/>
        <v>514.69800000000009</v>
      </c>
      <c r="U341" s="356">
        <f t="shared" si="770"/>
        <v>514.69800000000009</v>
      </c>
      <c r="V341" s="107">
        <f t="shared" si="771"/>
        <v>510.69800000000004</v>
      </c>
      <c r="W341" s="356">
        <f t="shared" si="772"/>
        <v>510.69800000000004</v>
      </c>
      <c r="X341" s="145"/>
      <c r="Y341" s="145"/>
      <c r="Z341" s="145"/>
      <c r="AA341" s="148"/>
      <c r="AB341" s="507">
        <v>2207</v>
      </c>
    </row>
    <row r="342" spans="1:31" ht="12.6" customHeight="1" x14ac:dyDescent="0.2">
      <c r="A342" s="101"/>
      <c r="B342" s="696" t="s">
        <v>249</v>
      </c>
      <c r="C342" s="704"/>
      <c r="D342" s="704"/>
      <c r="E342" s="704"/>
      <c r="F342" s="460">
        <f>0.42*X2</f>
        <v>393.96</v>
      </c>
      <c r="G342" s="587">
        <f>+F342*$X$1</f>
        <v>393.96</v>
      </c>
      <c r="H342" s="120"/>
      <c r="I342" s="120"/>
      <c r="J342" s="120"/>
      <c r="K342" s="332"/>
      <c r="L342" s="665">
        <f t="shared" si="761"/>
        <v>473.96</v>
      </c>
      <c r="M342" s="330">
        <f t="shared" si="762"/>
        <v>473.96</v>
      </c>
      <c r="N342" s="665">
        <f t="shared" si="763"/>
        <v>443.96</v>
      </c>
      <c r="O342" s="330">
        <f t="shared" si="764"/>
        <v>443.96</v>
      </c>
      <c r="P342" s="665">
        <f t="shared" si="765"/>
        <v>433.96</v>
      </c>
      <c r="Q342" s="330">
        <f t="shared" si="766"/>
        <v>433.96</v>
      </c>
      <c r="R342" s="665">
        <f t="shared" si="767"/>
        <v>426.96</v>
      </c>
      <c r="S342" s="330">
        <f t="shared" si="768"/>
        <v>426.96</v>
      </c>
      <c r="T342" s="108">
        <f t="shared" si="769"/>
        <v>419.96</v>
      </c>
      <c r="U342" s="293">
        <f t="shared" si="770"/>
        <v>419.96</v>
      </c>
      <c r="V342" s="108">
        <f t="shared" si="771"/>
        <v>415.96</v>
      </c>
      <c r="W342" s="293">
        <f t="shared" si="772"/>
        <v>415.96</v>
      </c>
      <c r="X342" s="145"/>
      <c r="Y342" s="145"/>
      <c r="Z342" s="145"/>
      <c r="AA342" s="148"/>
      <c r="AB342" s="507">
        <v>2209</v>
      </c>
    </row>
    <row r="343" spans="1:31" ht="12.6" customHeight="1" x14ac:dyDescent="0.2">
      <c r="A343" s="101"/>
      <c r="B343" s="1126" t="s">
        <v>250</v>
      </c>
      <c r="C343" s="1127"/>
      <c r="D343" s="1127"/>
      <c r="E343" s="1127"/>
      <c r="F343" s="461">
        <f>4.636*X2</f>
        <v>4348.5680000000002</v>
      </c>
      <c r="G343" s="331">
        <f t="shared" ref="G343" si="776">+F343*$X$1</f>
        <v>4348.5680000000002</v>
      </c>
      <c r="H343" s="650">
        <f>F343+280</f>
        <v>4628.5680000000002</v>
      </c>
      <c r="I343" s="331">
        <f>+H343*$X$1</f>
        <v>4628.5680000000002</v>
      </c>
      <c r="J343" s="650">
        <f>F343+110</f>
        <v>4458.5680000000002</v>
      </c>
      <c r="K343" s="331">
        <f t="shared" ref="K343" si="777">+J343*$X$1</f>
        <v>4458.5680000000002</v>
      </c>
      <c r="L343" s="650">
        <f>F343+80</f>
        <v>4428.5680000000002</v>
      </c>
      <c r="M343" s="331">
        <f t="shared" ref="M343" si="778">+L343*$X$1</f>
        <v>4428.5680000000002</v>
      </c>
      <c r="N343" s="650">
        <f>F343+50</f>
        <v>4398.5680000000002</v>
      </c>
      <c r="O343" s="331">
        <f t="shared" ref="O343" si="779">+N343*$X$1</f>
        <v>4398.5680000000002</v>
      </c>
      <c r="P343" s="650">
        <f>F343+45</f>
        <v>4393.5680000000002</v>
      </c>
      <c r="Q343" s="331">
        <f t="shared" ref="Q343" si="780">+P343*$X$1</f>
        <v>4393.5680000000002</v>
      </c>
      <c r="R343" s="650">
        <f>F343+38</f>
        <v>4386.5680000000002</v>
      </c>
      <c r="S343" s="331">
        <f t="shared" ref="S343" si="781">+R343*$X$1</f>
        <v>4386.5680000000002</v>
      </c>
      <c r="T343" s="650">
        <f>F343+31</f>
        <v>4379.5680000000002</v>
      </c>
      <c r="U343" s="331">
        <f t="shared" ref="U343" si="782">+T343*$X$1</f>
        <v>4379.5680000000002</v>
      </c>
      <c r="V343" s="650">
        <f>F343+27</f>
        <v>4375.5680000000002</v>
      </c>
      <c r="W343" s="331">
        <f t="shared" ref="W343" si="783">+V343*$X$1</f>
        <v>4375.5680000000002</v>
      </c>
      <c r="X343" s="686"/>
      <c r="Y343" s="687"/>
      <c r="Z343" s="687"/>
      <c r="AA343" s="688"/>
      <c r="AB343" s="507">
        <v>2216</v>
      </c>
      <c r="AC343" s="69"/>
    </row>
    <row r="344" spans="1:31" ht="12.6" customHeight="1" x14ac:dyDescent="0.2">
      <c r="A344" s="111"/>
      <c r="B344" s="943" t="s">
        <v>418</v>
      </c>
      <c r="C344" s="944"/>
      <c r="D344" s="944"/>
      <c r="E344" s="944"/>
      <c r="F344" s="464">
        <v>1350</v>
      </c>
      <c r="G344" s="393">
        <f>+F344*$X$1</f>
        <v>1350</v>
      </c>
      <c r="H344" s="667">
        <f>F344+250</f>
        <v>1600</v>
      </c>
      <c r="I344" s="393">
        <f>+H344*$X$1</f>
        <v>1600</v>
      </c>
      <c r="J344" s="667">
        <f>F344+110</f>
        <v>1460</v>
      </c>
      <c r="K344" s="393">
        <f t="shared" ref="K344" si="784">+J344*$X$1</f>
        <v>1460</v>
      </c>
      <c r="L344" s="667">
        <f>F344+80</f>
        <v>1430</v>
      </c>
      <c r="M344" s="393">
        <f t="shared" ref="M344:M348" si="785">+L344*$X$1</f>
        <v>1430</v>
      </c>
      <c r="N344" s="667">
        <f>F344+50</f>
        <v>1400</v>
      </c>
      <c r="O344" s="393">
        <f t="shared" ref="O344:O348" si="786">+N344*$X$1</f>
        <v>1400</v>
      </c>
      <c r="P344" s="109"/>
      <c r="Q344" s="1266" t="s">
        <v>153</v>
      </c>
      <c r="R344" s="1267"/>
      <c r="S344" s="1267"/>
      <c r="T344" s="1267"/>
      <c r="U344" s="1267"/>
      <c r="V344" s="1267"/>
      <c r="W344" s="1268"/>
      <c r="X344" s="686"/>
      <c r="Y344" s="687"/>
      <c r="Z344" s="687"/>
      <c r="AA344" s="688"/>
      <c r="AB344" s="507">
        <v>2222</v>
      </c>
    </row>
    <row r="345" spans="1:31" ht="12.6" customHeight="1" x14ac:dyDescent="0.2">
      <c r="A345" s="20"/>
      <c r="B345" s="770" t="s">
        <v>802</v>
      </c>
      <c r="C345" s="771"/>
      <c r="D345" s="771"/>
      <c r="E345" s="772"/>
      <c r="F345" s="465">
        <f>0.585*X2</f>
        <v>548.73</v>
      </c>
      <c r="G345" s="331">
        <f t="shared" ref="G345" si="787">+F345*$X$1</f>
        <v>548.73</v>
      </c>
      <c r="H345" s="321"/>
      <c r="I345" s="321"/>
      <c r="J345" s="577"/>
      <c r="K345" s="650"/>
      <c r="L345" s="650">
        <f t="shared" ref="L345:L347" si="788">F345+80</f>
        <v>628.73</v>
      </c>
      <c r="M345" s="331">
        <f t="shared" si="785"/>
        <v>628.73</v>
      </c>
      <c r="N345" s="650">
        <f t="shared" ref="N345:N347" si="789">F345+50</f>
        <v>598.73</v>
      </c>
      <c r="O345" s="331">
        <f t="shared" si="786"/>
        <v>598.73</v>
      </c>
      <c r="P345" s="650">
        <f t="shared" ref="P345:P347" si="790">F345+40</f>
        <v>588.73</v>
      </c>
      <c r="Q345" s="331">
        <f t="shared" ref="Q345:Q347" si="791">+P345*$X$1</f>
        <v>588.73</v>
      </c>
      <c r="R345" s="650">
        <f t="shared" ref="R345:R347" si="792">F345+33</f>
        <v>581.73</v>
      </c>
      <c r="S345" s="331">
        <f t="shared" ref="S345:S347" si="793">+R345*$X$1</f>
        <v>581.73</v>
      </c>
      <c r="T345" s="107">
        <f t="shared" ref="T345:T347" si="794">F345+26</f>
        <v>574.73</v>
      </c>
      <c r="U345" s="356">
        <f t="shared" ref="U345:U347" si="795">+T345*$X$1</f>
        <v>574.73</v>
      </c>
      <c r="V345" s="107">
        <f t="shared" ref="V345:V347" si="796">F345+22</f>
        <v>570.73</v>
      </c>
      <c r="W345" s="356">
        <f t="shared" ref="W345:W347" si="797">+V345*$X$1</f>
        <v>570.73</v>
      </c>
      <c r="X345" s="576"/>
      <c r="Y345" s="575"/>
      <c r="Z345" s="575"/>
      <c r="AA345" s="576"/>
      <c r="AB345" s="507">
        <v>2231</v>
      </c>
      <c r="AC345" s="69"/>
    </row>
    <row r="346" spans="1:31" ht="12.6" customHeight="1" x14ac:dyDescent="0.2">
      <c r="A346" s="20"/>
      <c r="B346" s="770" t="s">
        <v>815</v>
      </c>
      <c r="C346" s="771"/>
      <c r="D346" s="771"/>
      <c r="E346" s="772"/>
      <c r="F346" s="466">
        <f>0.568*X2</f>
        <v>532.78399999999999</v>
      </c>
      <c r="G346" s="330">
        <f t="shared" ref="G346" si="798">+F346*$X$1</f>
        <v>532.78399999999999</v>
      </c>
      <c r="H346" s="322"/>
      <c r="I346" s="322"/>
      <c r="J346" s="368"/>
      <c r="K346" s="368"/>
      <c r="L346" s="665">
        <f t="shared" si="788"/>
        <v>612.78399999999999</v>
      </c>
      <c r="M346" s="330">
        <f t="shared" si="785"/>
        <v>612.78399999999999</v>
      </c>
      <c r="N346" s="665">
        <f t="shared" si="789"/>
        <v>582.78399999999999</v>
      </c>
      <c r="O346" s="330">
        <f t="shared" si="786"/>
        <v>582.78399999999999</v>
      </c>
      <c r="P346" s="665">
        <f t="shared" si="790"/>
        <v>572.78399999999999</v>
      </c>
      <c r="Q346" s="330">
        <f t="shared" si="791"/>
        <v>572.78399999999999</v>
      </c>
      <c r="R346" s="665">
        <f t="shared" si="792"/>
        <v>565.78399999999999</v>
      </c>
      <c r="S346" s="330">
        <f t="shared" si="793"/>
        <v>565.78399999999999</v>
      </c>
      <c r="T346" s="108">
        <f t="shared" si="794"/>
        <v>558.78399999999999</v>
      </c>
      <c r="U346" s="293">
        <f t="shared" si="795"/>
        <v>558.78399999999999</v>
      </c>
      <c r="V346" s="108">
        <f t="shared" si="796"/>
        <v>554.78399999999999</v>
      </c>
      <c r="W346" s="293">
        <f t="shared" si="797"/>
        <v>554.78399999999999</v>
      </c>
      <c r="X346" s="584"/>
      <c r="Y346" s="583"/>
      <c r="Z346" s="583"/>
      <c r="AA346" s="584"/>
      <c r="AB346" s="507">
        <v>2232</v>
      </c>
      <c r="AC346" s="69"/>
    </row>
    <row r="347" spans="1:31" ht="12.6" customHeight="1" x14ac:dyDescent="0.2">
      <c r="A347" s="20"/>
      <c r="B347" s="770" t="s">
        <v>900</v>
      </c>
      <c r="C347" s="771"/>
      <c r="D347" s="771"/>
      <c r="E347" s="772"/>
      <c r="F347" s="465">
        <f>1*X2</f>
        <v>938</v>
      </c>
      <c r="G347" s="331">
        <f t="shared" ref="G347" si="799">+F347*$X$1</f>
        <v>938</v>
      </c>
      <c r="H347" s="321"/>
      <c r="I347" s="321"/>
      <c r="J347" s="585"/>
      <c r="K347" s="650"/>
      <c r="L347" s="650">
        <f t="shared" si="788"/>
        <v>1018</v>
      </c>
      <c r="M347" s="331">
        <f t="shared" si="785"/>
        <v>1018</v>
      </c>
      <c r="N347" s="650">
        <f t="shared" si="789"/>
        <v>988</v>
      </c>
      <c r="O347" s="331">
        <f t="shared" si="786"/>
        <v>988</v>
      </c>
      <c r="P347" s="650">
        <f t="shared" si="790"/>
        <v>978</v>
      </c>
      <c r="Q347" s="331">
        <f t="shared" si="791"/>
        <v>978</v>
      </c>
      <c r="R347" s="650">
        <f t="shared" si="792"/>
        <v>971</v>
      </c>
      <c r="S347" s="331">
        <f t="shared" si="793"/>
        <v>971</v>
      </c>
      <c r="T347" s="107">
        <f t="shared" si="794"/>
        <v>964</v>
      </c>
      <c r="U347" s="356">
        <f t="shared" si="795"/>
        <v>964</v>
      </c>
      <c r="V347" s="107">
        <f t="shared" si="796"/>
        <v>960</v>
      </c>
      <c r="W347" s="356">
        <f t="shared" si="797"/>
        <v>960</v>
      </c>
      <c r="X347" s="584"/>
      <c r="Y347" s="583"/>
      <c r="Z347" s="583"/>
      <c r="AA347" s="584"/>
      <c r="AB347" s="507">
        <v>2233</v>
      </c>
      <c r="AC347" s="69"/>
    </row>
    <row r="348" spans="1:31" ht="12.6" customHeight="1" x14ac:dyDescent="0.2">
      <c r="A348" s="101"/>
      <c r="B348" s="943" t="s">
        <v>901</v>
      </c>
      <c r="C348" s="1271"/>
      <c r="D348" s="1271"/>
      <c r="E348" s="1271"/>
      <c r="F348" s="464">
        <f>0.4*X2</f>
        <v>375.20000000000005</v>
      </c>
      <c r="G348" s="393">
        <f t="shared" ref="G348:G352" si="800">+F348*$X$1</f>
        <v>375.20000000000005</v>
      </c>
      <c r="H348" s="566"/>
      <c r="I348" s="393"/>
      <c r="J348" s="667"/>
      <c r="K348" s="393"/>
      <c r="L348" s="667">
        <f>F348+120</f>
        <v>495.20000000000005</v>
      </c>
      <c r="M348" s="393">
        <f t="shared" si="785"/>
        <v>495.20000000000005</v>
      </c>
      <c r="N348" s="667">
        <f>F348+75</f>
        <v>450.20000000000005</v>
      </c>
      <c r="O348" s="393">
        <f t="shared" si="786"/>
        <v>450.20000000000005</v>
      </c>
      <c r="P348" s="667">
        <f>F348+65</f>
        <v>440.20000000000005</v>
      </c>
      <c r="Q348" s="393">
        <f t="shared" ref="Q348" si="801">+P348*$X$1</f>
        <v>440.20000000000005</v>
      </c>
      <c r="R348" s="667">
        <f>F348+50</f>
        <v>425.20000000000005</v>
      </c>
      <c r="S348" s="393">
        <f t="shared" ref="S348" si="802">+R348*$X$1</f>
        <v>425.20000000000005</v>
      </c>
      <c r="T348" s="667">
        <f>F348+40</f>
        <v>415.20000000000005</v>
      </c>
      <c r="U348" s="393">
        <f t="shared" ref="U348" si="803">+T348*$X$1</f>
        <v>415.20000000000005</v>
      </c>
      <c r="V348" s="668"/>
      <c r="W348" s="409"/>
      <c r="X348" s="149"/>
      <c r="Y348" s="145"/>
      <c r="Z348" s="145"/>
      <c r="AA348" s="148"/>
      <c r="AB348" s="507">
        <v>2234</v>
      </c>
    </row>
    <row r="349" spans="1:31" ht="12.6" customHeight="1" x14ac:dyDescent="0.2">
      <c r="A349" s="101"/>
      <c r="B349" s="696" t="s">
        <v>902</v>
      </c>
      <c r="C349" s="803"/>
      <c r="D349" s="803"/>
      <c r="E349" s="803"/>
      <c r="F349" s="460">
        <f>0.614*X2</f>
        <v>575.93200000000002</v>
      </c>
      <c r="G349" s="330">
        <f t="shared" si="800"/>
        <v>575.93200000000002</v>
      </c>
      <c r="H349" s="322"/>
      <c r="I349" s="403"/>
      <c r="J349" s="665"/>
      <c r="K349" s="330"/>
      <c r="L349" s="665">
        <f>F349+120</f>
        <v>695.93200000000002</v>
      </c>
      <c r="M349" s="330">
        <f t="shared" ref="M349:M350" si="804">+L349*$X$1</f>
        <v>695.93200000000002</v>
      </c>
      <c r="N349" s="665">
        <f>F349+75</f>
        <v>650.93200000000002</v>
      </c>
      <c r="O349" s="330">
        <f t="shared" ref="O349:O350" si="805">+N349*$X$1</f>
        <v>650.93200000000002</v>
      </c>
      <c r="P349" s="665">
        <f>F349+65</f>
        <v>640.93200000000002</v>
      </c>
      <c r="Q349" s="330">
        <f t="shared" ref="Q349:Q350" si="806">+P349*$X$1</f>
        <v>640.93200000000002</v>
      </c>
      <c r="R349" s="665">
        <f>F349+50</f>
        <v>625.93200000000002</v>
      </c>
      <c r="S349" s="330">
        <f t="shared" ref="S349:S350" si="807">+R349*$X$1</f>
        <v>625.93200000000002</v>
      </c>
      <c r="T349" s="665">
        <f>F349+40</f>
        <v>615.93200000000002</v>
      </c>
      <c r="U349" s="330">
        <f t="shared" ref="U349:U350" si="808">+T349*$X$1</f>
        <v>615.93200000000002</v>
      </c>
      <c r="V349" s="665">
        <f>F349+34</f>
        <v>609.93200000000002</v>
      </c>
      <c r="W349" s="330">
        <f t="shared" ref="W349:W350" si="809">+V349*$X$1</f>
        <v>609.93200000000002</v>
      </c>
      <c r="X349" s="149"/>
      <c r="Y349" s="145"/>
      <c r="Z349" s="145"/>
      <c r="AA349" s="148"/>
      <c r="AB349" s="507" t="s">
        <v>251</v>
      </c>
    </row>
    <row r="350" spans="1:31" ht="12.6" customHeight="1" x14ac:dyDescent="0.2">
      <c r="A350" s="101"/>
      <c r="B350" s="679" t="s">
        <v>252</v>
      </c>
      <c r="C350" s="695"/>
      <c r="D350" s="695"/>
      <c r="E350" s="695"/>
      <c r="F350" s="461">
        <f>0.447*X2</f>
        <v>419.286</v>
      </c>
      <c r="G350" s="331">
        <f t="shared" si="800"/>
        <v>419.286</v>
      </c>
      <c r="H350" s="321"/>
      <c r="I350" s="404"/>
      <c r="J350" s="650"/>
      <c r="K350" s="331"/>
      <c r="L350" s="650">
        <f t="shared" ref="L350" si="810">F350+80</f>
        <v>499.286</v>
      </c>
      <c r="M350" s="331">
        <f t="shared" si="804"/>
        <v>499.286</v>
      </c>
      <c r="N350" s="650">
        <f t="shared" ref="N350" si="811">F350+50</f>
        <v>469.286</v>
      </c>
      <c r="O350" s="331">
        <f t="shared" si="805"/>
        <v>469.286</v>
      </c>
      <c r="P350" s="650">
        <f t="shared" ref="P350" si="812">F350+40</f>
        <v>459.286</v>
      </c>
      <c r="Q350" s="331">
        <f t="shared" si="806"/>
        <v>459.286</v>
      </c>
      <c r="R350" s="650">
        <f t="shared" ref="R350" si="813">F350+33</f>
        <v>452.286</v>
      </c>
      <c r="S350" s="331">
        <f t="shared" si="807"/>
        <v>452.286</v>
      </c>
      <c r="T350" s="650">
        <f t="shared" ref="T350" si="814">F350+26</f>
        <v>445.286</v>
      </c>
      <c r="U350" s="331">
        <f t="shared" si="808"/>
        <v>445.286</v>
      </c>
      <c r="V350" s="650">
        <f t="shared" ref="V350" si="815">F350+22</f>
        <v>441.286</v>
      </c>
      <c r="W350" s="331">
        <f t="shared" si="809"/>
        <v>441.286</v>
      </c>
      <c r="X350" s="149"/>
      <c r="Y350" s="145"/>
      <c r="Z350" s="145"/>
      <c r="AA350" s="148"/>
      <c r="AB350" s="507">
        <v>2238</v>
      </c>
    </row>
    <row r="351" spans="1:31" ht="12.6" customHeight="1" x14ac:dyDescent="0.2">
      <c r="A351" s="111"/>
      <c r="B351" s="736" t="s">
        <v>253</v>
      </c>
      <c r="C351" s="739"/>
      <c r="D351" s="739"/>
      <c r="E351" s="740"/>
      <c r="F351" s="460">
        <f>0.428*X2</f>
        <v>401.464</v>
      </c>
      <c r="G351" s="330">
        <f t="shared" si="800"/>
        <v>401.464</v>
      </c>
      <c r="H351" s="322"/>
      <c r="I351" s="403"/>
      <c r="J351" s="665"/>
      <c r="K351" s="330"/>
      <c r="L351" s="665">
        <f t="shared" ref="L351:L365" si="816">F351+80</f>
        <v>481.464</v>
      </c>
      <c r="M351" s="330">
        <f t="shared" ref="M351:M366" si="817">+L351*$X$1</f>
        <v>481.464</v>
      </c>
      <c r="N351" s="665">
        <f t="shared" ref="N351:N365" si="818">F351+50</f>
        <v>451.464</v>
      </c>
      <c r="O351" s="330">
        <f t="shared" ref="O351:O366" si="819">+N351*$X$1</f>
        <v>451.464</v>
      </c>
      <c r="P351" s="665">
        <f t="shared" ref="P351:P365" si="820">F351+40</f>
        <v>441.464</v>
      </c>
      <c r="Q351" s="330">
        <f t="shared" ref="Q351:Q366" si="821">+P351*$X$1</f>
        <v>441.464</v>
      </c>
      <c r="R351" s="665">
        <f t="shared" ref="R351:R365" si="822">F351+33</f>
        <v>434.464</v>
      </c>
      <c r="S351" s="330">
        <f t="shared" ref="S351:S366" si="823">+R351*$X$1</f>
        <v>434.464</v>
      </c>
      <c r="T351" s="665">
        <f t="shared" ref="T351:T365" si="824">F351+26</f>
        <v>427.464</v>
      </c>
      <c r="U351" s="330">
        <f t="shared" ref="U351:U366" si="825">+T351*$X$1</f>
        <v>427.464</v>
      </c>
      <c r="V351" s="665">
        <f t="shared" ref="V351:V365" si="826">F351+22</f>
        <v>423.464</v>
      </c>
      <c r="W351" s="330">
        <f t="shared" ref="W351:W366" si="827">+V351*$X$1</f>
        <v>423.464</v>
      </c>
      <c r="X351" s="149"/>
      <c r="Y351" s="145"/>
      <c r="Z351" s="145"/>
      <c r="AA351" s="148"/>
      <c r="AB351" s="507">
        <v>2239</v>
      </c>
    </row>
    <row r="352" spans="1:31" ht="12.6" customHeight="1" x14ac:dyDescent="0.2">
      <c r="A352" s="101"/>
      <c r="B352" s="679" t="s">
        <v>254</v>
      </c>
      <c r="C352" s="695"/>
      <c r="D352" s="695"/>
      <c r="E352" s="695"/>
      <c r="F352" s="473">
        <f>0.35*X2</f>
        <v>328.29999999999995</v>
      </c>
      <c r="G352" s="331">
        <f t="shared" si="800"/>
        <v>328.29999999999995</v>
      </c>
      <c r="H352" s="321"/>
      <c r="I352" s="404"/>
      <c r="J352" s="650"/>
      <c r="K352" s="331"/>
      <c r="L352" s="650">
        <f t="shared" si="816"/>
        <v>408.29999999999995</v>
      </c>
      <c r="M352" s="331">
        <f t="shared" si="817"/>
        <v>408.29999999999995</v>
      </c>
      <c r="N352" s="650">
        <f t="shared" si="818"/>
        <v>378.29999999999995</v>
      </c>
      <c r="O352" s="331">
        <f t="shared" si="819"/>
        <v>378.29999999999995</v>
      </c>
      <c r="P352" s="650">
        <f t="shared" si="820"/>
        <v>368.29999999999995</v>
      </c>
      <c r="Q352" s="331">
        <f t="shared" si="821"/>
        <v>368.29999999999995</v>
      </c>
      <c r="R352" s="650">
        <f t="shared" si="822"/>
        <v>361.29999999999995</v>
      </c>
      <c r="S352" s="331">
        <f t="shared" si="823"/>
        <v>361.29999999999995</v>
      </c>
      <c r="T352" s="650">
        <f t="shared" si="824"/>
        <v>354.29999999999995</v>
      </c>
      <c r="U352" s="331">
        <f t="shared" si="825"/>
        <v>354.29999999999995</v>
      </c>
      <c r="V352" s="650">
        <f t="shared" si="826"/>
        <v>350.29999999999995</v>
      </c>
      <c r="W352" s="331">
        <f t="shared" si="827"/>
        <v>350.29999999999995</v>
      </c>
      <c r="X352" s="149"/>
      <c r="Y352" s="145"/>
      <c r="Z352" s="145"/>
      <c r="AA352" s="148"/>
      <c r="AB352" s="507">
        <v>2244</v>
      </c>
    </row>
    <row r="353" spans="1:29" ht="12.6" customHeight="1" x14ac:dyDescent="0.2">
      <c r="A353" s="20"/>
      <c r="B353" s="696" t="s">
        <v>372</v>
      </c>
      <c r="C353" s="697"/>
      <c r="D353" s="697"/>
      <c r="E353" s="697"/>
      <c r="F353" s="503">
        <f>0.29*X2</f>
        <v>272.02</v>
      </c>
      <c r="G353" s="330">
        <f t="shared" ref="G353" si="828">+F353*$X$1</f>
        <v>272.02</v>
      </c>
      <c r="H353" s="322"/>
      <c r="I353" s="403"/>
      <c r="J353" s="665"/>
      <c r="K353" s="330"/>
      <c r="L353" s="665">
        <f t="shared" si="816"/>
        <v>352.02</v>
      </c>
      <c r="M353" s="330">
        <f t="shared" si="817"/>
        <v>352.02</v>
      </c>
      <c r="N353" s="665">
        <f t="shared" si="818"/>
        <v>322.02</v>
      </c>
      <c r="O353" s="330">
        <f t="shared" si="819"/>
        <v>322.02</v>
      </c>
      <c r="P353" s="665">
        <f t="shared" si="820"/>
        <v>312.02</v>
      </c>
      <c r="Q353" s="330">
        <f t="shared" si="821"/>
        <v>312.02</v>
      </c>
      <c r="R353" s="665">
        <f t="shared" si="822"/>
        <v>305.02</v>
      </c>
      <c r="S353" s="330">
        <f t="shared" si="823"/>
        <v>305.02</v>
      </c>
      <c r="T353" s="665">
        <f t="shared" si="824"/>
        <v>298.02</v>
      </c>
      <c r="U353" s="330">
        <f t="shared" si="825"/>
        <v>298.02</v>
      </c>
      <c r="V353" s="665">
        <f t="shared" si="826"/>
        <v>294.02</v>
      </c>
      <c r="W353" s="330">
        <f t="shared" si="827"/>
        <v>294.02</v>
      </c>
      <c r="X353" s="149"/>
      <c r="Y353" s="145"/>
      <c r="Z353" s="145"/>
      <c r="AA353" s="148"/>
      <c r="AB353" s="507">
        <v>2245</v>
      </c>
    </row>
    <row r="354" spans="1:29" ht="12.6" customHeight="1" x14ac:dyDescent="0.2">
      <c r="A354" s="101"/>
      <c r="B354" s="679" t="s">
        <v>598</v>
      </c>
      <c r="C354" s="695"/>
      <c r="D354" s="695"/>
      <c r="E354" s="695"/>
      <c r="F354" s="331">
        <v>1260</v>
      </c>
      <c r="G354" s="331">
        <f>+F354*$X$1</f>
        <v>1260</v>
      </c>
      <c r="H354" s="321"/>
      <c r="I354" s="404"/>
      <c r="J354" s="650"/>
      <c r="K354" s="331"/>
      <c r="L354" s="650">
        <f t="shared" si="816"/>
        <v>1340</v>
      </c>
      <c r="M354" s="331">
        <f t="shared" si="817"/>
        <v>1340</v>
      </c>
      <c r="N354" s="650">
        <f t="shared" si="818"/>
        <v>1310</v>
      </c>
      <c r="O354" s="331">
        <f t="shared" si="819"/>
        <v>1310</v>
      </c>
      <c r="P354" s="650">
        <f t="shared" si="820"/>
        <v>1300</v>
      </c>
      <c r="Q354" s="331">
        <f t="shared" si="821"/>
        <v>1300</v>
      </c>
      <c r="R354" s="650">
        <f t="shared" si="822"/>
        <v>1293</v>
      </c>
      <c r="S354" s="331">
        <f t="shared" si="823"/>
        <v>1293</v>
      </c>
      <c r="T354" s="650">
        <f t="shared" si="824"/>
        <v>1286</v>
      </c>
      <c r="U354" s="331">
        <f t="shared" si="825"/>
        <v>1286</v>
      </c>
      <c r="V354" s="650">
        <f t="shared" si="826"/>
        <v>1282</v>
      </c>
      <c r="W354" s="331">
        <f t="shared" si="827"/>
        <v>1282</v>
      </c>
      <c r="X354" s="149"/>
      <c r="Y354" s="145"/>
      <c r="Z354" s="145"/>
      <c r="AA354" s="148"/>
      <c r="AB354" s="507">
        <v>2246</v>
      </c>
    </row>
    <row r="355" spans="1:29" ht="12.6" customHeight="1" x14ac:dyDescent="0.2">
      <c r="A355" s="20"/>
      <c r="B355" s="736" t="s">
        <v>544</v>
      </c>
      <c r="C355" s="744"/>
      <c r="D355" s="744"/>
      <c r="E355" s="745"/>
      <c r="F355" s="466">
        <f>0.47*X2</f>
        <v>440.85999999999996</v>
      </c>
      <c r="G355" s="330">
        <f t="shared" ref="G355:G360" si="829">+F355*$X$1</f>
        <v>440.85999999999996</v>
      </c>
      <c r="H355" s="322"/>
      <c r="I355" s="403"/>
      <c r="J355" s="665"/>
      <c r="K355" s="330"/>
      <c r="L355" s="665">
        <f t="shared" si="816"/>
        <v>520.8599999999999</v>
      </c>
      <c r="M355" s="330">
        <f t="shared" si="817"/>
        <v>520.8599999999999</v>
      </c>
      <c r="N355" s="665">
        <f t="shared" si="818"/>
        <v>490.85999999999996</v>
      </c>
      <c r="O355" s="330">
        <f t="shared" si="819"/>
        <v>490.85999999999996</v>
      </c>
      <c r="P355" s="665">
        <f t="shared" si="820"/>
        <v>480.85999999999996</v>
      </c>
      <c r="Q355" s="330">
        <f t="shared" si="821"/>
        <v>480.85999999999996</v>
      </c>
      <c r="R355" s="665">
        <f t="shared" si="822"/>
        <v>473.85999999999996</v>
      </c>
      <c r="S355" s="330">
        <f t="shared" si="823"/>
        <v>473.85999999999996</v>
      </c>
      <c r="T355" s="665">
        <f t="shared" si="824"/>
        <v>466.85999999999996</v>
      </c>
      <c r="U355" s="330">
        <f t="shared" si="825"/>
        <v>466.85999999999996</v>
      </c>
      <c r="V355" s="665">
        <f t="shared" si="826"/>
        <v>462.85999999999996</v>
      </c>
      <c r="W355" s="330">
        <f t="shared" si="827"/>
        <v>462.85999999999996</v>
      </c>
      <c r="X355" s="141"/>
      <c r="Y355" s="141"/>
      <c r="Z355" s="141"/>
      <c r="AA355" s="141"/>
      <c r="AB355" s="524">
        <v>2251</v>
      </c>
    </row>
    <row r="356" spans="1:29" ht="12.6" customHeight="1" x14ac:dyDescent="0.2">
      <c r="A356" s="20"/>
      <c r="B356" s="698" t="s">
        <v>794</v>
      </c>
      <c r="C356" s="920"/>
      <c r="D356" s="920"/>
      <c r="E356" s="921"/>
      <c r="F356" s="465">
        <f>0.47*X2</f>
        <v>440.85999999999996</v>
      </c>
      <c r="G356" s="331">
        <f t="shared" si="829"/>
        <v>440.85999999999996</v>
      </c>
      <c r="H356" s="321"/>
      <c r="I356" s="404"/>
      <c r="J356" s="650"/>
      <c r="K356" s="331"/>
      <c r="L356" s="650">
        <f t="shared" si="816"/>
        <v>520.8599999999999</v>
      </c>
      <c r="M356" s="331">
        <f t="shared" si="817"/>
        <v>520.8599999999999</v>
      </c>
      <c r="N356" s="650">
        <f t="shared" si="818"/>
        <v>490.85999999999996</v>
      </c>
      <c r="O356" s="331">
        <f t="shared" si="819"/>
        <v>490.85999999999996</v>
      </c>
      <c r="P356" s="650">
        <f t="shared" si="820"/>
        <v>480.85999999999996</v>
      </c>
      <c r="Q356" s="331">
        <f t="shared" si="821"/>
        <v>480.85999999999996</v>
      </c>
      <c r="R356" s="650">
        <f t="shared" si="822"/>
        <v>473.85999999999996</v>
      </c>
      <c r="S356" s="331">
        <f t="shared" si="823"/>
        <v>473.85999999999996</v>
      </c>
      <c r="T356" s="650">
        <f t="shared" si="824"/>
        <v>466.85999999999996</v>
      </c>
      <c r="U356" s="331">
        <f t="shared" si="825"/>
        <v>466.85999999999996</v>
      </c>
      <c r="V356" s="650">
        <f t="shared" si="826"/>
        <v>462.85999999999996</v>
      </c>
      <c r="W356" s="331">
        <f t="shared" si="827"/>
        <v>462.85999999999996</v>
      </c>
      <c r="X356" s="141"/>
      <c r="Y356" s="141"/>
      <c r="Z356" s="141"/>
      <c r="AA356" s="141"/>
      <c r="AB356" s="507">
        <v>2252</v>
      </c>
    </row>
    <row r="357" spans="1:29" ht="12.6" customHeight="1" x14ac:dyDescent="0.2">
      <c r="A357" s="111"/>
      <c r="B357" s="736" t="s">
        <v>255</v>
      </c>
      <c r="C357" s="737"/>
      <c r="D357" s="737"/>
      <c r="E357" s="738"/>
      <c r="F357" s="460">
        <f>0.372*X2</f>
        <v>348.93599999999998</v>
      </c>
      <c r="G357" s="330">
        <f t="shared" si="829"/>
        <v>348.93599999999998</v>
      </c>
      <c r="H357" s="322"/>
      <c r="I357" s="403"/>
      <c r="J357" s="665"/>
      <c r="K357" s="330"/>
      <c r="L357" s="665">
        <f t="shared" si="816"/>
        <v>428.93599999999998</v>
      </c>
      <c r="M357" s="330">
        <f t="shared" si="817"/>
        <v>428.93599999999998</v>
      </c>
      <c r="N357" s="665">
        <f t="shared" si="818"/>
        <v>398.93599999999998</v>
      </c>
      <c r="O357" s="330">
        <f t="shared" si="819"/>
        <v>398.93599999999998</v>
      </c>
      <c r="P357" s="665">
        <f t="shared" si="820"/>
        <v>388.93599999999998</v>
      </c>
      <c r="Q357" s="330">
        <f t="shared" si="821"/>
        <v>388.93599999999998</v>
      </c>
      <c r="R357" s="665">
        <f t="shared" si="822"/>
        <v>381.93599999999998</v>
      </c>
      <c r="S357" s="330">
        <f t="shared" si="823"/>
        <v>381.93599999999998</v>
      </c>
      <c r="T357" s="665">
        <f t="shared" si="824"/>
        <v>374.93599999999998</v>
      </c>
      <c r="U357" s="330">
        <f t="shared" si="825"/>
        <v>374.93599999999998</v>
      </c>
      <c r="V357" s="665">
        <f t="shared" si="826"/>
        <v>370.93599999999998</v>
      </c>
      <c r="W357" s="330">
        <f t="shared" si="827"/>
        <v>370.93599999999998</v>
      </c>
      <c r="X357" s="184"/>
      <c r="Y357" s="141"/>
      <c r="Z357" s="141"/>
      <c r="AA357" s="161"/>
      <c r="AB357" s="507">
        <v>2254</v>
      </c>
      <c r="AC357" s="69"/>
    </row>
    <row r="358" spans="1:29" ht="12.6" customHeight="1" x14ac:dyDescent="0.2">
      <c r="A358" s="111"/>
      <c r="B358" s="698" t="s">
        <v>557</v>
      </c>
      <c r="C358" s="917"/>
      <c r="D358" s="917"/>
      <c r="E358" s="918"/>
      <c r="F358" s="461">
        <f>0.429*X2</f>
        <v>402.40199999999999</v>
      </c>
      <c r="G358" s="331">
        <f t="shared" si="829"/>
        <v>402.40199999999999</v>
      </c>
      <c r="H358" s="321"/>
      <c r="I358" s="404"/>
      <c r="J358" s="650"/>
      <c r="K358" s="331"/>
      <c r="L358" s="650">
        <f t="shared" si="816"/>
        <v>482.40199999999999</v>
      </c>
      <c r="M358" s="331">
        <f t="shared" si="817"/>
        <v>482.40199999999999</v>
      </c>
      <c r="N358" s="650">
        <f t="shared" si="818"/>
        <v>452.40199999999999</v>
      </c>
      <c r="O358" s="331">
        <f t="shared" si="819"/>
        <v>452.40199999999999</v>
      </c>
      <c r="P358" s="650">
        <f t="shared" si="820"/>
        <v>442.40199999999999</v>
      </c>
      <c r="Q358" s="331">
        <f t="shared" si="821"/>
        <v>442.40199999999999</v>
      </c>
      <c r="R358" s="650">
        <f t="shared" si="822"/>
        <v>435.40199999999999</v>
      </c>
      <c r="S358" s="331">
        <f t="shared" si="823"/>
        <v>435.40199999999999</v>
      </c>
      <c r="T358" s="650">
        <f t="shared" si="824"/>
        <v>428.40199999999999</v>
      </c>
      <c r="U358" s="331">
        <f t="shared" si="825"/>
        <v>428.40199999999999</v>
      </c>
      <c r="V358" s="650">
        <f t="shared" si="826"/>
        <v>424.40199999999999</v>
      </c>
      <c r="W358" s="331">
        <f t="shared" si="827"/>
        <v>424.40199999999999</v>
      </c>
      <c r="X358" s="184"/>
      <c r="Y358" s="141"/>
      <c r="Z358" s="141"/>
      <c r="AA358" s="161"/>
      <c r="AB358" s="507" t="s">
        <v>588</v>
      </c>
      <c r="AC358" s="69"/>
    </row>
    <row r="359" spans="1:29" ht="12.6" customHeight="1" x14ac:dyDescent="0.2">
      <c r="A359" s="111"/>
      <c r="B359" s="736" t="s">
        <v>561</v>
      </c>
      <c r="C359" s="737"/>
      <c r="D359" s="737"/>
      <c r="E359" s="738"/>
      <c r="F359" s="460">
        <f>0.372*X2</f>
        <v>348.93599999999998</v>
      </c>
      <c r="G359" s="330">
        <f t="shared" si="829"/>
        <v>348.93599999999998</v>
      </c>
      <c r="H359" s="322"/>
      <c r="I359" s="403"/>
      <c r="J359" s="665"/>
      <c r="K359" s="330"/>
      <c r="L359" s="665">
        <f t="shared" si="816"/>
        <v>428.93599999999998</v>
      </c>
      <c r="M359" s="330">
        <f t="shared" si="817"/>
        <v>428.93599999999998</v>
      </c>
      <c r="N359" s="665">
        <f t="shared" si="818"/>
        <v>398.93599999999998</v>
      </c>
      <c r="O359" s="330">
        <f t="shared" si="819"/>
        <v>398.93599999999998</v>
      </c>
      <c r="P359" s="665">
        <f t="shared" si="820"/>
        <v>388.93599999999998</v>
      </c>
      <c r="Q359" s="330">
        <f t="shared" si="821"/>
        <v>388.93599999999998</v>
      </c>
      <c r="R359" s="665">
        <f t="shared" si="822"/>
        <v>381.93599999999998</v>
      </c>
      <c r="S359" s="330">
        <f t="shared" si="823"/>
        <v>381.93599999999998</v>
      </c>
      <c r="T359" s="665">
        <f t="shared" si="824"/>
        <v>374.93599999999998</v>
      </c>
      <c r="U359" s="330">
        <f t="shared" si="825"/>
        <v>374.93599999999998</v>
      </c>
      <c r="V359" s="665">
        <f t="shared" si="826"/>
        <v>370.93599999999998</v>
      </c>
      <c r="W359" s="330">
        <f t="shared" si="827"/>
        <v>370.93599999999998</v>
      </c>
      <c r="X359" s="184"/>
      <c r="Y359" s="141"/>
      <c r="Z359" s="141"/>
      <c r="AA359" s="161"/>
      <c r="AB359" s="507" t="s">
        <v>587</v>
      </c>
      <c r="AC359" s="69"/>
    </row>
    <row r="360" spans="1:29" ht="12.6" customHeight="1" x14ac:dyDescent="0.2">
      <c r="A360" s="111"/>
      <c r="B360" s="698" t="s">
        <v>256</v>
      </c>
      <c r="C360" s="693"/>
      <c r="D360" s="693"/>
      <c r="E360" s="694"/>
      <c r="F360" s="331">
        <v>577</v>
      </c>
      <c r="G360" s="331">
        <f t="shared" si="829"/>
        <v>577</v>
      </c>
      <c r="H360" s="321"/>
      <c r="I360" s="404"/>
      <c r="J360" s="650"/>
      <c r="K360" s="331"/>
      <c r="L360" s="650">
        <f t="shared" si="816"/>
        <v>657</v>
      </c>
      <c r="M360" s="331">
        <f t="shared" si="817"/>
        <v>657</v>
      </c>
      <c r="N360" s="650">
        <f t="shared" si="818"/>
        <v>627</v>
      </c>
      <c r="O360" s="331">
        <f t="shared" si="819"/>
        <v>627</v>
      </c>
      <c r="P360" s="650">
        <f t="shared" si="820"/>
        <v>617</v>
      </c>
      <c r="Q360" s="331">
        <f t="shared" si="821"/>
        <v>617</v>
      </c>
      <c r="R360" s="650">
        <f t="shared" si="822"/>
        <v>610</v>
      </c>
      <c r="S360" s="331">
        <f t="shared" si="823"/>
        <v>610</v>
      </c>
      <c r="T360" s="650">
        <f t="shared" si="824"/>
        <v>603</v>
      </c>
      <c r="U360" s="331">
        <f t="shared" si="825"/>
        <v>603</v>
      </c>
      <c r="V360" s="650">
        <f t="shared" si="826"/>
        <v>599</v>
      </c>
      <c r="W360" s="331">
        <f t="shared" si="827"/>
        <v>599</v>
      </c>
      <c r="X360" s="184"/>
      <c r="Y360" s="141"/>
      <c r="Z360" s="141"/>
      <c r="AA360" s="141"/>
      <c r="AB360" s="507">
        <v>2255</v>
      </c>
      <c r="AC360" s="69"/>
    </row>
    <row r="361" spans="1:29" ht="12.6" customHeight="1" x14ac:dyDescent="0.2">
      <c r="A361" s="20"/>
      <c r="B361" s="773" t="s">
        <v>774</v>
      </c>
      <c r="C361" s="1270"/>
      <c r="D361" s="1270"/>
      <c r="E361" s="1270"/>
      <c r="F361" s="460">
        <f>0.702*X2</f>
        <v>658.476</v>
      </c>
      <c r="G361" s="330">
        <f t="shared" ref="G361" si="830">+F361*$X$1</f>
        <v>658.476</v>
      </c>
      <c r="H361" s="368"/>
      <c r="I361" s="330"/>
      <c r="J361" s="665"/>
      <c r="K361" s="330"/>
      <c r="L361" s="665">
        <f t="shared" si="816"/>
        <v>738.476</v>
      </c>
      <c r="M361" s="330">
        <f t="shared" si="817"/>
        <v>738.476</v>
      </c>
      <c r="N361" s="665">
        <f t="shared" si="818"/>
        <v>708.476</v>
      </c>
      <c r="O361" s="330">
        <f t="shared" si="819"/>
        <v>708.476</v>
      </c>
      <c r="P361" s="665">
        <f t="shared" si="820"/>
        <v>698.476</v>
      </c>
      <c r="Q361" s="330">
        <f t="shared" si="821"/>
        <v>698.476</v>
      </c>
      <c r="R361" s="665">
        <f t="shared" si="822"/>
        <v>691.476</v>
      </c>
      <c r="S361" s="330">
        <f t="shared" si="823"/>
        <v>691.476</v>
      </c>
      <c r="T361" s="665">
        <f t="shared" si="824"/>
        <v>684.476</v>
      </c>
      <c r="U361" s="330">
        <f t="shared" si="825"/>
        <v>684.476</v>
      </c>
      <c r="V361" s="665">
        <f t="shared" si="826"/>
        <v>680.476</v>
      </c>
      <c r="W361" s="330">
        <f t="shared" si="827"/>
        <v>680.476</v>
      </c>
      <c r="X361" s="687"/>
      <c r="Y361" s="804"/>
      <c r="Z361" s="804"/>
      <c r="AA361" s="688"/>
      <c r="AB361" s="507">
        <v>2260</v>
      </c>
      <c r="AC361" s="69"/>
    </row>
    <row r="362" spans="1:29" ht="12.6" customHeight="1" x14ac:dyDescent="0.2">
      <c r="A362" s="20"/>
      <c r="B362" s="1088" t="s">
        <v>742</v>
      </c>
      <c r="C362" s="1269"/>
      <c r="D362" s="1269"/>
      <c r="E362" s="1269"/>
      <c r="F362" s="461">
        <f>0.614*X2</f>
        <v>575.93200000000002</v>
      </c>
      <c r="G362" s="331">
        <f t="shared" ref="G362:G363" si="831">+F362*$X$1</f>
        <v>575.93200000000002</v>
      </c>
      <c r="H362" s="586"/>
      <c r="I362" s="331"/>
      <c r="J362" s="650"/>
      <c r="K362" s="331"/>
      <c r="L362" s="650">
        <f t="shared" si="816"/>
        <v>655.93200000000002</v>
      </c>
      <c r="M362" s="331">
        <f t="shared" si="817"/>
        <v>655.93200000000002</v>
      </c>
      <c r="N362" s="650">
        <f t="shared" si="818"/>
        <v>625.93200000000002</v>
      </c>
      <c r="O362" s="331">
        <f t="shared" si="819"/>
        <v>625.93200000000002</v>
      </c>
      <c r="P362" s="650">
        <f t="shared" si="820"/>
        <v>615.93200000000002</v>
      </c>
      <c r="Q362" s="331">
        <f t="shared" si="821"/>
        <v>615.93200000000002</v>
      </c>
      <c r="R362" s="650">
        <f t="shared" si="822"/>
        <v>608.93200000000002</v>
      </c>
      <c r="S362" s="331">
        <f t="shared" si="823"/>
        <v>608.93200000000002</v>
      </c>
      <c r="T362" s="650">
        <f t="shared" si="824"/>
        <v>601.93200000000002</v>
      </c>
      <c r="U362" s="331">
        <f t="shared" si="825"/>
        <v>601.93200000000002</v>
      </c>
      <c r="V362" s="650">
        <f t="shared" si="826"/>
        <v>597.93200000000002</v>
      </c>
      <c r="W362" s="331">
        <f t="shared" si="827"/>
        <v>597.93200000000002</v>
      </c>
      <c r="X362" s="687"/>
      <c r="Y362" s="804"/>
      <c r="Z362" s="804"/>
      <c r="AA362" s="688"/>
      <c r="AB362" s="507">
        <v>2261</v>
      </c>
      <c r="AC362" s="69"/>
    </row>
    <row r="363" spans="1:29" ht="12.6" customHeight="1" x14ac:dyDescent="0.2">
      <c r="A363" s="20"/>
      <c r="B363" s="768" t="s">
        <v>776</v>
      </c>
      <c r="C363" s="769"/>
      <c r="D363" s="769"/>
      <c r="E363" s="769"/>
      <c r="F363" s="460">
        <f>0.652*X2</f>
        <v>611.57600000000002</v>
      </c>
      <c r="G363" s="330">
        <f t="shared" si="831"/>
        <v>611.57600000000002</v>
      </c>
      <c r="H363" s="368"/>
      <c r="I363" s="330"/>
      <c r="J363" s="665"/>
      <c r="K363" s="330"/>
      <c r="L363" s="665">
        <f t="shared" si="816"/>
        <v>691.57600000000002</v>
      </c>
      <c r="M363" s="330">
        <f t="shared" si="817"/>
        <v>691.57600000000002</v>
      </c>
      <c r="N363" s="665">
        <f t="shared" si="818"/>
        <v>661.57600000000002</v>
      </c>
      <c r="O363" s="330">
        <f t="shared" si="819"/>
        <v>661.57600000000002</v>
      </c>
      <c r="P363" s="665">
        <f t="shared" si="820"/>
        <v>651.57600000000002</v>
      </c>
      <c r="Q363" s="330">
        <f t="shared" si="821"/>
        <v>651.57600000000002</v>
      </c>
      <c r="R363" s="665">
        <f t="shared" si="822"/>
        <v>644.57600000000002</v>
      </c>
      <c r="S363" s="330">
        <f t="shared" si="823"/>
        <v>644.57600000000002</v>
      </c>
      <c r="T363" s="665">
        <f t="shared" si="824"/>
        <v>637.57600000000002</v>
      </c>
      <c r="U363" s="330">
        <f t="shared" si="825"/>
        <v>637.57600000000002</v>
      </c>
      <c r="V363" s="665">
        <f t="shared" si="826"/>
        <v>633.57600000000002</v>
      </c>
      <c r="W363" s="330">
        <f t="shared" si="827"/>
        <v>633.57600000000002</v>
      </c>
      <c r="X363" s="687"/>
      <c r="Y363" s="804"/>
      <c r="Z363" s="804"/>
      <c r="AA363" s="688"/>
      <c r="AB363" s="507">
        <v>2262</v>
      </c>
      <c r="AC363" s="69"/>
    </row>
    <row r="364" spans="1:29" ht="12.6" customHeight="1" x14ac:dyDescent="0.2">
      <c r="A364" s="20"/>
      <c r="B364" s="1088" t="s">
        <v>705</v>
      </c>
      <c r="C364" s="1269"/>
      <c r="D364" s="1269"/>
      <c r="E364" s="1269"/>
      <c r="F364" s="461">
        <f>1.53*X2</f>
        <v>1435.14</v>
      </c>
      <c r="G364" s="331">
        <f t="shared" ref="G364" si="832">+F364*$X$1</f>
        <v>1435.14</v>
      </c>
      <c r="H364" s="586"/>
      <c r="I364" s="331"/>
      <c r="J364" s="650"/>
      <c r="K364" s="331"/>
      <c r="L364" s="650">
        <f t="shared" si="816"/>
        <v>1515.14</v>
      </c>
      <c r="M364" s="331">
        <f t="shared" si="817"/>
        <v>1515.14</v>
      </c>
      <c r="N364" s="650">
        <f t="shared" si="818"/>
        <v>1485.14</v>
      </c>
      <c r="O364" s="331">
        <f t="shared" si="819"/>
        <v>1485.14</v>
      </c>
      <c r="P364" s="650">
        <f t="shared" si="820"/>
        <v>1475.14</v>
      </c>
      <c r="Q364" s="331">
        <f t="shared" si="821"/>
        <v>1475.14</v>
      </c>
      <c r="R364" s="650">
        <f t="shared" si="822"/>
        <v>1468.14</v>
      </c>
      <c r="S364" s="331">
        <f t="shared" si="823"/>
        <v>1468.14</v>
      </c>
      <c r="T364" s="650">
        <f t="shared" si="824"/>
        <v>1461.14</v>
      </c>
      <c r="U364" s="331">
        <f t="shared" si="825"/>
        <v>1461.14</v>
      </c>
      <c r="V364" s="650">
        <f t="shared" si="826"/>
        <v>1457.14</v>
      </c>
      <c r="W364" s="331">
        <f t="shared" si="827"/>
        <v>1457.14</v>
      </c>
      <c r="X364" s="687"/>
      <c r="Y364" s="804"/>
      <c r="Z364" s="804"/>
      <c r="AA364" s="688"/>
      <c r="AB364" s="507">
        <v>2264</v>
      </c>
      <c r="AC364" s="69"/>
    </row>
    <row r="365" spans="1:29" ht="12.6" customHeight="1" x14ac:dyDescent="0.2">
      <c r="A365" s="20"/>
      <c r="B365" s="773" t="s">
        <v>775</v>
      </c>
      <c r="C365" s="1270"/>
      <c r="D365" s="1270"/>
      <c r="E365" s="1270"/>
      <c r="F365" s="460">
        <f>0.838*X2</f>
        <v>786.04399999999998</v>
      </c>
      <c r="G365" s="330">
        <f t="shared" ref="G365" si="833">+F365*$X$1</f>
        <v>786.04399999999998</v>
      </c>
      <c r="H365" s="368"/>
      <c r="I365" s="330"/>
      <c r="J365" s="665"/>
      <c r="K365" s="330"/>
      <c r="L365" s="665">
        <f t="shared" si="816"/>
        <v>866.04399999999998</v>
      </c>
      <c r="M365" s="330">
        <f t="shared" si="817"/>
        <v>866.04399999999998</v>
      </c>
      <c r="N365" s="665">
        <f t="shared" si="818"/>
        <v>836.04399999999998</v>
      </c>
      <c r="O365" s="330">
        <f t="shared" si="819"/>
        <v>836.04399999999998</v>
      </c>
      <c r="P365" s="665">
        <f t="shared" si="820"/>
        <v>826.04399999999998</v>
      </c>
      <c r="Q365" s="330">
        <f t="shared" si="821"/>
        <v>826.04399999999998</v>
      </c>
      <c r="R365" s="665">
        <f t="shared" si="822"/>
        <v>819.04399999999998</v>
      </c>
      <c r="S365" s="330">
        <f t="shared" si="823"/>
        <v>819.04399999999998</v>
      </c>
      <c r="T365" s="665">
        <f t="shared" si="824"/>
        <v>812.04399999999998</v>
      </c>
      <c r="U365" s="330">
        <f t="shared" si="825"/>
        <v>812.04399999999998</v>
      </c>
      <c r="V365" s="665">
        <f t="shared" si="826"/>
        <v>808.04399999999998</v>
      </c>
      <c r="W365" s="330">
        <f t="shared" si="827"/>
        <v>808.04399999999998</v>
      </c>
      <c r="X365" s="687"/>
      <c r="Y365" s="804"/>
      <c r="Z365" s="804"/>
      <c r="AA365" s="688"/>
      <c r="AB365" s="507">
        <v>2266</v>
      </c>
      <c r="AC365" s="69"/>
    </row>
    <row r="366" spans="1:29" ht="12.6" customHeight="1" x14ac:dyDescent="0.2">
      <c r="A366" s="20"/>
      <c r="B366" s="1279" t="s">
        <v>257</v>
      </c>
      <c r="C366" s="1280"/>
      <c r="D366" s="1280"/>
      <c r="E366" s="1280"/>
      <c r="F366" s="467">
        <f>1.96*X2</f>
        <v>1838.48</v>
      </c>
      <c r="G366" s="331">
        <f t="shared" ref="G366:G367" si="834">+F366*$X$1</f>
        <v>1838.48</v>
      </c>
      <c r="H366" s="650">
        <f>F366+280</f>
        <v>2118.48</v>
      </c>
      <c r="I366" s="331">
        <f>+H366*$X$1</f>
        <v>2118.48</v>
      </c>
      <c r="J366" s="650">
        <f>F366+110</f>
        <v>1948.48</v>
      </c>
      <c r="K366" s="331">
        <f t="shared" ref="K366" si="835">+J366*$X$1</f>
        <v>1948.48</v>
      </c>
      <c r="L366" s="650">
        <f>F366+80</f>
        <v>1918.48</v>
      </c>
      <c r="M366" s="331">
        <f t="shared" si="817"/>
        <v>1918.48</v>
      </c>
      <c r="N366" s="650">
        <f>F366+50</f>
        <v>1888.48</v>
      </c>
      <c r="O366" s="331">
        <f t="shared" si="819"/>
        <v>1888.48</v>
      </c>
      <c r="P366" s="650">
        <f>F366+45</f>
        <v>1883.48</v>
      </c>
      <c r="Q366" s="331">
        <f t="shared" si="821"/>
        <v>1883.48</v>
      </c>
      <c r="R366" s="650">
        <f>F366+38</f>
        <v>1876.48</v>
      </c>
      <c r="S366" s="331">
        <f t="shared" si="823"/>
        <v>1876.48</v>
      </c>
      <c r="T366" s="650">
        <f>F366+31</f>
        <v>1869.48</v>
      </c>
      <c r="U366" s="331">
        <f t="shared" si="825"/>
        <v>1869.48</v>
      </c>
      <c r="V366" s="650">
        <f>F366+27</f>
        <v>1865.48</v>
      </c>
      <c r="W366" s="331">
        <f t="shared" si="827"/>
        <v>1865.48</v>
      </c>
      <c r="X366" s="687"/>
      <c r="Y366" s="804"/>
      <c r="Z366" s="804"/>
      <c r="AA366" s="688"/>
      <c r="AB366" s="507">
        <v>2268</v>
      </c>
      <c r="AC366" s="69"/>
    </row>
    <row r="367" spans="1:29" ht="12.6" customHeight="1" x14ac:dyDescent="0.2">
      <c r="A367" s="20"/>
      <c r="B367" s="773" t="s">
        <v>258</v>
      </c>
      <c r="C367" s="774"/>
      <c r="D367" s="774"/>
      <c r="E367" s="774"/>
      <c r="F367" s="460">
        <f>0.393*X2</f>
        <v>368.63400000000001</v>
      </c>
      <c r="G367" s="330">
        <f t="shared" si="834"/>
        <v>368.63400000000001</v>
      </c>
      <c r="H367" s="322"/>
      <c r="I367" s="322"/>
      <c r="J367" s="665"/>
      <c r="K367" s="665"/>
      <c r="L367" s="665">
        <f t="shared" ref="L367" si="836">F367+80</f>
        <v>448.63400000000001</v>
      </c>
      <c r="M367" s="330">
        <f t="shared" ref="M367" si="837">+L367*$X$1</f>
        <v>448.63400000000001</v>
      </c>
      <c r="N367" s="665">
        <f t="shared" ref="N367" si="838">F367+50</f>
        <v>418.63400000000001</v>
      </c>
      <c r="O367" s="330">
        <f t="shared" ref="O367" si="839">+N367*$X$1</f>
        <v>418.63400000000001</v>
      </c>
      <c r="P367" s="665">
        <f t="shared" ref="P367" si="840">F367+40</f>
        <v>408.63400000000001</v>
      </c>
      <c r="Q367" s="330">
        <f t="shared" ref="Q367" si="841">+P367*$X$1</f>
        <v>408.63400000000001</v>
      </c>
      <c r="R367" s="665">
        <f t="shared" ref="R367" si="842">F367+33</f>
        <v>401.63400000000001</v>
      </c>
      <c r="S367" s="330">
        <f t="shared" ref="S367" si="843">+R367*$X$1</f>
        <v>401.63400000000001</v>
      </c>
      <c r="T367" s="665">
        <f t="shared" ref="T367" si="844">F367+26</f>
        <v>394.63400000000001</v>
      </c>
      <c r="U367" s="330">
        <f t="shared" ref="U367" si="845">+T367*$X$1</f>
        <v>394.63400000000001</v>
      </c>
      <c r="V367" s="665">
        <f t="shared" ref="V367" si="846">F367+22</f>
        <v>390.63400000000001</v>
      </c>
      <c r="W367" s="330">
        <f t="shared" ref="W367" si="847">+V367*$X$1</f>
        <v>390.63400000000001</v>
      </c>
      <c r="X367" s="190"/>
      <c r="Y367" s="192"/>
      <c r="Z367" s="192"/>
      <c r="AA367" s="190"/>
      <c r="AB367" s="507">
        <v>2270</v>
      </c>
      <c r="AC367" s="69"/>
    </row>
    <row r="368" spans="1:29" ht="12.6" customHeight="1" x14ac:dyDescent="0.2">
      <c r="A368" s="20"/>
      <c r="B368" s="1088" t="s">
        <v>259</v>
      </c>
      <c r="C368" s="1251"/>
      <c r="D368" s="1251"/>
      <c r="E368" s="1251"/>
      <c r="F368" s="461">
        <f>0.48*X2</f>
        <v>450.24</v>
      </c>
      <c r="G368" s="331">
        <f>+F368*$X$1</f>
        <v>450.24</v>
      </c>
      <c r="H368" s="321"/>
      <c r="I368" s="321"/>
      <c r="J368" s="650"/>
      <c r="K368" s="650"/>
      <c r="L368" s="650">
        <f t="shared" ref="L368:L384" si="848">F368+80</f>
        <v>530.24</v>
      </c>
      <c r="M368" s="331">
        <f t="shared" ref="M368:M384" si="849">+L368*$X$1</f>
        <v>530.24</v>
      </c>
      <c r="N368" s="650">
        <f t="shared" ref="N368:N384" si="850">F368+50</f>
        <v>500.24</v>
      </c>
      <c r="O368" s="331">
        <f t="shared" ref="O368:O384" si="851">+N368*$X$1</f>
        <v>500.24</v>
      </c>
      <c r="P368" s="650">
        <f t="shared" ref="P368:P384" si="852">F368+40</f>
        <v>490.24</v>
      </c>
      <c r="Q368" s="331">
        <f t="shared" ref="Q368:Q384" si="853">+P368*$X$1</f>
        <v>490.24</v>
      </c>
      <c r="R368" s="650">
        <f t="shared" ref="R368:R384" si="854">F368+33</f>
        <v>483.24</v>
      </c>
      <c r="S368" s="331">
        <f t="shared" ref="S368:S384" si="855">+R368*$X$1</f>
        <v>483.24</v>
      </c>
      <c r="T368" s="650">
        <f t="shared" ref="T368:T384" si="856">F368+26</f>
        <v>476.24</v>
      </c>
      <c r="U368" s="331">
        <f t="shared" ref="U368:U384" si="857">+T368*$X$1</f>
        <v>476.24</v>
      </c>
      <c r="V368" s="650">
        <f t="shared" ref="V368:V384" si="858">F368+22</f>
        <v>472.24</v>
      </c>
      <c r="W368" s="331">
        <f t="shared" ref="W368:W384" si="859">+V368*$X$1</f>
        <v>472.24</v>
      </c>
      <c r="X368" s="190"/>
      <c r="Y368" s="192"/>
      <c r="Z368" s="192"/>
      <c r="AA368" s="190"/>
      <c r="AB368" s="507">
        <v>2271</v>
      </c>
      <c r="AC368" s="69"/>
    </row>
    <row r="369" spans="1:29" ht="12.6" customHeight="1" x14ac:dyDescent="0.2">
      <c r="A369" s="20"/>
      <c r="B369" s="773" t="s">
        <v>260</v>
      </c>
      <c r="C369" s="774"/>
      <c r="D369" s="774"/>
      <c r="E369" s="774"/>
      <c r="F369" s="460">
        <f>0.725*X2</f>
        <v>680.05</v>
      </c>
      <c r="G369" s="330">
        <f t="shared" ref="G369" si="860">+F369*$X$1</f>
        <v>680.05</v>
      </c>
      <c r="H369" s="322"/>
      <c r="I369" s="322"/>
      <c r="J369" s="665"/>
      <c r="K369" s="665"/>
      <c r="L369" s="665">
        <f t="shared" si="848"/>
        <v>760.05</v>
      </c>
      <c r="M369" s="330">
        <f t="shared" si="849"/>
        <v>760.05</v>
      </c>
      <c r="N369" s="665">
        <f t="shared" si="850"/>
        <v>730.05</v>
      </c>
      <c r="O369" s="330">
        <f t="shared" si="851"/>
        <v>730.05</v>
      </c>
      <c r="P369" s="665">
        <f t="shared" si="852"/>
        <v>720.05</v>
      </c>
      <c r="Q369" s="330">
        <f t="shared" si="853"/>
        <v>720.05</v>
      </c>
      <c r="R369" s="665">
        <f t="shared" si="854"/>
        <v>713.05</v>
      </c>
      <c r="S369" s="330">
        <f t="shared" si="855"/>
        <v>713.05</v>
      </c>
      <c r="T369" s="665">
        <f t="shared" si="856"/>
        <v>706.05</v>
      </c>
      <c r="U369" s="330">
        <f t="shared" si="857"/>
        <v>706.05</v>
      </c>
      <c r="V369" s="665">
        <f t="shared" si="858"/>
        <v>702.05</v>
      </c>
      <c r="W369" s="330">
        <f t="shared" si="859"/>
        <v>702.05</v>
      </c>
      <c r="X369" s="190"/>
      <c r="Y369" s="192"/>
      <c r="Z369" s="192"/>
      <c r="AA369" s="190"/>
      <c r="AB369" s="507">
        <v>2272</v>
      </c>
      <c r="AC369" s="69"/>
    </row>
    <row r="370" spans="1:29" ht="12.6" customHeight="1" x14ac:dyDescent="0.2">
      <c r="A370" s="20"/>
      <c r="B370" s="1088" t="s">
        <v>261</v>
      </c>
      <c r="C370" s="1089"/>
      <c r="D370" s="1089"/>
      <c r="E370" s="1089"/>
      <c r="F370" s="461">
        <f>0.596*X2</f>
        <v>559.048</v>
      </c>
      <c r="G370" s="331">
        <f>+F370*$X$1</f>
        <v>559.048</v>
      </c>
      <c r="H370" s="321"/>
      <c r="I370" s="321"/>
      <c r="J370" s="650"/>
      <c r="K370" s="650"/>
      <c r="L370" s="650">
        <f t="shared" si="848"/>
        <v>639.048</v>
      </c>
      <c r="M370" s="331">
        <f t="shared" si="849"/>
        <v>639.048</v>
      </c>
      <c r="N370" s="650">
        <f t="shared" si="850"/>
        <v>609.048</v>
      </c>
      <c r="O370" s="331">
        <f t="shared" si="851"/>
        <v>609.048</v>
      </c>
      <c r="P370" s="650">
        <f t="shared" si="852"/>
        <v>599.048</v>
      </c>
      <c r="Q370" s="331">
        <f t="shared" si="853"/>
        <v>599.048</v>
      </c>
      <c r="R370" s="650">
        <f t="shared" si="854"/>
        <v>592.048</v>
      </c>
      <c r="S370" s="331">
        <f t="shared" si="855"/>
        <v>592.048</v>
      </c>
      <c r="T370" s="650">
        <f t="shared" si="856"/>
        <v>585.048</v>
      </c>
      <c r="U370" s="331">
        <f t="shared" si="857"/>
        <v>585.048</v>
      </c>
      <c r="V370" s="650">
        <f t="shared" si="858"/>
        <v>581.048</v>
      </c>
      <c r="W370" s="331">
        <f t="shared" si="859"/>
        <v>581.048</v>
      </c>
      <c r="X370" s="190"/>
      <c r="Y370" s="192"/>
      <c r="Z370" s="192"/>
      <c r="AA370" s="190"/>
      <c r="AB370" s="507">
        <v>2275</v>
      </c>
      <c r="AC370" s="69"/>
    </row>
    <row r="371" spans="1:29" ht="12.6" customHeight="1" x14ac:dyDescent="0.2">
      <c r="A371" s="20"/>
      <c r="B371" s="773" t="s">
        <v>703</v>
      </c>
      <c r="C371" s="970"/>
      <c r="D371" s="970"/>
      <c r="E371" s="970"/>
      <c r="F371" s="460">
        <f>0.82*X2</f>
        <v>769.16</v>
      </c>
      <c r="G371" s="330">
        <f t="shared" ref="G371:G372" si="861">+F371*$X$1</f>
        <v>769.16</v>
      </c>
      <c r="H371" s="322"/>
      <c r="I371" s="322"/>
      <c r="J371" s="665"/>
      <c r="K371" s="665"/>
      <c r="L371" s="665">
        <f t="shared" si="848"/>
        <v>849.16</v>
      </c>
      <c r="M371" s="330">
        <f t="shared" si="849"/>
        <v>849.16</v>
      </c>
      <c r="N371" s="665">
        <f t="shared" si="850"/>
        <v>819.16</v>
      </c>
      <c r="O371" s="330">
        <f t="shared" si="851"/>
        <v>819.16</v>
      </c>
      <c r="P371" s="665">
        <f t="shared" si="852"/>
        <v>809.16</v>
      </c>
      <c r="Q371" s="330">
        <f t="shared" si="853"/>
        <v>809.16</v>
      </c>
      <c r="R371" s="665">
        <f t="shared" si="854"/>
        <v>802.16</v>
      </c>
      <c r="S371" s="330">
        <f t="shared" si="855"/>
        <v>802.16</v>
      </c>
      <c r="T371" s="665">
        <f t="shared" si="856"/>
        <v>795.16</v>
      </c>
      <c r="U371" s="330">
        <f t="shared" si="857"/>
        <v>795.16</v>
      </c>
      <c r="V371" s="665">
        <f t="shared" si="858"/>
        <v>791.16</v>
      </c>
      <c r="W371" s="330">
        <f t="shared" si="859"/>
        <v>791.16</v>
      </c>
      <c r="X371" s="243"/>
      <c r="Y371" s="244"/>
      <c r="Z371" s="244"/>
      <c r="AA371" s="243"/>
      <c r="AB371" s="507">
        <v>2279</v>
      </c>
      <c r="AC371" s="69"/>
    </row>
    <row r="372" spans="1:29" ht="12.6" customHeight="1" x14ac:dyDescent="0.2">
      <c r="A372" s="20"/>
      <c r="B372" s="1088" t="s">
        <v>262</v>
      </c>
      <c r="C372" s="1089"/>
      <c r="D372" s="1089"/>
      <c r="E372" s="1089"/>
      <c r="F372" s="461">
        <f>0.484*X2</f>
        <v>453.99199999999996</v>
      </c>
      <c r="G372" s="331">
        <f t="shared" si="861"/>
        <v>453.99199999999996</v>
      </c>
      <c r="H372" s="321"/>
      <c r="I372" s="321"/>
      <c r="J372" s="650"/>
      <c r="K372" s="650"/>
      <c r="L372" s="650">
        <f t="shared" si="848"/>
        <v>533.99199999999996</v>
      </c>
      <c r="M372" s="331">
        <f t="shared" si="849"/>
        <v>533.99199999999996</v>
      </c>
      <c r="N372" s="650">
        <f t="shared" si="850"/>
        <v>503.99199999999996</v>
      </c>
      <c r="O372" s="331">
        <f t="shared" si="851"/>
        <v>503.99199999999996</v>
      </c>
      <c r="P372" s="650">
        <f t="shared" si="852"/>
        <v>493.99199999999996</v>
      </c>
      <c r="Q372" s="331">
        <f t="shared" si="853"/>
        <v>493.99199999999996</v>
      </c>
      <c r="R372" s="650">
        <f t="shared" si="854"/>
        <v>486.99199999999996</v>
      </c>
      <c r="S372" s="331">
        <f t="shared" si="855"/>
        <v>486.99199999999996</v>
      </c>
      <c r="T372" s="650">
        <f t="shared" si="856"/>
        <v>479.99199999999996</v>
      </c>
      <c r="U372" s="331">
        <f t="shared" si="857"/>
        <v>479.99199999999996</v>
      </c>
      <c r="V372" s="650">
        <f t="shared" si="858"/>
        <v>475.99199999999996</v>
      </c>
      <c r="W372" s="331">
        <f t="shared" si="859"/>
        <v>475.99199999999996</v>
      </c>
      <c r="X372" s="190"/>
      <c r="Y372" s="192"/>
      <c r="Z372" s="192"/>
      <c r="AA372" s="190"/>
      <c r="AB372" s="507">
        <v>2280</v>
      </c>
      <c r="AC372" s="69"/>
    </row>
    <row r="373" spans="1:29" ht="12.6" customHeight="1" x14ac:dyDescent="0.2">
      <c r="A373" s="20"/>
      <c r="B373" s="773" t="s">
        <v>551</v>
      </c>
      <c r="C373" s="970"/>
      <c r="D373" s="970"/>
      <c r="E373" s="970"/>
      <c r="F373" s="460">
        <f>0.55*X2</f>
        <v>515.90000000000009</v>
      </c>
      <c r="G373" s="330">
        <f t="shared" ref="G373:G375" si="862">+F373*$X$1</f>
        <v>515.90000000000009</v>
      </c>
      <c r="H373" s="322"/>
      <c r="I373" s="322"/>
      <c r="J373" s="665"/>
      <c r="K373" s="665"/>
      <c r="L373" s="665"/>
      <c r="M373" s="330"/>
      <c r="N373" s="665">
        <f t="shared" si="850"/>
        <v>565.90000000000009</v>
      </c>
      <c r="O373" s="330">
        <f t="shared" si="851"/>
        <v>565.90000000000009</v>
      </c>
      <c r="P373" s="665">
        <f t="shared" si="852"/>
        <v>555.90000000000009</v>
      </c>
      <c r="Q373" s="330">
        <f t="shared" si="853"/>
        <v>555.90000000000009</v>
      </c>
      <c r="R373" s="665">
        <f t="shared" si="854"/>
        <v>548.90000000000009</v>
      </c>
      <c r="S373" s="330">
        <f t="shared" si="855"/>
        <v>548.90000000000009</v>
      </c>
      <c r="T373" s="665">
        <f t="shared" si="856"/>
        <v>541.90000000000009</v>
      </c>
      <c r="U373" s="330">
        <f t="shared" si="857"/>
        <v>541.90000000000009</v>
      </c>
      <c r="V373" s="665">
        <f t="shared" si="858"/>
        <v>537.90000000000009</v>
      </c>
      <c r="W373" s="330">
        <f t="shared" si="859"/>
        <v>537.90000000000009</v>
      </c>
      <c r="X373" s="190"/>
      <c r="Y373" s="192"/>
      <c r="Z373" s="192"/>
      <c r="AA373" s="190"/>
      <c r="AB373" s="507">
        <v>2281</v>
      </c>
      <c r="AC373" s="69"/>
    </row>
    <row r="374" spans="1:29" ht="12.6" customHeight="1" x14ac:dyDescent="0.2">
      <c r="A374" s="20"/>
      <c r="B374" s="1088" t="s">
        <v>384</v>
      </c>
      <c r="C374" s="1089"/>
      <c r="D374" s="1089"/>
      <c r="E374" s="1089"/>
      <c r="F374" s="461">
        <f>0.745*X2</f>
        <v>698.81</v>
      </c>
      <c r="G374" s="331">
        <f t="shared" si="862"/>
        <v>698.81</v>
      </c>
      <c r="H374" s="321"/>
      <c r="I374" s="321"/>
      <c r="J374" s="650"/>
      <c r="K374" s="650"/>
      <c r="L374" s="650">
        <f t="shared" si="848"/>
        <v>778.81</v>
      </c>
      <c r="M374" s="331">
        <f t="shared" si="849"/>
        <v>778.81</v>
      </c>
      <c r="N374" s="650">
        <f t="shared" si="850"/>
        <v>748.81</v>
      </c>
      <c r="O374" s="331">
        <f t="shared" si="851"/>
        <v>748.81</v>
      </c>
      <c r="P374" s="650">
        <f t="shared" si="852"/>
        <v>738.81</v>
      </c>
      <c r="Q374" s="331">
        <f t="shared" si="853"/>
        <v>738.81</v>
      </c>
      <c r="R374" s="650">
        <f t="shared" si="854"/>
        <v>731.81</v>
      </c>
      <c r="S374" s="331">
        <f t="shared" si="855"/>
        <v>731.81</v>
      </c>
      <c r="T374" s="650">
        <f t="shared" si="856"/>
        <v>724.81</v>
      </c>
      <c r="U374" s="331">
        <f t="shared" si="857"/>
        <v>724.81</v>
      </c>
      <c r="V374" s="650">
        <f t="shared" si="858"/>
        <v>720.81</v>
      </c>
      <c r="W374" s="331">
        <f t="shared" si="859"/>
        <v>720.81</v>
      </c>
      <c r="X374" s="203"/>
      <c r="Y374" s="202"/>
      <c r="Z374" s="202"/>
      <c r="AA374" s="203"/>
      <c r="AB374" s="507">
        <v>2285</v>
      </c>
      <c r="AC374" s="69"/>
    </row>
    <row r="375" spans="1:29" ht="12.6" customHeight="1" x14ac:dyDescent="0.2">
      <c r="A375" s="20"/>
      <c r="B375" s="773" t="s">
        <v>385</v>
      </c>
      <c r="C375" s="970"/>
      <c r="D375" s="970"/>
      <c r="E375" s="970"/>
      <c r="F375" s="460">
        <f>0.373*X2</f>
        <v>349.87400000000002</v>
      </c>
      <c r="G375" s="330">
        <f t="shared" si="862"/>
        <v>349.87400000000002</v>
      </c>
      <c r="H375" s="322"/>
      <c r="I375" s="322"/>
      <c r="J375" s="665"/>
      <c r="K375" s="665"/>
      <c r="L375" s="665">
        <f t="shared" si="848"/>
        <v>429.87400000000002</v>
      </c>
      <c r="M375" s="330">
        <f t="shared" si="849"/>
        <v>429.87400000000002</v>
      </c>
      <c r="N375" s="665">
        <f t="shared" si="850"/>
        <v>399.87400000000002</v>
      </c>
      <c r="O375" s="330">
        <f t="shared" si="851"/>
        <v>399.87400000000002</v>
      </c>
      <c r="P375" s="665">
        <f t="shared" si="852"/>
        <v>389.87400000000002</v>
      </c>
      <c r="Q375" s="330">
        <f t="shared" si="853"/>
        <v>389.87400000000002</v>
      </c>
      <c r="R375" s="665">
        <f t="shared" si="854"/>
        <v>382.87400000000002</v>
      </c>
      <c r="S375" s="330">
        <f t="shared" si="855"/>
        <v>382.87400000000002</v>
      </c>
      <c r="T375" s="665">
        <f t="shared" si="856"/>
        <v>375.87400000000002</v>
      </c>
      <c r="U375" s="330">
        <f t="shared" si="857"/>
        <v>375.87400000000002</v>
      </c>
      <c r="V375" s="665">
        <f t="shared" si="858"/>
        <v>371.87400000000002</v>
      </c>
      <c r="W375" s="330">
        <f t="shared" si="859"/>
        <v>371.87400000000002</v>
      </c>
      <c r="X375" s="204"/>
      <c r="Y375" s="205"/>
      <c r="Z375" s="205"/>
      <c r="AA375" s="204"/>
      <c r="AB375" s="507">
        <v>2286</v>
      </c>
      <c r="AC375" s="69"/>
    </row>
    <row r="376" spans="1:29" ht="12.6" customHeight="1" x14ac:dyDescent="0.2">
      <c r="A376" s="20"/>
      <c r="B376" s="1277" t="s">
        <v>433</v>
      </c>
      <c r="C376" s="1278"/>
      <c r="D376" s="1278"/>
      <c r="E376" s="1278"/>
      <c r="F376" s="465">
        <f>0.521*X2</f>
        <v>488.69800000000004</v>
      </c>
      <c r="G376" s="371">
        <f t="shared" ref="G376:G378" si="863">+F376*$X$1</f>
        <v>488.69800000000004</v>
      </c>
      <c r="H376" s="348"/>
      <c r="I376" s="348"/>
      <c r="J376" s="107"/>
      <c r="K376" s="107"/>
      <c r="L376" s="650">
        <f t="shared" si="848"/>
        <v>568.69800000000009</v>
      </c>
      <c r="M376" s="331">
        <f t="shared" si="849"/>
        <v>568.69800000000009</v>
      </c>
      <c r="N376" s="650">
        <f t="shared" si="850"/>
        <v>538.69800000000009</v>
      </c>
      <c r="O376" s="331">
        <f t="shared" si="851"/>
        <v>538.69800000000009</v>
      </c>
      <c r="P376" s="650">
        <f t="shared" si="852"/>
        <v>528.69800000000009</v>
      </c>
      <c r="Q376" s="331">
        <f t="shared" si="853"/>
        <v>528.69800000000009</v>
      </c>
      <c r="R376" s="650">
        <f t="shared" si="854"/>
        <v>521.69800000000009</v>
      </c>
      <c r="S376" s="331">
        <f t="shared" si="855"/>
        <v>521.69800000000009</v>
      </c>
      <c r="T376" s="650">
        <f t="shared" si="856"/>
        <v>514.69800000000009</v>
      </c>
      <c r="U376" s="331">
        <f t="shared" si="857"/>
        <v>514.69800000000009</v>
      </c>
      <c r="V376" s="650">
        <f t="shared" si="858"/>
        <v>510.69800000000004</v>
      </c>
      <c r="W376" s="331">
        <f t="shared" si="859"/>
        <v>510.69800000000004</v>
      </c>
      <c r="X376" s="238"/>
      <c r="Y376" s="237"/>
      <c r="Z376" s="237"/>
      <c r="AA376" s="238"/>
      <c r="AB376" s="507">
        <v>2287</v>
      </c>
      <c r="AC376" s="69"/>
    </row>
    <row r="377" spans="1:29" ht="12.6" customHeight="1" x14ac:dyDescent="0.2">
      <c r="A377" s="20"/>
      <c r="B377" s="1172" t="s">
        <v>445</v>
      </c>
      <c r="C377" s="1173"/>
      <c r="D377" s="1173"/>
      <c r="E377" s="1174"/>
      <c r="F377" s="460">
        <f>1.19*X2</f>
        <v>1116.22</v>
      </c>
      <c r="G377" s="330">
        <f t="shared" si="863"/>
        <v>1116.22</v>
      </c>
      <c r="H377" s="322"/>
      <c r="I377" s="322"/>
      <c r="J377" s="665"/>
      <c r="K377" s="665"/>
      <c r="L377" s="665">
        <f t="shared" si="848"/>
        <v>1196.22</v>
      </c>
      <c r="M377" s="330">
        <f t="shared" si="849"/>
        <v>1196.22</v>
      </c>
      <c r="N377" s="665">
        <f t="shared" si="850"/>
        <v>1166.22</v>
      </c>
      <c r="O377" s="330">
        <f t="shared" si="851"/>
        <v>1166.22</v>
      </c>
      <c r="P377" s="665">
        <f t="shared" si="852"/>
        <v>1156.22</v>
      </c>
      <c r="Q377" s="330">
        <f t="shared" si="853"/>
        <v>1156.22</v>
      </c>
      <c r="R377" s="665">
        <f t="shared" si="854"/>
        <v>1149.22</v>
      </c>
      <c r="S377" s="330">
        <f t="shared" si="855"/>
        <v>1149.22</v>
      </c>
      <c r="T377" s="665">
        <f t="shared" si="856"/>
        <v>1142.22</v>
      </c>
      <c r="U377" s="330">
        <f t="shared" si="857"/>
        <v>1142.22</v>
      </c>
      <c r="V377" s="665">
        <f t="shared" si="858"/>
        <v>1138.22</v>
      </c>
      <c r="W377" s="330">
        <f t="shared" si="859"/>
        <v>1138.22</v>
      </c>
      <c r="X377" s="239"/>
      <c r="Y377" s="240"/>
      <c r="Z377" s="240"/>
      <c r="AA377" s="239"/>
      <c r="AB377" s="507">
        <v>2289</v>
      </c>
      <c r="AC377" s="69"/>
    </row>
    <row r="378" spans="1:29" ht="12.6" customHeight="1" x14ac:dyDescent="0.2">
      <c r="A378" s="20"/>
      <c r="B378" s="770" t="s">
        <v>801</v>
      </c>
      <c r="C378" s="771"/>
      <c r="D378" s="771"/>
      <c r="E378" s="772"/>
      <c r="F378" s="465">
        <f>0.785*X2</f>
        <v>736.33</v>
      </c>
      <c r="G378" s="331">
        <f t="shared" si="863"/>
        <v>736.33</v>
      </c>
      <c r="H378" s="321"/>
      <c r="I378" s="321"/>
      <c r="J378" s="650"/>
      <c r="K378" s="650"/>
      <c r="L378" s="650">
        <f t="shared" si="848"/>
        <v>816.33</v>
      </c>
      <c r="M378" s="331">
        <f t="shared" si="849"/>
        <v>816.33</v>
      </c>
      <c r="N378" s="650">
        <f t="shared" si="850"/>
        <v>786.33</v>
      </c>
      <c r="O378" s="331">
        <f t="shared" si="851"/>
        <v>786.33</v>
      </c>
      <c r="P378" s="650">
        <f t="shared" si="852"/>
        <v>776.33</v>
      </c>
      <c r="Q378" s="331">
        <f t="shared" si="853"/>
        <v>776.33</v>
      </c>
      <c r="R378" s="650">
        <f t="shared" si="854"/>
        <v>769.33</v>
      </c>
      <c r="S378" s="331">
        <f t="shared" si="855"/>
        <v>769.33</v>
      </c>
      <c r="T378" s="650">
        <f t="shared" si="856"/>
        <v>762.33</v>
      </c>
      <c r="U378" s="331">
        <f t="shared" si="857"/>
        <v>762.33</v>
      </c>
      <c r="V378" s="650">
        <f t="shared" si="858"/>
        <v>758.33</v>
      </c>
      <c r="W378" s="331">
        <f t="shared" si="859"/>
        <v>758.33</v>
      </c>
      <c r="X378" s="573"/>
      <c r="Y378" s="574"/>
      <c r="Z378" s="574"/>
      <c r="AA378" s="573"/>
      <c r="AB378" s="507">
        <v>2290</v>
      </c>
      <c r="AC378" s="69"/>
    </row>
    <row r="379" spans="1:29" ht="12.6" customHeight="1" x14ac:dyDescent="0.2">
      <c r="A379" s="20"/>
      <c r="B379" s="1066" t="s">
        <v>549</v>
      </c>
      <c r="C379" s="1067"/>
      <c r="D379" s="1067"/>
      <c r="E379" s="1068"/>
      <c r="F379" s="466">
        <f>0.546*X2</f>
        <v>512.14800000000002</v>
      </c>
      <c r="G379" s="330">
        <f t="shared" ref="G379" si="864">+F379*$X$1</f>
        <v>512.14800000000002</v>
      </c>
      <c r="H379" s="322"/>
      <c r="I379" s="322"/>
      <c r="J379" s="665"/>
      <c r="K379" s="665"/>
      <c r="L379" s="665">
        <f t="shared" si="848"/>
        <v>592.14800000000002</v>
      </c>
      <c r="M379" s="330">
        <f t="shared" si="849"/>
        <v>592.14800000000002</v>
      </c>
      <c r="N379" s="665">
        <f t="shared" si="850"/>
        <v>562.14800000000002</v>
      </c>
      <c r="O379" s="330">
        <f t="shared" si="851"/>
        <v>562.14800000000002</v>
      </c>
      <c r="P379" s="665">
        <f t="shared" si="852"/>
        <v>552.14800000000002</v>
      </c>
      <c r="Q379" s="330">
        <f t="shared" si="853"/>
        <v>552.14800000000002</v>
      </c>
      <c r="R379" s="665">
        <f t="shared" si="854"/>
        <v>545.14800000000002</v>
      </c>
      <c r="S379" s="330">
        <f t="shared" si="855"/>
        <v>545.14800000000002</v>
      </c>
      <c r="T379" s="665">
        <f t="shared" si="856"/>
        <v>538.14800000000002</v>
      </c>
      <c r="U379" s="330">
        <f t="shared" si="857"/>
        <v>538.14800000000002</v>
      </c>
      <c r="V379" s="665">
        <f t="shared" si="858"/>
        <v>534.14800000000002</v>
      </c>
      <c r="W379" s="330">
        <f t="shared" si="859"/>
        <v>534.14800000000002</v>
      </c>
      <c r="X379" s="276"/>
      <c r="Y379" s="280"/>
      <c r="Z379" s="280"/>
      <c r="AA379" s="276"/>
      <c r="AB379" s="507">
        <v>2291</v>
      </c>
      <c r="AC379" s="69"/>
    </row>
    <row r="380" spans="1:29" ht="12.6" customHeight="1" x14ac:dyDescent="0.2">
      <c r="A380" s="20"/>
      <c r="B380" s="749" t="s">
        <v>704</v>
      </c>
      <c r="C380" s="750"/>
      <c r="D380" s="750"/>
      <c r="E380" s="751"/>
      <c r="F380" s="465">
        <f>0.549*X2</f>
        <v>514.96199999999999</v>
      </c>
      <c r="G380" s="331">
        <f t="shared" ref="G380" si="865">+F380*$X$1</f>
        <v>514.96199999999999</v>
      </c>
      <c r="H380" s="321"/>
      <c r="I380" s="321"/>
      <c r="J380" s="650"/>
      <c r="K380" s="650"/>
      <c r="L380" s="650">
        <f t="shared" si="848"/>
        <v>594.96199999999999</v>
      </c>
      <c r="M380" s="331">
        <f t="shared" si="849"/>
        <v>594.96199999999999</v>
      </c>
      <c r="N380" s="650">
        <f t="shared" si="850"/>
        <v>564.96199999999999</v>
      </c>
      <c r="O380" s="331">
        <f t="shared" si="851"/>
        <v>564.96199999999999</v>
      </c>
      <c r="P380" s="650">
        <f t="shared" si="852"/>
        <v>554.96199999999999</v>
      </c>
      <c r="Q380" s="331">
        <f t="shared" si="853"/>
        <v>554.96199999999999</v>
      </c>
      <c r="R380" s="650">
        <f t="shared" si="854"/>
        <v>547.96199999999999</v>
      </c>
      <c r="S380" s="331">
        <f t="shared" si="855"/>
        <v>547.96199999999999</v>
      </c>
      <c r="T380" s="650">
        <f t="shared" si="856"/>
        <v>540.96199999999999</v>
      </c>
      <c r="U380" s="331">
        <f t="shared" si="857"/>
        <v>540.96199999999999</v>
      </c>
      <c r="V380" s="650">
        <f t="shared" si="858"/>
        <v>536.96199999999999</v>
      </c>
      <c r="W380" s="331">
        <f t="shared" si="859"/>
        <v>536.96199999999999</v>
      </c>
      <c r="X380" s="291"/>
      <c r="Y380" s="292"/>
      <c r="Z380" s="292"/>
      <c r="AA380" s="291"/>
      <c r="AB380" s="507">
        <v>2292</v>
      </c>
      <c r="AC380" s="69"/>
    </row>
    <row r="381" spans="1:29" ht="12.6" customHeight="1" x14ac:dyDescent="0.2">
      <c r="A381" s="20"/>
      <c r="B381" s="1066" t="s">
        <v>570</v>
      </c>
      <c r="C381" s="1067"/>
      <c r="D381" s="1067"/>
      <c r="E381" s="1068"/>
      <c r="F381" s="466">
        <f>1.287*X2</f>
        <v>1207.2059999999999</v>
      </c>
      <c r="G381" s="330">
        <f t="shared" ref="G381" si="866">+F381*$X$1</f>
        <v>1207.2059999999999</v>
      </c>
      <c r="H381" s="322"/>
      <c r="I381" s="322"/>
      <c r="J381" s="665"/>
      <c r="K381" s="665"/>
      <c r="L381" s="665">
        <f t="shared" si="848"/>
        <v>1287.2059999999999</v>
      </c>
      <c r="M381" s="330">
        <f t="shared" si="849"/>
        <v>1287.2059999999999</v>
      </c>
      <c r="N381" s="665">
        <f t="shared" si="850"/>
        <v>1257.2059999999999</v>
      </c>
      <c r="O381" s="330">
        <f t="shared" si="851"/>
        <v>1257.2059999999999</v>
      </c>
      <c r="P381" s="665">
        <f t="shared" si="852"/>
        <v>1247.2059999999999</v>
      </c>
      <c r="Q381" s="330">
        <f t="shared" si="853"/>
        <v>1247.2059999999999</v>
      </c>
      <c r="R381" s="665">
        <f t="shared" si="854"/>
        <v>1240.2059999999999</v>
      </c>
      <c r="S381" s="330">
        <f t="shared" si="855"/>
        <v>1240.2059999999999</v>
      </c>
      <c r="T381" s="665">
        <f t="shared" si="856"/>
        <v>1233.2059999999999</v>
      </c>
      <c r="U381" s="330">
        <f t="shared" si="857"/>
        <v>1233.2059999999999</v>
      </c>
      <c r="V381" s="665">
        <f t="shared" si="858"/>
        <v>1229.2059999999999</v>
      </c>
      <c r="W381" s="330">
        <f t="shared" si="859"/>
        <v>1229.2059999999999</v>
      </c>
      <c r="X381" s="294"/>
      <c r="Y381" s="295"/>
      <c r="Z381" s="295"/>
      <c r="AA381" s="294"/>
      <c r="AB381" s="507">
        <v>2293</v>
      </c>
      <c r="AC381" s="69"/>
    </row>
    <row r="382" spans="1:29" ht="12.6" customHeight="1" x14ac:dyDescent="0.2">
      <c r="A382" s="20"/>
      <c r="B382" s="749" t="s">
        <v>637</v>
      </c>
      <c r="C382" s="750"/>
      <c r="D382" s="750"/>
      <c r="E382" s="751"/>
      <c r="F382" s="371">
        <v>377</v>
      </c>
      <c r="G382" s="331">
        <f t="shared" ref="G382" si="867">+F382*$X$1</f>
        <v>377</v>
      </c>
      <c r="H382" s="321"/>
      <c r="I382" s="321"/>
      <c r="J382" s="650"/>
      <c r="K382" s="650"/>
      <c r="L382" s="650">
        <f t="shared" si="848"/>
        <v>457</v>
      </c>
      <c r="M382" s="331">
        <f t="shared" si="849"/>
        <v>457</v>
      </c>
      <c r="N382" s="650">
        <f t="shared" si="850"/>
        <v>427</v>
      </c>
      <c r="O382" s="331">
        <f t="shared" si="851"/>
        <v>427</v>
      </c>
      <c r="P382" s="650">
        <f t="shared" si="852"/>
        <v>417</v>
      </c>
      <c r="Q382" s="331">
        <f t="shared" si="853"/>
        <v>417</v>
      </c>
      <c r="R382" s="650">
        <f t="shared" si="854"/>
        <v>410</v>
      </c>
      <c r="S382" s="331">
        <f t="shared" si="855"/>
        <v>410</v>
      </c>
      <c r="T382" s="650">
        <f t="shared" si="856"/>
        <v>403</v>
      </c>
      <c r="U382" s="331">
        <f t="shared" si="857"/>
        <v>403</v>
      </c>
      <c r="V382" s="650">
        <f t="shared" si="858"/>
        <v>399</v>
      </c>
      <c r="W382" s="331">
        <f t="shared" si="859"/>
        <v>399</v>
      </c>
      <c r="X382" s="381"/>
      <c r="Y382" s="382"/>
      <c r="Z382" s="382"/>
      <c r="AA382" s="381"/>
      <c r="AB382" s="507">
        <v>2294</v>
      </c>
      <c r="AC382" s="69"/>
    </row>
    <row r="383" spans="1:29" ht="12.6" customHeight="1" x14ac:dyDescent="0.2">
      <c r="A383" s="20"/>
      <c r="B383" s="1066" t="s">
        <v>506</v>
      </c>
      <c r="C383" s="1067"/>
      <c r="D383" s="1067"/>
      <c r="E383" s="1068"/>
      <c r="F383" s="466">
        <f>0.783*X2</f>
        <v>734.45400000000006</v>
      </c>
      <c r="G383" s="330">
        <f t="shared" ref="G383" si="868">+F383*$X$1</f>
        <v>734.45400000000006</v>
      </c>
      <c r="H383" s="322"/>
      <c r="I383" s="322"/>
      <c r="J383" s="665"/>
      <c r="K383" s="665"/>
      <c r="L383" s="665">
        <f t="shared" si="848"/>
        <v>814.45400000000006</v>
      </c>
      <c r="M383" s="330">
        <f t="shared" si="849"/>
        <v>814.45400000000006</v>
      </c>
      <c r="N383" s="665">
        <f t="shared" si="850"/>
        <v>784.45400000000006</v>
      </c>
      <c r="O383" s="330">
        <f t="shared" si="851"/>
        <v>784.45400000000006</v>
      </c>
      <c r="P383" s="665">
        <f t="shared" si="852"/>
        <v>774.45400000000006</v>
      </c>
      <c r="Q383" s="330">
        <f t="shared" si="853"/>
        <v>774.45400000000006</v>
      </c>
      <c r="R383" s="665">
        <f t="shared" si="854"/>
        <v>767.45400000000006</v>
      </c>
      <c r="S383" s="330">
        <f t="shared" si="855"/>
        <v>767.45400000000006</v>
      </c>
      <c r="T383" s="665">
        <f t="shared" si="856"/>
        <v>760.45400000000006</v>
      </c>
      <c r="U383" s="330">
        <f t="shared" si="857"/>
        <v>760.45400000000006</v>
      </c>
      <c r="V383" s="665">
        <f t="shared" si="858"/>
        <v>756.45400000000006</v>
      </c>
      <c r="W383" s="330">
        <f t="shared" si="859"/>
        <v>756.45400000000006</v>
      </c>
      <c r="X383" s="241"/>
      <c r="Y383" s="242"/>
      <c r="Z383" s="242"/>
      <c r="AA383" s="241"/>
      <c r="AB383" s="507">
        <v>2295</v>
      </c>
      <c r="AC383" s="69"/>
    </row>
    <row r="384" spans="1:29" ht="12.6" customHeight="1" x14ac:dyDescent="0.2">
      <c r="A384" s="20"/>
      <c r="B384" s="1288" t="s">
        <v>448</v>
      </c>
      <c r="C384" s="1289"/>
      <c r="D384" s="1289"/>
      <c r="E384" s="1290"/>
      <c r="F384" s="561">
        <f>0.52*X2</f>
        <v>487.76</v>
      </c>
      <c r="G384" s="393">
        <f t="shared" ref="G384" si="869">+F384*$X$1</f>
        <v>487.76</v>
      </c>
      <c r="H384" s="328"/>
      <c r="I384" s="328"/>
      <c r="J384" s="667"/>
      <c r="K384" s="667"/>
      <c r="L384" s="667">
        <f t="shared" si="848"/>
        <v>567.76</v>
      </c>
      <c r="M384" s="393">
        <f t="shared" si="849"/>
        <v>567.76</v>
      </c>
      <c r="N384" s="667">
        <f t="shared" si="850"/>
        <v>537.76</v>
      </c>
      <c r="O384" s="393">
        <f t="shared" si="851"/>
        <v>537.76</v>
      </c>
      <c r="P384" s="667">
        <f t="shared" si="852"/>
        <v>527.76</v>
      </c>
      <c r="Q384" s="393">
        <f t="shared" si="853"/>
        <v>527.76</v>
      </c>
      <c r="R384" s="667">
        <f t="shared" si="854"/>
        <v>520.76</v>
      </c>
      <c r="S384" s="393">
        <f t="shared" si="855"/>
        <v>520.76</v>
      </c>
      <c r="T384" s="667">
        <f t="shared" si="856"/>
        <v>513.76</v>
      </c>
      <c r="U384" s="393">
        <f t="shared" si="857"/>
        <v>513.76</v>
      </c>
      <c r="V384" s="667">
        <f t="shared" si="858"/>
        <v>509.76</v>
      </c>
      <c r="W384" s="393">
        <f t="shared" si="859"/>
        <v>509.76</v>
      </c>
      <c r="X384" s="241"/>
      <c r="Y384" s="242"/>
      <c r="Z384" s="242"/>
      <c r="AA384" s="241"/>
      <c r="AB384" s="507">
        <v>2296</v>
      </c>
      <c r="AC384" s="69"/>
    </row>
    <row r="385" spans="1:34" ht="12.6" customHeight="1" x14ac:dyDescent="0.2">
      <c r="A385" s="20"/>
      <c r="B385" s="1066" t="s">
        <v>480</v>
      </c>
      <c r="C385" s="1067"/>
      <c r="D385" s="1067"/>
      <c r="E385" s="1068"/>
      <c r="F385" s="466">
        <f>0.627*X2</f>
        <v>588.12599999999998</v>
      </c>
      <c r="G385" s="330">
        <f t="shared" ref="G385" si="870">+F385*$X$1</f>
        <v>588.12599999999998</v>
      </c>
      <c r="H385" s="322"/>
      <c r="I385" s="322"/>
      <c r="J385" s="665"/>
      <c r="K385" s="665"/>
      <c r="L385" s="665">
        <f>F385+80</f>
        <v>668.12599999999998</v>
      </c>
      <c r="M385" s="330">
        <f t="shared" ref="M385:M387" si="871">+L385*$X$1</f>
        <v>668.12599999999998</v>
      </c>
      <c r="N385" s="665">
        <f>F385+50</f>
        <v>638.12599999999998</v>
      </c>
      <c r="O385" s="330">
        <f t="shared" ref="O385:O386" si="872">+N385*$X$1</f>
        <v>638.12599999999998</v>
      </c>
      <c r="P385" s="665"/>
      <c r="Q385" s="330"/>
      <c r="R385" s="665"/>
      <c r="S385" s="330"/>
      <c r="T385" s="108"/>
      <c r="U385" s="293"/>
      <c r="V385" s="108"/>
      <c r="W385" s="293"/>
      <c r="X385" s="254"/>
      <c r="Y385" s="253"/>
      <c r="Z385" s="253"/>
      <c r="AA385" s="254"/>
      <c r="AB385" s="507">
        <v>2298</v>
      </c>
      <c r="AC385" s="69"/>
    </row>
    <row r="386" spans="1:34" ht="12.6" customHeight="1" x14ac:dyDescent="0.2">
      <c r="A386" s="20"/>
      <c r="B386" s="749" t="s">
        <v>618</v>
      </c>
      <c r="C386" s="750"/>
      <c r="D386" s="750"/>
      <c r="E386" s="751"/>
      <c r="F386" s="465">
        <f>0.686*X2</f>
        <v>643.46800000000007</v>
      </c>
      <c r="G386" s="331">
        <f t="shared" ref="G386" si="873">+F386*$X$1</f>
        <v>643.46800000000007</v>
      </c>
      <c r="H386" s="321"/>
      <c r="I386" s="321"/>
      <c r="J386" s="650"/>
      <c r="K386" s="331"/>
      <c r="L386" s="650">
        <f t="shared" ref="L386" si="874">F386+80</f>
        <v>723.46800000000007</v>
      </c>
      <c r="M386" s="331">
        <f t="shared" si="871"/>
        <v>723.46800000000007</v>
      </c>
      <c r="N386" s="650">
        <f t="shared" ref="N386" si="875">F386+50</f>
        <v>693.46800000000007</v>
      </c>
      <c r="O386" s="331">
        <f t="shared" si="872"/>
        <v>693.46800000000007</v>
      </c>
      <c r="P386" s="650">
        <f t="shared" ref="P386" si="876">F386+40</f>
        <v>683.46800000000007</v>
      </c>
      <c r="Q386" s="331">
        <f t="shared" ref="Q386" si="877">+P386*$X$1</f>
        <v>683.46800000000007</v>
      </c>
      <c r="R386" s="650">
        <f t="shared" ref="R386" si="878">F386+33</f>
        <v>676.46800000000007</v>
      </c>
      <c r="S386" s="331">
        <f t="shared" ref="S386" si="879">+R386*$X$1</f>
        <v>676.46800000000007</v>
      </c>
      <c r="T386" s="650">
        <f t="shared" ref="T386" si="880">F386+26</f>
        <v>669.46800000000007</v>
      </c>
      <c r="U386" s="331">
        <f t="shared" ref="U386" si="881">+T386*$X$1</f>
        <v>669.46800000000007</v>
      </c>
      <c r="V386" s="650">
        <f t="shared" ref="V386" si="882">F386+22</f>
        <v>665.46800000000007</v>
      </c>
      <c r="W386" s="331">
        <f t="shared" ref="W386" si="883">+V386*$X$1</f>
        <v>665.46800000000007</v>
      </c>
      <c r="X386" s="365"/>
      <c r="Y386" s="366"/>
      <c r="Z386" s="366"/>
      <c r="AA386" s="365"/>
      <c r="AB386" s="507">
        <v>2299</v>
      </c>
      <c r="AC386" s="69"/>
    </row>
    <row r="387" spans="1:34" ht="12.6" customHeight="1" x14ac:dyDescent="0.2">
      <c r="A387" s="20"/>
      <c r="B387" s="773" t="s">
        <v>263</v>
      </c>
      <c r="C387" s="1270"/>
      <c r="D387" s="1270"/>
      <c r="E387" s="1270"/>
      <c r="F387" s="460">
        <f>2.719*X2</f>
        <v>2550.422</v>
      </c>
      <c r="G387" s="330">
        <f t="shared" ref="G387:G388" si="884">+F387*$X$1</f>
        <v>2550.422</v>
      </c>
      <c r="H387" s="665">
        <f>F387+280</f>
        <v>2830.422</v>
      </c>
      <c r="I387" s="330">
        <f t="shared" ref="I387:I395" si="885">+H387*$X$1</f>
        <v>2830.422</v>
      </c>
      <c r="J387" s="665">
        <f>F387+110</f>
        <v>2660.422</v>
      </c>
      <c r="K387" s="330">
        <f t="shared" ref="K387" si="886">+J387*$X$1</f>
        <v>2660.422</v>
      </c>
      <c r="L387" s="665">
        <f>F387+80</f>
        <v>2630.422</v>
      </c>
      <c r="M387" s="330">
        <f t="shared" si="871"/>
        <v>2630.422</v>
      </c>
      <c r="N387" s="665"/>
      <c r="O387" s="330"/>
      <c r="P387" s="665"/>
      <c r="Q387" s="330"/>
      <c r="R387" s="665"/>
      <c r="S387" s="330"/>
      <c r="T387" s="665"/>
      <c r="U387" s="330"/>
      <c r="V387" s="665"/>
      <c r="W387" s="330"/>
      <c r="X387" s="686"/>
      <c r="Y387" s="804"/>
      <c r="Z387" s="804"/>
      <c r="AA387" s="688"/>
      <c r="AB387" s="507">
        <v>2321</v>
      </c>
      <c r="AC387" s="69"/>
    </row>
    <row r="388" spans="1:34" ht="12.6" customHeight="1" x14ac:dyDescent="0.2">
      <c r="A388" s="20"/>
      <c r="B388" s="1088" t="s">
        <v>495</v>
      </c>
      <c r="C388" s="1269"/>
      <c r="D388" s="1269"/>
      <c r="E388" s="1269"/>
      <c r="F388" s="461">
        <f>1.57*X2</f>
        <v>1472.66</v>
      </c>
      <c r="G388" s="331">
        <f t="shared" si="884"/>
        <v>1472.66</v>
      </c>
      <c r="H388" s="650">
        <f>F388+280</f>
        <v>1752.66</v>
      </c>
      <c r="I388" s="331">
        <f t="shared" si="885"/>
        <v>1752.66</v>
      </c>
      <c r="J388" s="650">
        <f>F388+110</f>
        <v>1582.66</v>
      </c>
      <c r="K388" s="331">
        <f t="shared" ref="K388" si="887">+J388*$X$1</f>
        <v>1582.66</v>
      </c>
      <c r="L388" s="650">
        <f>F388+80</f>
        <v>1552.66</v>
      </c>
      <c r="M388" s="331">
        <f t="shared" ref="M388" si="888">+L388*$X$1</f>
        <v>1552.66</v>
      </c>
      <c r="N388" s="650">
        <f>F388+50</f>
        <v>1522.66</v>
      </c>
      <c r="O388" s="331">
        <f t="shared" ref="O388" si="889">+N388*$X$1</f>
        <v>1522.66</v>
      </c>
      <c r="P388" s="650">
        <f>F388+45</f>
        <v>1517.66</v>
      </c>
      <c r="Q388" s="331">
        <f t="shared" ref="Q388" si="890">+P388*$X$1</f>
        <v>1517.66</v>
      </c>
      <c r="R388" s="650">
        <f>F388+38</f>
        <v>1510.66</v>
      </c>
      <c r="S388" s="331">
        <f t="shared" ref="S388" si="891">+R388*$X$1</f>
        <v>1510.66</v>
      </c>
      <c r="T388" s="650">
        <f>F388+31</f>
        <v>1503.66</v>
      </c>
      <c r="U388" s="331">
        <f t="shared" ref="U388" si="892">+T388*$X$1</f>
        <v>1503.66</v>
      </c>
      <c r="V388" s="650">
        <f>F388+27</f>
        <v>1499.66</v>
      </c>
      <c r="W388" s="331">
        <f t="shared" ref="W388" si="893">+V388*$X$1</f>
        <v>1499.66</v>
      </c>
      <c r="X388" s="686"/>
      <c r="Y388" s="804"/>
      <c r="Z388" s="804"/>
      <c r="AA388" s="688"/>
      <c r="AB388" s="507">
        <v>2322</v>
      </c>
      <c r="AC388" s="69"/>
    </row>
    <row r="389" spans="1:34" ht="12.6" customHeight="1" x14ac:dyDescent="0.2">
      <c r="A389" s="20"/>
      <c r="B389" s="736" t="s">
        <v>264</v>
      </c>
      <c r="C389" s="737"/>
      <c r="D389" s="737"/>
      <c r="E389" s="738"/>
      <c r="F389" s="460">
        <f>3.407*X2</f>
        <v>3195.7660000000001</v>
      </c>
      <c r="G389" s="330">
        <f>+F389*$X$1</f>
        <v>3195.7660000000001</v>
      </c>
      <c r="H389" s="665">
        <f>F389+280</f>
        <v>3475.7660000000001</v>
      </c>
      <c r="I389" s="330">
        <f t="shared" si="885"/>
        <v>3475.7660000000001</v>
      </c>
      <c r="J389" s="665">
        <f>F389+110</f>
        <v>3305.7660000000001</v>
      </c>
      <c r="K389" s="330">
        <f t="shared" ref="K389:K390" si="894">+J389*$X$1</f>
        <v>3305.7660000000001</v>
      </c>
      <c r="L389" s="665">
        <f>F389+80</f>
        <v>3275.7660000000001</v>
      </c>
      <c r="M389" s="330">
        <f t="shared" ref="M389:M390" si="895">+L389*$X$1</f>
        <v>3275.7660000000001</v>
      </c>
      <c r="N389" s="665">
        <f>F389+50</f>
        <v>3245.7660000000001</v>
      </c>
      <c r="O389" s="330">
        <f t="shared" ref="O389:O390" si="896">+N389*$X$1</f>
        <v>3245.7660000000001</v>
      </c>
      <c r="P389" s="665">
        <f>F389+45</f>
        <v>3240.7660000000001</v>
      </c>
      <c r="Q389" s="330">
        <f t="shared" ref="Q389:Q390" si="897">+P389*$X$1</f>
        <v>3240.7660000000001</v>
      </c>
      <c r="R389" s="665">
        <f>F389+38</f>
        <v>3233.7660000000001</v>
      </c>
      <c r="S389" s="330">
        <f t="shared" ref="S389:S390" si="898">+R389*$X$1</f>
        <v>3233.7660000000001</v>
      </c>
      <c r="T389" s="665">
        <f>F389+31</f>
        <v>3226.7660000000001</v>
      </c>
      <c r="U389" s="330">
        <f t="shared" ref="U389:U390" si="899">+T389*$X$1</f>
        <v>3226.7660000000001</v>
      </c>
      <c r="V389" s="665">
        <f>F389+27</f>
        <v>3222.7660000000001</v>
      </c>
      <c r="W389" s="330">
        <f t="shared" ref="W389:W390" si="900">+V389*$X$1</f>
        <v>3222.7660000000001</v>
      </c>
      <c r="X389" s="686"/>
      <c r="Y389" s="804"/>
      <c r="Z389" s="804"/>
      <c r="AA389" s="688"/>
      <c r="AB389" s="507">
        <v>2330</v>
      </c>
      <c r="AC389" s="69"/>
    </row>
    <row r="390" spans="1:34" ht="12.6" customHeight="1" x14ac:dyDescent="0.2">
      <c r="A390" s="111"/>
      <c r="B390" s="760" t="s">
        <v>823</v>
      </c>
      <c r="C390" s="761"/>
      <c r="D390" s="761"/>
      <c r="E390" s="762"/>
      <c r="F390" s="461">
        <f>5.39*X2</f>
        <v>5055.82</v>
      </c>
      <c r="G390" s="331">
        <f t="shared" ref="G390" si="901">+F390*$X$1</f>
        <v>5055.82</v>
      </c>
      <c r="H390" s="650">
        <f>F390+420</f>
        <v>5475.82</v>
      </c>
      <c r="I390" s="331">
        <f t="shared" si="885"/>
        <v>5475.82</v>
      </c>
      <c r="J390" s="650">
        <f>F390+165</f>
        <v>5220.82</v>
      </c>
      <c r="K390" s="331">
        <f t="shared" si="894"/>
        <v>5220.82</v>
      </c>
      <c r="L390" s="650">
        <f>F390+120</f>
        <v>5175.82</v>
      </c>
      <c r="M390" s="331">
        <f t="shared" si="895"/>
        <v>5175.82</v>
      </c>
      <c r="N390" s="650">
        <f>F390+75</f>
        <v>5130.82</v>
      </c>
      <c r="O390" s="331">
        <f t="shared" si="896"/>
        <v>5130.82</v>
      </c>
      <c r="P390" s="650">
        <f>F390+67</f>
        <v>5122.82</v>
      </c>
      <c r="Q390" s="331">
        <f t="shared" si="897"/>
        <v>5122.82</v>
      </c>
      <c r="R390" s="650">
        <f>F390+57</f>
        <v>5112.82</v>
      </c>
      <c r="S390" s="331">
        <f t="shared" si="898"/>
        <v>5112.82</v>
      </c>
      <c r="T390" s="650">
        <f>F390+46</f>
        <v>5101.82</v>
      </c>
      <c r="U390" s="331">
        <f t="shared" si="899"/>
        <v>5101.82</v>
      </c>
      <c r="V390" s="650">
        <f>F390+40</f>
        <v>5095.82</v>
      </c>
      <c r="W390" s="331">
        <f t="shared" si="900"/>
        <v>5095.82</v>
      </c>
      <c r="X390" s="686"/>
      <c r="Y390" s="804"/>
      <c r="Z390" s="804"/>
      <c r="AA390" s="688"/>
      <c r="AB390" s="507">
        <v>2332</v>
      </c>
      <c r="AC390" s="69"/>
    </row>
    <row r="391" spans="1:34" ht="12.6" customHeight="1" x14ac:dyDescent="0.2">
      <c r="A391" s="111"/>
      <c r="B391" s="736" t="s">
        <v>449</v>
      </c>
      <c r="C391" s="739"/>
      <c r="D391" s="739"/>
      <c r="E391" s="740"/>
      <c r="F391" s="460">
        <f>1.98*X2</f>
        <v>1857.24</v>
      </c>
      <c r="G391" s="330">
        <f t="shared" ref="G391" si="902">+F391*$X$1</f>
        <v>1857.24</v>
      </c>
      <c r="H391" s="665">
        <f>F391+280</f>
        <v>2137.2399999999998</v>
      </c>
      <c r="I391" s="330">
        <f t="shared" si="885"/>
        <v>2137.2399999999998</v>
      </c>
      <c r="J391" s="665">
        <f>F391+110</f>
        <v>1967.24</v>
      </c>
      <c r="K391" s="330">
        <f t="shared" ref="K391:K395" si="903">+J391*$X$1</f>
        <v>1967.24</v>
      </c>
      <c r="L391" s="665">
        <f>F391+80</f>
        <v>1937.24</v>
      </c>
      <c r="M391" s="330">
        <f t="shared" ref="M391:M395" si="904">+L391*$X$1</f>
        <v>1937.24</v>
      </c>
      <c r="N391" s="665">
        <f>F391+50</f>
        <v>1907.24</v>
      </c>
      <c r="O391" s="330">
        <f t="shared" ref="O391:O395" si="905">+N391*$X$1</f>
        <v>1907.24</v>
      </c>
      <c r="P391" s="665">
        <f>F391+45</f>
        <v>1902.24</v>
      </c>
      <c r="Q391" s="330">
        <f t="shared" ref="Q391:Q395" si="906">+P391*$X$1</f>
        <v>1902.24</v>
      </c>
      <c r="R391" s="665">
        <f>F391+38</f>
        <v>1895.24</v>
      </c>
      <c r="S391" s="330">
        <f t="shared" ref="S391:S395" si="907">+R391*$X$1</f>
        <v>1895.24</v>
      </c>
      <c r="T391" s="665">
        <f>F391+31</f>
        <v>1888.24</v>
      </c>
      <c r="U391" s="330">
        <f t="shared" ref="U391:U395" si="908">+T391*$X$1</f>
        <v>1888.24</v>
      </c>
      <c r="V391" s="665">
        <f>F391+27</f>
        <v>1884.24</v>
      </c>
      <c r="W391" s="330">
        <f t="shared" ref="W391:W395" si="909">+V391*$X$1</f>
        <v>1884.24</v>
      </c>
      <c r="X391" s="686"/>
      <c r="Y391" s="804"/>
      <c r="Z391" s="804"/>
      <c r="AA391" s="688"/>
      <c r="AB391" s="507">
        <v>2334</v>
      </c>
      <c r="AC391" s="69"/>
    </row>
    <row r="392" spans="1:34" ht="12.6" customHeight="1" x14ac:dyDescent="0.2">
      <c r="A392" s="111"/>
      <c r="B392" s="698" t="s">
        <v>265</v>
      </c>
      <c r="C392" s="693"/>
      <c r="D392" s="693"/>
      <c r="E392" s="694"/>
      <c r="F392" s="461">
        <f>1.42*X2</f>
        <v>1331.96</v>
      </c>
      <c r="G392" s="331">
        <f t="shared" ref="G392" si="910">+F392*$X$1</f>
        <v>1331.96</v>
      </c>
      <c r="H392" s="650">
        <f>F392+280</f>
        <v>1611.96</v>
      </c>
      <c r="I392" s="331">
        <f t="shared" si="885"/>
        <v>1611.96</v>
      </c>
      <c r="J392" s="650">
        <f>F392+110</f>
        <v>1441.96</v>
      </c>
      <c r="K392" s="331">
        <f t="shared" si="903"/>
        <v>1441.96</v>
      </c>
      <c r="L392" s="650">
        <f>F392+80</f>
        <v>1411.96</v>
      </c>
      <c r="M392" s="331">
        <f t="shared" si="904"/>
        <v>1411.96</v>
      </c>
      <c r="N392" s="650">
        <f>F392+50</f>
        <v>1381.96</v>
      </c>
      <c r="O392" s="331">
        <f t="shared" si="905"/>
        <v>1381.96</v>
      </c>
      <c r="P392" s="650">
        <f>F392+45</f>
        <v>1376.96</v>
      </c>
      <c r="Q392" s="331">
        <f t="shared" si="906"/>
        <v>1376.96</v>
      </c>
      <c r="R392" s="650">
        <f>F392+38</f>
        <v>1369.96</v>
      </c>
      <c r="S392" s="331">
        <f t="shared" si="907"/>
        <v>1369.96</v>
      </c>
      <c r="T392" s="650">
        <f>F392+31</f>
        <v>1362.96</v>
      </c>
      <c r="U392" s="331">
        <f t="shared" si="908"/>
        <v>1362.96</v>
      </c>
      <c r="V392" s="650">
        <f>F392+27</f>
        <v>1358.96</v>
      </c>
      <c r="W392" s="331">
        <f t="shared" si="909"/>
        <v>1358.96</v>
      </c>
      <c r="X392" s="686"/>
      <c r="Y392" s="804"/>
      <c r="Z392" s="804"/>
      <c r="AA392" s="688"/>
      <c r="AB392" s="507">
        <v>2336</v>
      </c>
      <c r="AC392" s="69"/>
    </row>
    <row r="393" spans="1:34" ht="12.6" customHeight="1" x14ac:dyDescent="0.2">
      <c r="A393" s="20"/>
      <c r="B393" s="736" t="s">
        <v>266</v>
      </c>
      <c r="C393" s="739"/>
      <c r="D393" s="739"/>
      <c r="E393" s="740"/>
      <c r="F393" s="460">
        <f>1.48*X2</f>
        <v>1388.24</v>
      </c>
      <c r="G393" s="330">
        <f>+F393*$X$1</f>
        <v>1388.24</v>
      </c>
      <c r="H393" s="665">
        <f>F393+280</f>
        <v>1668.24</v>
      </c>
      <c r="I393" s="330">
        <f t="shared" si="885"/>
        <v>1668.24</v>
      </c>
      <c r="J393" s="665">
        <f>F393+110</f>
        <v>1498.24</v>
      </c>
      <c r="K393" s="330">
        <f t="shared" si="903"/>
        <v>1498.24</v>
      </c>
      <c r="L393" s="665">
        <f>F393+80</f>
        <v>1468.24</v>
      </c>
      <c r="M393" s="330">
        <f t="shared" si="904"/>
        <v>1468.24</v>
      </c>
      <c r="N393" s="665">
        <f>F393+50</f>
        <v>1438.24</v>
      </c>
      <c r="O393" s="330">
        <f t="shared" si="905"/>
        <v>1438.24</v>
      </c>
      <c r="P393" s="665">
        <f>F393+45</f>
        <v>1433.24</v>
      </c>
      <c r="Q393" s="330">
        <f t="shared" si="906"/>
        <v>1433.24</v>
      </c>
      <c r="R393" s="665">
        <f>F393+38</f>
        <v>1426.24</v>
      </c>
      <c r="S393" s="330">
        <f t="shared" si="907"/>
        <v>1426.24</v>
      </c>
      <c r="T393" s="665">
        <f>F393+31</f>
        <v>1419.24</v>
      </c>
      <c r="U393" s="330">
        <f t="shared" si="908"/>
        <v>1419.24</v>
      </c>
      <c r="V393" s="665">
        <f>F393+27</f>
        <v>1415.24</v>
      </c>
      <c r="W393" s="330">
        <f t="shared" si="909"/>
        <v>1415.24</v>
      </c>
      <c r="X393" s="686"/>
      <c r="Y393" s="804"/>
      <c r="Z393" s="804"/>
      <c r="AA393" s="688"/>
      <c r="AB393" s="507">
        <v>2337</v>
      </c>
      <c r="AC393" s="69"/>
    </row>
    <row r="394" spans="1:34" ht="12.6" customHeight="1" x14ac:dyDescent="0.2">
      <c r="A394" s="20"/>
      <c r="B394" s="698" t="s">
        <v>267</v>
      </c>
      <c r="C394" s="693"/>
      <c r="D394" s="693"/>
      <c r="E394" s="694"/>
      <c r="F394" s="461">
        <f>2.02*X2</f>
        <v>1894.76</v>
      </c>
      <c r="G394" s="331">
        <f t="shared" ref="G394" si="911">+F394*$X$1</f>
        <v>1894.76</v>
      </c>
      <c r="H394" s="650">
        <f>F394+280</f>
        <v>2174.7600000000002</v>
      </c>
      <c r="I394" s="331">
        <f t="shared" si="885"/>
        <v>2174.7600000000002</v>
      </c>
      <c r="J394" s="650">
        <f>F394+110</f>
        <v>2004.76</v>
      </c>
      <c r="K394" s="331">
        <f t="shared" si="903"/>
        <v>2004.76</v>
      </c>
      <c r="L394" s="650">
        <f>F394+80</f>
        <v>1974.76</v>
      </c>
      <c r="M394" s="331">
        <f t="shared" si="904"/>
        <v>1974.76</v>
      </c>
      <c r="N394" s="650">
        <f>F394+50</f>
        <v>1944.76</v>
      </c>
      <c r="O394" s="331">
        <f t="shared" si="905"/>
        <v>1944.76</v>
      </c>
      <c r="P394" s="650">
        <f>F394+45</f>
        <v>1939.76</v>
      </c>
      <c r="Q394" s="331">
        <f t="shared" si="906"/>
        <v>1939.76</v>
      </c>
      <c r="R394" s="650">
        <f>F394+38</f>
        <v>1932.76</v>
      </c>
      <c r="S394" s="331">
        <f t="shared" si="907"/>
        <v>1932.76</v>
      </c>
      <c r="T394" s="650">
        <f>F394+31</f>
        <v>1925.76</v>
      </c>
      <c r="U394" s="331">
        <f t="shared" si="908"/>
        <v>1925.76</v>
      </c>
      <c r="V394" s="650">
        <f>F394+27</f>
        <v>1921.76</v>
      </c>
      <c r="W394" s="331">
        <f t="shared" si="909"/>
        <v>1921.76</v>
      </c>
      <c r="X394" s="686"/>
      <c r="Y394" s="804"/>
      <c r="Z394" s="804"/>
      <c r="AA394" s="688"/>
      <c r="AB394" s="507">
        <v>2338</v>
      </c>
      <c r="AC394" s="69"/>
    </row>
    <row r="395" spans="1:34" ht="12.6" customHeight="1" x14ac:dyDescent="0.2">
      <c r="A395" s="20"/>
      <c r="B395" s="736" t="s">
        <v>371</v>
      </c>
      <c r="C395" s="739"/>
      <c r="D395" s="739"/>
      <c r="E395" s="740"/>
      <c r="F395" s="468">
        <f>1.6*X2</f>
        <v>1500.8000000000002</v>
      </c>
      <c r="G395" s="330">
        <f>+F395*$X$1</f>
        <v>1500.8000000000002</v>
      </c>
      <c r="H395" s="665">
        <f>F395+280</f>
        <v>1780.8000000000002</v>
      </c>
      <c r="I395" s="330">
        <f t="shared" si="885"/>
        <v>1780.8000000000002</v>
      </c>
      <c r="J395" s="665">
        <f>F395+110</f>
        <v>1610.8000000000002</v>
      </c>
      <c r="K395" s="330">
        <f t="shared" si="903"/>
        <v>1610.8000000000002</v>
      </c>
      <c r="L395" s="665">
        <f>F395+80</f>
        <v>1580.8000000000002</v>
      </c>
      <c r="M395" s="330">
        <f t="shared" si="904"/>
        <v>1580.8000000000002</v>
      </c>
      <c r="N395" s="665">
        <f>F395+50</f>
        <v>1550.8000000000002</v>
      </c>
      <c r="O395" s="330">
        <f t="shared" si="905"/>
        <v>1550.8000000000002</v>
      </c>
      <c r="P395" s="665">
        <f>F395+45</f>
        <v>1545.8000000000002</v>
      </c>
      <c r="Q395" s="330">
        <f t="shared" si="906"/>
        <v>1545.8000000000002</v>
      </c>
      <c r="R395" s="665">
        <f>F395+38</f>
        <v>1538.8000000000002</v>
      </c>
      <c r="S395" s="330">
        <f t="shared" si="907"/>
        <v>1538.8000000000002</v>
      </c>
      <c r="T395" s="665">
        <f>F395+31</f>
        <v>1531.8000000000002</v>
      </c>
      <c r="U395" s="330">
        <f t="shared" si="908"/>
        <v>1531.8000000000002</v>
      </c>
      <c r="V395" s="665">
        <f>F395+27</f>
        <v>1527.8000000000002</v>
      </c>
      <c r="W395" s="330">
        <f t="shared" si="909"/>
        <v>1527.8000000000002</v>
      </c>
      <c r="X395" s="189"/>
      <c r="Y395" s="192"/>
      <c r="Z395" s="192"/>
      <c r="AA395" s="191"/>
      <c r="AB395" s="507">
        <v>2340</v>
      </c>
      <c r="AC395" s="69"/>
    </row>
    <row r="396" spans="1:34" s="4" customFormat="1" ht="12.6" customHeight="1" x14ac:dyDescent="0.2">
      <c r="A396" s="21"/>
      <c r="B396" s="18"/>
      <c r="C396" s="14"/>
      <c r="D396" s="14"/>
      <c r="E396" s="14"/>
      <c r="F396" s="62"/>
      <c r="G396" s="16"/>
      <c r="H396" s="17"/>
      <c r="I396" s="17"/>
      <c r="J396" s="17"/>
      <c r="K396" s="17"/>
      <c r="L396" s="17"/>
      <c r="M396" s="17"/>
      <c r="N396" s="17"/>
      <c r="O396" s="17"/>
      <c r="P396" s="17"/>
      <c r="Q396" s="17"/>
      <c r="R396" s="17"/>
      <c r="S396" s="17"/>
      <c r="T396" s="17"/>
      <c r="U396" s="17"/>
      <c r="V396" s="17"/>
      <c r="W396" s="17"/>
    </row>
    <row r="397" spans="1:34" s="4" customFormat="1" ht="12.6" customHeight="1" x14ac:dyDescent="0.2">
      <c r="A397" s="21"/>
      <c r="B397" s="18"/>
      <c r="C397" s="14"/>
      <c r="D397" s="14"/>
      <c r="E397" s="14"/>
      <c r="F397" s="62"/>
      <c r="G397" s="16"/>
      <c r="H397" s="17"/>
      <c r="I397" s="17"/>
      <c r="J397" s="17"/>
      <c r="K397" s="17"/>
      <c r="L397" s="17"/>
      <c r="M397" s="17"/>
      <c r="N397" s="17"/>
      <c r="O397" s="17"/>
      <c r="P397" s="17"/>
      <c r="Q397" s="17"/>
      <c r="R397" s="17"/>
      <c r="S397" s="17"/>
      <c r="T397" s="17"/>
      <c r="U397" s="17"/>
      <c r="V397" s="17"/>
      <c r="W397" s="17"/>
    </row>
    <row r="398" spans="1:34" s="4" customFormat="1" ht="12.6" customHeight="1" thickBot="1" x14ac:dyDescent="0.25">
      <c r="A398" s="21"/>
      <c r="B398" s="18"/>
      <c r="C398" s="14"/>
      <c r="D398" s="14"/>
      <c r="E398" s="14"/>
      <c r="F398" s="62"/>
      <c r="G398" s="16"/>
      <c r="H398" s="17"/>
      <c r="I398" s="17"/>
      <c r="J398" s="17"/>
      <c r="K398" s="17"/>
      <c r="L398" s="17"/>
      <c r="M398" s="17"/>
      <c r="N398" s="17"/>
      <c r="O398" s="17"/>
      <c r="P398" s="17"/>
      <c r="Q398" s="17"/>
      <c r="R398" s="17"/>
      <c r="S398" s="17"/>
      <c r="T398" s="17"/>
      <c r="U398" s="17"/>
      <c r="V398" s="17"/>
      <c r="W398" s="17"/>
    </row>
    <row r="399" spans="1:34" ht="15.75" customHeight="1" x14ac:dyDescent="0.2">
      <c r="A399" s="20"/>
      <c r="B399" s="763" t="s">
        <v>11</v>
      </c>
      <c r="C399" s="689" t="s">
        <v>12</v>
      </c>
      <c r="D399" s="690"/>
      <c r="E399" s="690"/>
      <c r="F399" s="895" t="s">
        <v>13</v>
      </c>
      <c r="G399" s="895" t="s">
        <v>13</v>
      </c>
      <c r="H399" s="746" t="s">
        <v>14</v>
      </c>
      <c r="I399" s="746"/>
      <c r="J399" s="747"/>
      <c r="K399" s="747"/>
      <c r="L399" s="747"/>
      <c r="M399" s="747"/>
      <c r="N399" s="747"/>
      <c r="O399" s="747"/>
      <c r="P399" s="747"/>
      <c r="Q399" s="747"/>
      <c r="R399" s="747"/>
      <c r="S399" s="747"/>
      <c r="T399" s="747"/>
      <c r="U399" s="747"/>
      <c r="V399" s="747"/>
      <c r="W399" s="748"/>
      <c r="X399" s="731" t="s">
        <v>15</v>
      </c>
      <c r="Y399" s="732"/>
      <c r="Z399" s="732"/>
      <c r="AA399" s="732"/>
      <c r="AB399" s="729" t="s">
        <v>16</v>
      </c>
      <c r="AE399" s="68"/>
      <c r="AF399" s="727" t="s">
        <v>3</v>
      </c>
      <c r="AG399" s="728"/>
      <c r="AH399" s="728"/>
    </row>
    <row r="400" spans="1:34" ht="12" customHeight="1" thickBot="1" x14ac:dyDescent="0.25">
      <c r="A400" s="20"/>
      <c r="B400" s="764"/>
      <c r="C400" s="691"/>
      <c r="D400" s="691"/>
      <c r="E400" s="691"/>
      <c r="F400" s="896"/>
      <c r="G400" s="896"/>
      <c r="H400" s="285"/>
      <c r="I400" s="282" t="s">
        <v>307</v>
      </c>
      <c r="J400" s="286"/>
      <c r="K400" s="282" t="s">
        <v>18</v>
      </c>
      <c r="L400" s="287"/>
      <c r="M400" s="287" t="s">
        <v>19</v>
      </c>
      <c r="N400" s="287"/>
      <c r="O400" s="282" t="s">
        <v>20</v>
      </c>
      <c r="P400" s="287"/>
      <c r="Q400" s="287" t="s">
        <v>309</v>
      </c>
      <c r="R400" s="287"/>
      <c r="S400" s="287" t="s">
        <v>21</v>
      </c>
      <c r="T400" s="287"/>
      <c r="U400" s="287" t="s">
        <v>22</v>
      </c>
      <c r="V400" s="287"/>
      <c r="W400" s="289" t="s">
        <v>23</v>
      </c>
      <c r="X400" s="733"/>
      <c r="Y400" s="734"/>
      <c r="Z400" s="734"/>
      <c r="AA400" s="734"/>
      <c r="AB400" s="730"/>
    </row>
    <row r="401" spans="1:35" ht="12.6" customHeight="1" x14ac:dyDescent="0.2">
      <c r="A401" s="20"/>
      <c r="B401" s="698" t="s">
        <v>370</v>
      </c>
      <c r="C401" s="693"/>
      <c r="D401" s="693"/>
      <c r="E401" s="694"/>
      <c r="F401" s="461">
        <f>6.96*X2</f>
        <v>6528.48</v>
      </c>
      <c r="G401" s="331">
        <f>+F401*$X$1</f>
        <v>6528.48</v>
      </c>
      <c r="H401" s="650">
        <f>F401+420</f>
        <v>6948.48</v>
      </c>
      <c r="I401" s="331">
        <f t="shared" ref="I401:I412" si="912">+H401*$X$1</f>
        <v>6948.48</v>
      </c>
      <c r="J401" s="650">
        <f>F401+165</f>
        <v>6693.48</v>
      </c>
      <c r="K401" s="331">
        <f t="shared" ref="K401" si="913">+J401*$X$1</f>
        <v>6693.48</v>
      </c>
      <c r="L401" s="650">
        <f>F401+120</f>
        <v>6648.48</v>
      </c>
      <c r="M401" s="331">
        <f t="shared" ref="M401" si="914">+L401*$X$1</f>
        <v>6648.48</v>
      </c>
      <c r="N401" s="650">
        <f>F401+75</f>
        <v>6603.48</v>
      </c>
      <c r="O401" s="331">
        <f t="shared" ref="O401" si="915">+N401*$X$1</f>
        <v>6603.48</v>
      </c>
      <c r="P401" s="650">
        <f>F401+67</f>
        <v>6595.48</v>
      </c>
      <c r="Q401" s="331">
        <f t="shared" ref="Q401" si="916">+P401*$X$1</f>
        <v>6595.48</v>
      </c>
      <c r="R401" s="650">
        <f>F401+57</f>
        <v>6585.48</v>
      </c>
      <c r="S401" s="331">
        <f t="shared" ref="S401" si="917">+R401*$X$1</f>
        <v>6585.48</v>
      </c>
      <c r="T401" s="650">
        <f>F401+46</f>
        <v>6574.48</v>
      </c>
      <c r="U401" s="331">
        <f t="shared" ref="U401" si="918">+T401*$X$1</f>
        <v>6574.48</v>
      </c>
      <c r="V401" s="650">
        <f>F401+40</f>
        <v>6568.48</v>
      </c>
      <c r="W401" s="331">
        <f t="shared" ref="W401" si="919">+V401*$X$1</f>
        <v>6568.48</v>
      </c>
      <c r="X401" s="189"/>
      <c r="Y401" s="192"/>
      <c r="Z401" s="192"/>
      <c r="AA401" s="191"/>
      <c r="AB401" s="507">
        <v>2341</v>
      </c>
      <c r="AC401" s="69"/>
    </row>
    <row r="402" spans="1:35" ht="12.6" customHeight="1" x14ac:dyDescent="0.2">
      <c r="A402" s="20"/>
      <c r="B402" s="736" t="s">
        <v>812</v>
      </c>
      <c r="C402" s="739"/>
      <c r="D402" s="739"/>
      <c r="E402" s="740"/>
      <c r="F402" s="460">
        <f>12.42*X2</f>
        <v>11649.96</v>
      </c>
      <c r="G402" s="330">
        <f t="shared" ref="G402" si="920">+F402*$X$1</f>
        <v>11649.96</v>
      </c>
      <c r="H402" s="665">
        <f t="shared" ref="H402:H409" si="921">F402+280</f>
        <v>11929.96</v>
      </c>
      <c r="I402" s="330">
        <f t="shared" si="912"/>
        <v>11929.96</v>
      </c>
      <c r="J402" s="665">
        <f t="shared" ref="J402:J409" si="922">F402+110</f>
        <v>11759.96</v>
      </c>
      <c r="K402" s="330">
        <f t="shared" ref="K402:K403" si="923">+J402*$X$1</f>
        <v>11759.96</v>
      </c>
      <c r="L402" s="665">
        <f t="shared" ref="L402:L409" si="924">F402+80</f>
        <v>11729.96</v>
      </c>
      <c r="M402" s="330">
        <f t="shared" ref="M402:M403" si="925">+L402*$X$1</f>
        <v>11729.96</v>
      </c>
      <c r="N402" s="665">
        <f>F402+50</f>
        <v>11699.96</v>
      </c>
      <c r="O402" s="330">
        <f t="shared" ref="O402:O403" si="926">+N402*$X$1</f>
        <v>11699.96</v>
      </c>
      <c r="P402" s="665">
        <f>F402+45</f>
        <v>11694.96</v>
      </c>
      <c r="Q402" s="330">
        <f t="shared" ref="Q402:Q403" si="927">+P402*$X$1</f>
        <v>11694.96</v>
      </c>
      <c r="R402" s="665">
        <f>F402+38</f>
        <v>11687.96</v>
      </c>
      <c r="S402" s="330">
        <f t="shared" ref="S402:S403" si="928">+R402*$X$1</f>
        <v>11687.96</v>
      </c>
      <c r="T402" s="665">
        <f>F402+31</f>
        <v>11680.96</v>
      </c>
      <c r="U402" s="330">
        <f t="shared" ref="U402:U403" si="929">+T402*$X$1</f>
        <v>11680.96</v>
      </c>
      <c r="V402" s="665">
        <f>F402+27</f>
        <v>11676.96</v>
      </c>
      <c r="W402" s="330">
        <f t="shared" ref="W402:W403" si="930">+V402*$X$1</f>
        <v>11676.96</v>
      </c>
      <c r="X402" s="578"/>
      <c r="Y402" s="579"/>
      <c r="Z402" s="579"/>
      <c r="AA402" s="580"/>
      <c r="AB402" s="507">
        <v>2342</v>
      </c>
      <c r="AC402" s="69"/>
    </row>
    <row r="403" spans="1:35" ht="12.6" customHeight="1" x14ac:dyDescent="0.2">
      <c r="A403" s="20"/>
      <c r="B403" s="698" t="s">
        <v>811</v>
      </c>
      <c r="C403" s="693"/>
      <c r="D403" s="693"/>
      <c r="E403" s="694"/>
      <c r="F403" s="461">
        <f>14.9*X2</f>
        <v>13976.2</v>
      </c>
      <c r="G403" s="331">
        <f t="shared" ref="G403" si="931">+F403*$X$1</f>
        <v>13976.2</v>
      </c>
      <c r="H403" s="650">
        <f t="shared" si="921"/>
        <v>14256.2</v>
      </c>
      <c r="I403" s="331">
        <f t="shared" si="912"/>
        <v>14256.2</v>
      </c>
      <c r="J403" s="650">
        <f t="shared" si="922"/>
        <v>14086.2</v>
      </c>
      <c r="K403" s="331">
        <f t="shared" si="923"/>
        <v>14086.2</v>
      </c>
      <c r="L403" s="650">
        <f t="shared" si="924"/>
        <v>14056.2</v>
      </c>
      <c r="M403" s="331">
        <f t="shared" si="925"/>
        <v>14056.2</v>
      </c>
      <c r="N403" s="650">
        <f>F403+50</f>
        <v>14026.2</v>
      </c>
      <c r="O403" s="331">
        <f t="shared" si="926"/>
        <v>14026.2</v>
      </c>
      <c r="P403" s="650">
        <f>F403+45</f>
        <v>14021.2</v>
      </c>
      <c r="Q403" s="331">
        <f t="shared" si="927"/>
        <v>14021.2</v>
      </c>
      <c r="R403" s="650">
        <f>F403+38</f>
        <v>14014.2</v>
      </c>
      <c r="S403" s="331">
        <f t="shared" si="928"/>
        <v>14014.2</v>
      </c>
      <c r="T403" s="650">
        <f>F403+31</f>
        <v>14007.2</v>
      </c>
      <c r="U403" s="331">
        <f t="shared" si="929"/>
        <v>14007.2</v>
      </c>
      <c r="V403" s="650">
        <f>F403+27</f>
        <v>14003.2</v>
      </c>
      <c r="W403" s="331">
        <f t="shared" si="930"/>
        <v>14003.2</v>
      </c>
      <c r="X403" s="578"/>
      <c r="Y403" s="579"/>
      <c r="Z403" s="579"/>
      <c r="AA403" s="580"/>
      <c r="AB403" s="507">
        <v>2343</v>
      </c>
      <c r="AC403" s="69"/>
    </row>
    <row r="404" spans="1:35" ht="12.6" customHeight="1" x14ac:dyDescent="0.2">
      <c r="A404" s="20"/>
      <c r="B404" s="736" t="s">
        <v>507</v>
      </c>
      <c r="C404" s="739"/>
      <c r="D404" s="739"/>
      <c r="E404" s="740"/>
      <c r="F404" s="460">
        <f>8.45*X2</f>
        <v>7926.0999999999995</v>
      </c>
      <c r="G404" s="330">
        <f t="shared" ref="G404" si="932">+F404*$X$1</f>
        <v>7926.0999999999995</v>
      </c>
      <c r="H404" s="665">
        <f t="shared" si="921"/>
        <v>8206.0999999999985</v>
      </c>
      <c r="I404" s="330">
        <f t="shared" si="912"/>
        <v>8206.0999999999985</v>
      </c>
      <c r="J404" s="665">
        <f t="shared" si="922"/>
        <v>8036.0999999999995</v>
      </c>
      <c r="K404" s="330">
        <f t="shared" ref="K404" si="933">+J404*$X$1</f>
        <v>8036.0999999999995</v>
      </c>
      <c r="L404" s="665">
        <f t="shared" si="924"/>
        <v>8006.0999999999995</v>
      </c>
      <c r="M404" s="330">
        <f t="shared" ref="M404" si="934">+L404*$X$1</f>
        <v>8006.0999999999995</v>
      </c>
      <c r="N404" s="665"/>
      <c r="O404" s="330"/>
      <c r="P404" s="665"/>
      <c r="Q404" s="330"/>
      <c r="R404" s="665"/>
      <c r="S404" s="330"/>
      <c r="T404" s="665"/>
      <c r="U404" s="330"/>
      <c r="V404" s="665"/>
      <c r="W404" s="330"/>
      <c r="X404" s="263"/>
      <c r="Y404" s="261"/>
      <c r="Z404" s="261"/>
      <c r="AA404" s="262"/>
      <c r="AB404" s="507">
        <v>2346</v>
      </c>
      <c r="AC404" s="69"/>
    </row>
    <row r="405" spans="1:35" ht="12.6" customHeight="1" x14ac:dyDescent="0.2">
      <c r="A405" s="20"/>
      <c r="B405" s="698" t="s">
        <v>813</v>
      </c>
      <c r="C405" s="693"/>
      <c r="D405" s="693"/>
      <c r="E405" s="694"/>
      <c r="F405" s="461">
        <f>11.84*X2</f>
        <v>11105.92</v>
      </c>
      <c r="G405" s="331">
        <f t="shared" ref="G405" si="935">+F405*$X$1</f>
        <v>11105.92</v>
      </c>
      <c r="H405" s="650">
        <f t="shared" si="921"/>
        <v>11385.92</v>
      </c>
      <c r="I405" s="331">
        <f t="shared" si="912"/>
        <v>11385.92</v>
      </c>
      <c r="J405" s="650">
        <f t="shared" si="922"/>
        <v>11215.92</v>
      </c>
      <c r="K405" s="331">
        <f t="shared" ref="K405:K409" si="936">+J405*$X$1</f>
        <v>11215.92</v>
      </c>
      <c r="L405" s="650">
        <f t="shared" si="924"/>
        <v>11185.92</v>
      </c>
      <c r="M405" s="331">
        <f t="shared" ref="M405:M409" si="937">+L405*$X$1</f>
        <v>11185.92</v>
      </c>
      <c r="N405" s="650">
        <f>F405+50</f>
        <v>11155.92</v>
      </c>
      <c r="O405" s="331">
        <f t="shared" ref="O405:O409" si="938">+N405*$X$1</f>
        <v>11155.92</v>
      </c>
      <c r="P405" s="650">
        <f>F405+45</f>
        <v>11150.92</v>
      </c>
      <c r="Q405" s="331">
        <f t="shared" ref="Q405:Q409" si="939">+P405*$X$1</f>
        <v>11150.92</v>
      </c>
      <c r="R405" s="650">
        <f>F405+38</f>
        <v>11143.92</v>
      </c>
      <c r="S405" s="331">
        <f t="shared" ref="S405:S409" si="940">+R405*$X$1</f>
        <v>11143.92</v>
      </c>
      <c r="T405" s="650">
        <f>F405+31</f>
        <v>11136.92</v>
      </c>
      <c r="U405" s="331">
        <f t="shared" ref="U405:U409" si="941">+T405*$X$1</f>
        <v>11136.92</v>
      </c>
      <c r="V405" s="650">
        <f>F405+27</f>
        <v>11132.92</v>
      </c>
      <c r="W405" s="331">
        <f t="shared" ref="W405:W409" si="942">+V405*$X$1</f>
        <v>11132.92</v>
      </c>
      <c r="X405" s="578"/>
      <c r="Y405" s="579"/>
      <c r="Z405" s="579"/>
      <c r="AA405" s="580"/>
      <c r="AB405" s="507" t="s">
        <v>824</v>
      </c>
      <c r="AC405" s="69"/>
    </row>
    <row r="406" spans="1:35" ht="12.6" customHeight="1" x14ac:dyDescent="0.2">
      <c r="A406" s="20"/>
      <c r="B406" s="760" t="s">
        <v>814</v>
      </c>
      <c r="C406" s="761"/>
      <c r="D406" s="761"/>
      <c r="E406" s="762"/>
      <c r="F406" s="460">
        <f>12.63*X2</f>
        <v>11846.94</v>
      </c>
      <c r="G406" s="330">
        <f t="shared" ref="G406" si="943">+F406*$X$1</f>
        <v>11846.94</v>
      </c>
      <c r="H406" s="665">
        <f t="shared" si="921"/>
        <v>12126.94</v>
      </c>
      <c r="I406" s="330">
        <f t="shared" si="912"/>
        <v>12126.94</v>
      </c>
      <c r="J406" s="665">
        <f t="shared" si="922"/>
        <v>11956.94</v>
      </c>
      <c r="K406" s="330">
        <f t="shared" si="936"/>
        <v>11956.94</v>
      </c>
      <c r="L406" s="665">
        <f t="shared" si="924"/>
        <v>11926.94</v>
      </c>
      <c r="M406" s="330">
        <f t="shared" si="937"/>
        <v>11926.94</v>
      </c>
      <c r="N406" s="665">
        <f>F406+50</f>
        <v>11896.94</v>
      </c>
      <c r="O406" s="330">
        <f t="shared" si="938"/>
        <v>11896.94</v>
      </c>
      <c r="P406" s="665">
        <f>F406+45</f>
        <v>11891.94</v>
      </c>
      <c r="Q406" s="330">
        <f t="shared" si="939"/>
        <v>11891.94</v>
      </c>
      <c r="R406" s="665">
        <f>F406+38</f>
        <v>11884.94</v>
      </c>
      <c r="S406" s="330">
        <f t="shared" si="940"/>
        <v>11884.94</v>
      </c>
      <c r="T406" s="665">
        <f>F406+31</f>
        <v>11877.94</v>
      </c>
      <c r="U406" s="330">
        <f t="shared" si="941"/>
        <v>11877.94</v>
      </c>
      <c r="V406" s="665">
        <f>F406+27</f>
        <v>11873.94</v>
      </c>
      <c r="W406" s="330">
        <f t="shared" si="942"/>
        <v>11873.94</v>
      </c>
      <c r="X406" s="578"/>
      <c r="Y406" s="579"/>
      <c r="Z406" s="579"/>
      <c r="AA406" s="580"/>
      <c r="AB406" s="507" t="s">
        <v>883</v>
      </c>
      <c r="AC406" s="69"/>
    </row>
    <row r="407" spans="1:35" ht="12.6" customHeight="1" x14ac:dyDescent="0.2">
      <c r="A407" s="20"/>
      <c r="B407" s="698" t="s">
        <v>673</v>
      </c>
      <c r="C407" s="693"/>
      <c r="D407" s="693"/>
      <c r="E407" s="694"/>
      <c r="F407" s="461">
        <f>2.985*X2</f>
        <v>2799.93</v>
      </c>
      <c r="G407" s="331">
        <f t="shared" ref="G407" si="944">+F407*$X$1</f>
        <v>2799.93</v>
      </c>
      <c r="H407" s="650">
        <f t="shared" si="921"/>
        <v>3079.93</v>
      </c>
      <c r="I407" s="331">
        <f t="shared" si="912"/>
        <v>3079.93</v>
      </c>
      <c r="J407" s="650">
        <f t="shared" si="922"/>
        <v>2909.93</v>
      </c>
      <c r="K407" s="331">
        <f t="shared" si="936"/>
        <v>2909.93</v>
      </c>
      <c r="L407" s="650">
        <f t="shared" si="924"/>
        <v>2879.93</v>
      </c>
      <c r="M407" s="331">
        <f t="shared" si="937"/>
        <v>2879.93</v>
      </c>
      <c r="N407" s="650">
        <f>F407+50</f>
        <v>2849.93</v>
      </c>
      <c r="O407" s="331">
        <f t="shared" si="938"/>
        <v>2849.93</v>
      </c>
      <c r="P407" s="650">
        <f>F407+45</f>
        <v>2844.93</v>
      </c>
      <c r="Q407" s="331">
        <f t="shared" si="939"/>
        <v>2844.93</v>
      </c>
      <c r="R407" s="650">
        <f>F407+38</f>
        <v>2837.93</v>
      </c>
      <c r="S407" s="331">
        <f t="shared" si="940"/>
        <v>2837.93</v>
      </c>
      <c r="T407" s="650">
        <f>F407+31</f>
        <v>2830.93</v>
      </c>
      <c r="U407" s="331">
        <f t="shared" si="941"/>
        <v>2830.93</v>
      </c>
      <c r="V407" s="650">
        <f>F407+27</f>
        <v>2826.93</v>
      </c>
      <c r="W407" s="331">
        <f t="shared" si="942"/>
        <v>2826.93</v>
      </c>
      <c r="X407" s="449"/>
      <c r="Y407" s="450"/>
      <c r="Z407" s="450"/>
      <c r="AA407" s="451"/>
      <c r="AB407" s="507">
        <v>2350</v>
      </c>
      <c r="AC407" s="69"/>
    </row>
    <row r="408" spans="1:35" ht="12.6" customHeight="1" x14ac:dyDescent="0.2">
      <c r="A408" s="20"/>
      <c r="B408" s="760" t="s">
        <v>780</v>
      </c>
      <c r="C408" s="761"/>
      <c r="D408" s="761"/>
      <c r="E408" s="762"/>
      <c r="F408" s="460">
        <f>3.299*X2</f>
        <v>3094.462</v>
      </c>
      <c r="G408" s="330">
        <f t="shared" ref="G408" si="945">+F408*$X$1</f>
        <v>3094.462</v>
      </c>
      <c r="H408" s="665">
        <f t="shared" si="921"/>
        <v>3374.462</v>
      </c>
      <c r="I408" s="330">
        <f t="shared" si="912"/>
        <v>3374.462</v>
      </c>
      <c r="J408" s="665">
        <f t="shared" si="922"/>
        <v>3204.462</v>
      </c>
      <c r="K408" s="330">
        <f t="shared" si="936"/>
        <v>3204.462</v>
      </c>
      <c r="L408" s="665">
        <f t="shared" si="924"/>
        <v>3174.462</v>
      </c>
      <c r="M408" s="330">
        <f t="shared" si="937"/>
        <v>3174.462</v>
      </c>
      <c r="N408" s="665">
        <f>F408+50</f>
        <v>3144.462</v>
      </c>
      <c r="O408" s="330">
        <f t="shared" si="938"/>
        <v>3144.462</v>
      </c>
      <c r="P408" s="665">
        <f>F408+45</f>
        <v>3139.462</v>
      </c>
      <c r="Q408" s="330">
        <f t="shared" si="939"/>
        <v>3139.462</v>
      </c>
      <c r="R408" s="665">
        <f>F408+38</f>
        <v>3132.462</v>
      </c>
      <c r="S408" s="330">
        <f t="shared" si="940"/>
        <v>3132.462</v>
      </c>
      <c r="T408" s="665">
        <f>F408+31</f>
        <v>3125.462</v>
      </c>
      <c r="U408" s="330">
        <f t="shared" si="941"/>
        <v>3125.462</v>
      </c>
      <c r="V408" s="665">
        <f>F408+27</f>
        <v>3121.462</v>
      </c>
      <c r="W408" s="330">
        <f t="shared" si="942"/>
        <v>3121.462</v>
      </c>
      <c r="X408" s="550"/>
      <c r="Y408" s="551"/>
      <c r="Z408" s="551"/>
      <c r="AA408" s="552"/>
      <c r="AB408" s="507">
        <v>2351</v>
      </c>
      <c r="AC408" s="69"/>
    </row>
    <row r="409" spans="1:35" ht="12.6" customHeight="1" x14ac:dyDescent="0.2">
      <c r="A409" s="20"/>
      <c r="B409" s="760" t="s">
        <v>793</v>
      </c>
      <c r="C409" s="761"/>
      <c r="D409" s="761"/>
      <c r="E409" s="762"/>
      <c r="F409" s="461">
        <f>1.59*X2</f>
        <v>1491.42</v>
      </c>
      <c r="G409" s="331">
        <f t="shared" ref="G409" si="946">+F409*$X$1</f>
        <v>1491.42</v>
      </c>
      <c r="H409" s="650">
        <f t="shared" si="921"/>
        <v>1771.42</v>
      </c>
      <c r="I409" s="331">
        <f t="shared" si="912"/>
        <v>1771.42</v>
      </c>
      <c r="J409" s="650">
        <f t="shared" si="922"/>
        <v>1601.42</v>
      </c>
      <c r="K409" s="331">
        <f t="shared" si="936"/>
        <v>1601.42</v>
      </c>
      <c r="L409" s="650">
        <f t="shared" si="924"/>
        <v>1571.42</v>
      </c>
      <c r="M409" s="331">
        <f t="shared" si="937"/>
        <v>1571.42</v>
      </c>
      <c r="N409" s="650">
        <f>F409+50</f>
        <v>1541.42</v>
      </c>
      <c r="O409" s="331">
        <f t="shared" si="938"/>
        <v>1541.42</v>
      </c>
      <c r="P409" s="650">
        <f>F409+45</f>
        <v>1536.42</v>
      </c>
      <c r="Q409" s="331">
        <f t="shared" si="939"/>
        <v>1536.42</v>
      </c>
      <c r="R409" s="650">
        <f>F409+38</f>
        <v>1529.42</v>
      </c>
      <c r="S409" s="331">
        <f t="shared" si="940"/>
        <v>1529.42</v>
      </c>
      <c r="T409" s="650">
        <f>F409+31</f>
        <v>1522.42</v>
      </c>
      <c r="U409" s="331">
        <f t="shared" si="941"/>
        <v>1522.42</v>
      </c>
      <c r="V409" s="650">
        <f>F409+27</f>
        <v>1518.42</v>
      </c>
      <c r="W409" s="331">
        <f t="shared" si="942"/>
        <v>1518.42</v>
      </c>
      <c r="X409" s="558"/>
      <c r="Y409" s="559"/>
      <c r="Z409" s="559"/>
      <c r="AA409" s="560"/>
      <c r="AB409" s="507">
        <v>2352</v>
      </c>
      <c r="AC409" s="69"/>
    </row>
    <row r="410" spans="1:35" ht="12.6" customHeight="1" x14ac:dyDescent="0.2">
      <c r="A410" s="20"/>
      <c r="B410" s="736" t="s">
        <v>917</v>
      </c>
      <c r="C410" s="739"/>
      <c r="D410" s="739"/>
      <c r="E410" s="740"/>
      <c r="F410" s="460">
        <f>1*X2</f>
        <v>938</v>
      </c>
      <c r="G410" s="330">
        <f t="shared" ref="G410" si="947">+F410*$X$1</f>
        <v>938</v>
      </c>
      <c r="H410" s="657">
        <f>F410+290</f>
        <v>1228</v>
      </c>
      <c r="I410" s="330">
        <f t="shared" si="912"/>
        <v>1228</v>
      </c>
      <c r="J410" s="657">
        <f>F410+120</f>
        <v>1058</v>
      </c>
      <c r="K410" s="330">
        <f t="shared" ref="K410" si="948">+J410*$X$1</f>
        <v>1058</v>
      </c>
      <c r="L410" s="657">
        <f>F410+74</f>
        <v>1012</v>
      </c>
      <c r="M410" s="330">
        <f t="shared" ref="M410" si="949">+L410*$X$1</f>
        <v>1012</v>
      </c>
      <c r="N410" s="657">
        <f>F410+46</f>
        <v>984</v>
      </c>
      <c r="O410" s="330">
        <f t="shared" ref="O410" si="950">+N410*$X$1</f>
        <v>984</v>
      </c>
      <c r="P410" s="657">
        <f>F410+42</f>
        <v>980</v>
      </c>
      <c r="Q410" s="330">
        <f t="shared" ref="Q410" si="951">+P410*$X$1</f>
        <v>980</v>
      </c>
      <c r="R410" s="657">
        <f>F410+35</f>
        <v>973</v>
      </c>
      <c r="S410" s="330">
        <f t="shared" ref="S410" si="952">+R410*$X$1</f>
        <v>973</v>
      </c>
      <c r="T410" s="108">
        <f t="shared" ref="T410:T413" si="953">F410+29</f>
        <v>967</v>
      </c>
      <c r="U410" s="293">
        <f t="shared" ref="U410" si="954">+T410*$X$1</f>
        <v>967</v>
      </c>
      <c r="V410" s="108">
        <f>F410+24</f>
        <v>962</v>
      </c>
      <c r="W410" s="293">
        <f t="shared" ref="W410" si="955">+V410*$X$1</f>
        <v>962</v>
      </c>
      <c r="X410" s="686"/>
      <c r="Y410" s="687"/>
      <c r="Z410" s="687"/>
      <c r="AA410" s="688"/>
      <c r="AB410" s="507">
        <v>2504</v>
      </c>
    </row>
    <row r="411" spans="1:35" ht="12.6" customHeight="1" x14ac:dyDescent="0.2">
      <c r="A411" s="20"/>
      <c r="B411" s="698" t="s">
        <v>778</v>
      </c>
      <c r="C411" s="693"/>
      <c r="D411" s="693"/>
      <c r="E411" s="694"/>
      <c r="F411" s="461">
        <f>3.13*X2</f>
        <v>2935.94</v>
      </c>
      <c r="G411" s="331">
        <f t="shared" ref="G411" si="956">+F411*$X$1</f>
        <v>2935.94</v>
      </c>
      <c r="H411" s="650">
        <f>F411+290</f>
        <v>3225.94</v>
      </c>
      <c r="I411" s="331">
        <f t="shared" si="912"/>
        <v>3225.94</v>
      </c>
      <c r="J411" s="650">
        <f>F411+120</f>
        <v>3055.94</v>
      </c>
      <c r="K411" s="331">
        <f t="shared" ref="K411" si="957">+J411*$X$1</f>
        <v>3055.94</v>
      </c>
      <c r="L411" s="650">
        <f>F411+74</f>
        <v>3009.94</v>
      </c>
      <c r="M411" s="331">
        <f t="shared" ref="M411" si="958">+L411*$X$1</f>
        <v>3009.94</v>
      </c>
      <c r="N411" s="650"/>
      <c r="O411" s="331"/>
      <c r="P411" s="650"/>
      <c r="Q411" s="331"/>
      <c r="R411" s="650"/>
      <c r="S411" s="331"/>
      <c r="T411" s="107"/>
      <c r="U411" s="356"/>
      <c r="V411" s="107"/>
      <c r="W411" s="356"/>
      <c r="X411" s="686"/>
      <c r="Y411" s="687"/>
      <c r="Z411" s="687"/>
      <c r="AA411" s="688"/>
      <c r="AB411" s="507">
        <v>2505</v>
      </c>
    </row>
    <row r="412" spans="1:35" ht="12.6" customHeight="1" x14ac:dyDescent="0.2">
      <c r="A412" s="20"/>
      <c r="B412" s="760" t="s">
        <v>916</v>
      </c>
      <c r="C412" s="761"/>
      <c r="D412" s="761"/>
      <c r="E412" s="762"/>
      <c r="F412" s="460">
        <f>1*X2</f>
        <v>938</v>
      </c>
      <c r="G412" s="330">
        <f t="shared" ref="G412" si="959">+F412*$X$1</f>
        <v>938</v>
      </c>
      <c r="H412" s="657">
        <f>F412+290</f>
        <v>1228</v>
      </c>
      <c r="I412" s="330">
        <f t="shared" si="912"/>
        <v>1228</v>
      </c>
      <c r="J412" s="657">
        <f>F412+120</f>
        <v>1058</v>
      </c>
      <c r="K412" s="330">
        <f t="shared" ref="K412" si="960">+J412*$X$1</f>
        <v>1058</v>
      </c>
      <c r="L412" s="657">
        <f>F412+74</f>
        <v>1012</v>
      </c>
      <c r="M412" s="330">
        <f t="shared" ref="M412" si="961">+L412*$X$1</f>
        <v>1012</v>
      </c>
      <c r="N412" s="657">
        <f>F412+46</f>
        <v>984</v>
      </c>
      <c r="O412" s="330">
        <f t="shared" ref="O412" si="962">+N412*$X$1</f>
        <v>984</v>
      </c>
      <c r="P412" s="657">
        <f>F412+42</f>
        <v>980</v>
      </c>
      <c r="Q412" s="330">
        <f t="shared" ref="Q412" si="963">+P412*$X$1</f>
        <v>980</v>
      </c>
      <c r="R412" s="657">
        <f>F412+35</f>
        <v>973</v>
      </c>
      <c r="S412" s="330">
        <f t="shared" ref="S412" si="964">+R412*$X$1</f>
        <v>973</v>
      </c>
      <c r="T412" s="108">
        <f t="shared" ref="T412" si="965">F412+29</f>
        <v>967</v>
      </c>
      <c r="U412" s="293">
        <f t="shared" ref="U412" si="966">+T412*$X$1</f>
        <v>967</v>
      </c>
      <c r="V412" s="108">
        <f>F412+24</f>
        <v>962</v>
      </c>
      <c r="W412" s="293">
        <f t="shared" ref="W412" si="967">+V412*$X$1</f>
        <v>962</v>
      </c>
      <c r="X412" s="686"/>
      <c r="Y412" s="687"/>
      <c r="Z412" s="687"/>
      <c r="AA412" s="688"/>
      <c r="AB412" s="507">
        <v>2506</v>
      </c>
    </row>
    <row r="413" spans="1:35" ht="12.6" customHeight="1" x14ac:dyDescent="0.2">
      <c r="A413" s="20"/>
      <c r="B413" s="698" t="s">
        <v>558</v>
      </c>
      <c r="C413" s="917"/>
      <c r="D413" s="917"/>
      <c r="E413" s="918"/>
      <c r="F413" s="461">
        <f>3.88*X2</f>
        <v>3639.44</v>
      </c>
      <c r="G413" s="331">
        <f t="shared" ref="G413" si="968">+F413*$X$1</f>
        <v>3639.44</v>
      </c>
      <c r="H413" s="321"/>
      <c r="I413" s="404"/>
      <c r="J413" s="568">
        <f>F413+120</f>
        <v>3759.44</v>
      </c>
      <c r="K413" s="331">
        <f t="shared" ref="K413" si="969">+J413*$X$1</f>
        <v>3759.44</v>
      </c>
      <c r="L413" s="568">
        <f>F413+74</f>
        <v>3713.44</v>
      </c>
      <c r="M413" s="331">
        <f t="shared" ref="M413" si="970">+L413*$X$1</f>
        <v>3713.44</v>
      </c>
      <c r="N413" s="568">
        <f>F413+46</f>
        <v>3685.44</v>
      </c>
      <c r="O413" s="331">
        <f t="shared" ref="O413" si="971">+N413*$X$1</f>
        <v>3685.44</v>
      </c>
      <c r="P413" s="568">
        <f>F413+42</f>
        <v>3681.44</v>
      </c>
      <c r="Q413" s="331">
        <f t="shared" ref="Q413" si="972">+P413*$X$1</f>
        <v>3681.44</v>
      </c>
      <c r="R413" s="568">
        <f>F413+35</f>
        <v>3674.44</v>
      </c>
      <c r="S413" s="331">
        <f t="shared" ref="S413" si="973">+R413*$X$1</f>
        <v>3674.44</v>
      </c>
      <c r="T413" s="107">
        <f t="shared" si="953"/>
        <v>3668.44</v>
      </c>
      <c r="U413" s="356">
        <f t="shared" ref="U413" si="974">+T413*$X$1</f>
        <v>3668.44</v>
      </c>
      <c r="V413" s="107">
        <f>F413+24</f>
        <v>3663.44</v>
      </c>
      <c r="W413" s="356">
        <f t="shared" ref="W413" si="975">+V413*$X$1</f>
        <v>3663.44</v>
      </c>
      <c r="X413" s="176"/>
      <c r="Y413" s="145"/>
      <c r="Z413" s="145"/>
      <c r="AA413" s="148"/>
      <c r="AB413" s="519">
        <v>3001</v>
      </c>
    </row>
    <row r="414" spans="1:35" ht="12.6" customHeight="1" x14ac:dyDescent="0.2">
      <c r="A414" s="111"/>
      <c r="B414" s="773" t="s">
        <v>920</v>
      </c>
      <c r="C414" s="970"/>
      <c r="D414" s="970"/>
      <c r="E414" s="970"/>
      <c r="F414" s="330">
        <v>3710</v>
      </c>
      <c r="G414" s="330">
        <f t="shared" ref="G414" si="976">+F414*$X$1</f>
        <v>3710</v>
      </c>
      <c r="H414" s="322"/>
      <c r="I414" s="403"/>
      <c r="J414" s="665"/>
      <c r="K414" s="330"/>
      <c r="L414" s="665">
        <f>F414+910</f>
        <v>4620</v>
      </c>
      <c r="M414" s="330">
        <f>+L414*$X$1</f>
        <v>4620</v>
      </c>
      <c r="N414" s="665">
        <f>F414+690</f>
        <v>4400</v>
      </c>
      <c r="O414" s="330">
        <f t="shared" ref="O414:O415" si="977">+N414*$X$1</f>
        <v>4400</v>
      </c>
      <c r="P414" s="665">
        <f>F414+650</f>
        <v>4360</v>
      </c>
      <c r="Q414" s="330">
        <f t="shared" ref="Q414:Q415" si="978">+P414*$X$1</f>
        <v>4360</v>
      </c>
      <c r="R414" s="665">
        <f>F414+620</f>
        <v>4330</v>
      </c>
      <c r="S414" s="330">
        <f>+R414*$X$1</f>
        <v>4330</v>
      </c>
      <c r="T414" s="665">
        <f>F414+600</f>
        <v>4310</v>
      </c>
      <c r="U414" s="330">
        <f>+T414*$X$1</f>
        <v>4310</v>
      </c>
      <c r="V414" s="665"/>
      <c r="W414" s="330"/>
      <c r="X414" s="231"/>
      <c r="Y414" s="233"/>
      <c r="Z414" s="233"/>
      <c r="AA414" s="232"/>
      <c r="AB414" s="507">
        <v>5003</v>
      </c>
      <c r="AC414" s="69"/>
    </row>
    <row r="415" spans="1:35" ht="12.6" customHeight="1" x14ac:dyDescent="0.2">
      <c r="A415" s="111"/>
      <c r="B415" s="768" t="s">
        <v>921</v>
      </c>
      <c r="C415" s="919"/>
      <c r="D415" s="919"/>
      <c r="E415" s="919"/>
      <c r="F415" s="331">
        <v>3710</v>
      </c>
      <c r="G415" s="331">
        <f t="shared" ref="G415" si="979">+F415*$X$1</f>
        <v>3710</v>
      </c>
      <c r="H415" s="650">
        <f>F415+500</f>
        <v>4210</v>
      </c>
      <c r="I415" s="331">
        <f>+H415*$X$1</f>
        <v>4210</v>
      </c>
      <c r="J415" s="93">
        <f>F415+200</f>
        <v>3910</v>
      </c>
      <c r="K415" s="331">
        <f t="shared" ref="K415" si="980">+J415*$X$1</f>
        <v>3910</v>
      </c>
      <c r="L415" s="650">
        <f>F415+160</f>
        <v>3870</v>
      </c>
      <c r="M415" s="331">
        <f t="shared" ref="M415" si="981">+L415*$X$1</f>
        <v>3870</v>
      </c>
      <c r="N415" s="650">
        <f>F415+130</f>
        <v>3840</v>
      </c>
      <c r="O415" s="331">
        <f t="shared" si="977"/>
        <v>3840</v>
      </c>
      <c r="P415" s="650">
        <f>F415+100</f>
        <v>3810</v>
      </c>
      <c r="Q415" s="331">
        <f t="shared" si="978"/>
        <v>3810</v>
      </c>
      <c r="R415" s="650">
        <f>F415+85</f>
        <v>3795</v>
      </c>
      <c r="S415" s="331">
        <f t="shared" ref="S415" si="982">+R415*$X$1</f>
        <v>3795</v>
      </c>
      <c r="T415" s="650">
        <f>F415+70</f>
        <v>3780</v>
      </c>
      <c r="U415" s="331">
        <f t="shared" ref="U415" si="983">+T415*$X$1</f>
        <v>3780</v>
      </c>
      <c r="V415" s="650"/>
      <c r="W415" s="331"/>
      <c r="X415" s="556"/>
      <c r="Y415" s="554"/>
      <c r="Z415" s="554"/>
      <c r="AA415" s="555"/>
      <c r="AB415" s="507" t="s">
        <v>806</v>
      </c>
      <c r="AC415" s="69"/>
    </row>
    <row r="416" spans="1:35" ht="12.6" customHeight="1" x14ac:dyDescent="0.2">
      <c r="A416" s="20"/>
      <c r="B416" s="696" t="s">
        <v>609</v>
      </c>
      <c r="C416" s="697"/>
      <c r="D416" s="697"/>
      <c r="E416" s="697"/>
      <c r="F416" s="330">
        <v>4992</v>
      </c>
      <c r="G416" s="330">
        <f t="shared" ref="G416:G424" si="984">+F416*$X$1</f>
        <v>4992</v>
      </c>
      <c r="H416" s="322"/>
      <c r="I416" s="403"/>
      <c r="J416" s="665"/>
      <c r="K416" s="330"/>
      <c r="L416" s="665">
        <f>F416+1200</f>
        <v>6192</v>
      </c>
      <c r="M416" s="330">
        <f t="shared" ref="M416" si="985">+L416*$X$1</f>
        <v>6192</v>
      </c>
      <c r="N416" s="665">
        <f>F416+900</f>
        <v>5892</v>
      </c>
      <c r="O416" s="330">
        <f t="shared" ref="O416" si="986">+N416*$X$1</f>
        <v>5892</v>
      </c>
      <c r="P416" s="665">
        <f>F416+810</f>
        <v>5802</v>
      </c>
      <c r="Q416" s="330">
        <f t="shared" ref="Q416" si="987">+P416*$X$1</f>
        <v>5802</v>
      </c>
      <c r="R416" s="665">
        <f>F416+780</f>
        <v>5772</v>
      </c>
      <c r="S416" s="330">
        <f>+R416*$X$1</f>
        <v>5772</v>
      </c>
      <c r="T416" s="665">
        <f>F416+750</f>
        <v>5742</v>
      </c>
      <c r="U416" s="330">
        <f>+T416*$X$1</f>
        <v>5742</v>
      </c>
      <c r="V416" s="665"/>
      <c r="W416" s="330"/>
      <c r="X416" s="1241"/>
      <c r="Y416" s="1242"/>
      <c r="Z416" s="1242"/>
      <c r="AA416" s="1243"/>
      <c r="AB416" s="208">
        <v>5008</v>
      </c>
      <c r="AC416" s="42"/>
      <c r="AD416" s="42"/>
      <c r="AE416" s="42"/>
      <c r="AF416" s="42"/>
      <c r="AG416" s="42"/>
      <c r="AH416" s="42"/>
      <c r="AI416" s="42"/>
    </row>
    <row r="417" spans="1:35" ht="12.6" customHeight="1" x14ac:dyDescent="0.2">
      <c r="A417" s="20"/>
      <c r="B417" s="698" t="s">
        <v>610</v>
      </c>
      <c r="C417" s="693"/>
      <c r="D417" s="693"/>
      <c r="E417" s="694"/>
      <c r="F417" s="331">
        <v>6786</v>
      </c>
      <c r="G417" s="331">
        <f t="shared" si="984"/>
        <v>6786</v>
      </c>
      <c r="H417" s="321"/>
      <c r="I417" s="404"/>
      <c r="J417" s="650"/>
      <c r="K417" s="331"/>
      <c r="L417" s="650">
        <f>F417+1200</f>
        <v>7986</v>
      </c>
      <c r="M417" s="331">
        <f t="shared" ref="M417:M419" si="988">+L417*$X$1</f>
        <v>7986</v>
      </c>
      <c r="N417" s="650">
        <f>F417+900</f>
        <v>7686</v>
      </c>
      <c r="O417" s="331">
        <f t="shared" ref="O417:O419" si="989">+N417*$X$1</f>
        <v>7686</v>
      </c>
      <c r="P417" s="650">
        <f>F417+810</f>
        <v>7596</v>
      </c>
      <c r="Q417" s="331">
        <f t="shared" ref="Q417:Q419" si="990">+P417*$X$1</f>
        <v>7596</v>
      </c>
      <c r="R417" s="650">
        <f>F417+780</f>
        <v>7566</v>
      </c>
      <c r="S417" s="331">
        <f>+R417*$X$1</f>
        <v>7566</v>
      </c>
      <c r="T417" s="650">
        <f>F417+750</f>
        <v>7536</v>
      </c>
      <c r="U417" s="331">
        <f>+T417*$X$1</f>
        <v>7536</v>
      </c>
      <c r="V417" s="650"/>
      <c r="W417" s="331"/>
      <c r="X417" s="1241"/>
      <c r="Y417" s="1242"/>
      <c r="Z417" s="1242"/>
      <c r="AA417" s="1243"/>
      <c r="AB417" s="519">
        <v>5010</v>
      </c>
      <c r="AC417" s="42"/>
      <c r="AD417" s="42"/>
      <c r="AE417" s="42"/>
      <c r="AF417" s="42"/>
      <c r="AG417" s="42"/>
      <c r="AH417" s="42"/>
      <c r="AI417" s="42"/>
    </row>
    <row r="418" spans="1:35" ht="12.6" customHeight="1" x14ac:dyDescent="0.2">
      <c r="A418" s="20"/>
      <c r="B418" s="736" t="s">
        <v>611</v>
      </c>
      <c r="C418" s="739"/>
      <c r="D418" s="739"/>
      <c r="E418" s="740"/>
      <c r="F418" s="330">
        <v>3783</v>
      </c>
      <c r="G418" s="330">
        <f t="shared" ref="G418" si="991">+F418*$X$1</f>
        <v>3783</v>
      </c>
      <c r="H418" s="322"/>
      <c r="I418" s="403"/>
      <c r="J418" s="665"/>
      <c r="K418" s="330"/>
      <c r="L418" s="665">
        <f>F418+1200</f>
        <v>4983</v>
      </c>
      <c r="M418" s="330">
        <f t="shared" si="988"/>
        <v>4983</v>
      </c>
      <c r="N418" s="665">
        <f>F418+900</f>
        <v>4683</v>
      </c>
      <c r="O418" s="330">
        <f t="shared" si="989"/>
        <v>4683</v>
      </c>
      <c r="P418" s="665">
        <f>F418+810</f>
        <v>4593</v>
      </c>
      <c r="Q418" s="330">
        <f t="shared" si="990"/>
        <v>4593</v>
      </c>
      <c r="R418" s="665">
        <f>F418+780</f>
        <v>4563</v>
      </c>
      <c r="S418" s="330">
        <f>+R418*$X$1</f>
        <v>4563</v>
      </c>
      <c r="T418" s="665">
        <f>F418+750</f>
        <v>4533</v>
      </c>
      <c r="U418" s="330">
        <f>+T418*$X$1</f>
        <v>4533</v>
      </c>
      <c r="V418" s="665"/>
      <c r="W418" s="330"/>
      <c r="X418" s="1241"/>
      <c r="Y418" s="1242"/>
      <c r="Z418" s="1242"/>
      <c r="AA418" s="1243"/>
      <c r="AB418" s="519"/>
      <c r="AC418" s="42"/>
      <c r="AD418" s="42"/>
      <c r="AE418" s="42"/>
      <c r="AF418" s="42"/>
      <c r="AG418" s="42"/>
      <c r="AH418" s="42"/>
      <c r="AI418" s="42"/>
    </row>
    <row r="419" spans="1:35" ht="12.6" customHeight="1" x14ac:dyDescent="0.2">
      <c r="A419" s="20"/>
      <c r="B419" s="698" t="s">
        <v>612</v>
      </c>
      <c r="C419" s="693"/>
      <c r="D419" s="693"/>
      <c r="E419" s="694"/>
      <c r="F419" s="331">
        <v>5616</v>
      </c>
      <c r="G419" s="331">
        <f t="shared" ref="G419" si="992">+F419*$X$1</f>
        <v>5616</v>
      </c>
      <c r="H419" s="321"/>
      <c r="I419" s="404"/>
      <c r="J419" s="650"/>
      <c r="K419" s="331"/>
      <c r="L419" s="650">
        <f>F419+1200</f>
        <v>6816</v>
      </c>
      <c r="M419" s="331">
        <f t="shared" si="988"/>
        <v>6816</v>
      </c>
      <c r="N419" s="650">
        <f>F419+900</f>
        <v>6516</v>
      </c>
      <c r="O419" s="331">
        <f t="shared" si="989"/>
        <v>6516</v>
      </c>
      <c r="P419" s="650">
        <f>F419+810</f>
        <v>6426</v>
      </c>
      <c r="Q419" s="331">
        <f t="shared" si="990"/>
        <v>6426</v>
      </c>
      <c r="R419" s="650">
        <f>F419+780</f>
        <v>6396</v>
      </c>
      <c r="S419" s="331">
        <f>+R419*$X$1</f>
        <v>6396</v>
      </c>
      <c r="T419" s="650">
        <f>F419+750</f>
        <v>6366</v>
      </c>
      <c r="U419" s="331">
        <f>+T419*$X$1</f>
        <v>6366</v>
      </c>
      <c r="V419" s="650"/>
      <c r="W419" s="331"/>
      <c r="X419" s="1241"/>
      <c r="Y419" s="1242"/>
      <c r="Z419" s="1242"/>
      <c r="AA419" s="1243"/>
      <c r="AB419" s="519"/>
      <c r="AC419" s="42"/>
      <c r="AD419" s="42"/>
      <c r="AE419" s="42"/>
      <c r="AF419" s="42"/>
      <c r="AG419" s="42"/>
      <c r="AH419" s="42"/>
      <c r="AI419" s="42"/>
    </row>
    <row r="420" spans="1:35" ht="12.6" customHeight="1" x14ac:dyDescent="0.2">
      <c r="A420" s="20"/>
      <c r="B420" s="696" t="s">
        <v>607</v>
      </c>
      <c r="C420" s="704"/>
      <c r="D420" s="704"/>
      <c r="E420" s="704"/>
      <c r="F420" s="330"/>
      <c r="G420" s="330"/>
      <c r="H420" s="322"/>
      <c r="I420" s="403"/>
      <c r="J420" s="75"/>
      <c r="K420" s="330"/>
      <c r="L420" s="368"/>
      <c r="M420" s="330"/>
      <c r="N420" s="368"/>
      <c r="O420" s="330"/>
      <c r="P420" s="368"/>
      <c r="Q420" s="330"/>
      <c r="R420" s="368"/>
      <c r="S420" s="330"/>
      <c r="T420" s="368"/>
      <c r="U420" s="330"/>
      <c r="V420" s="368"/>
      <c r="W420" s="330"/>
      <c r="X420" s="1244"/>
      <c r="Y420" s="1245"/>
      <c r="Z420" s="1245"/>
      <c r="AA420" s="1246"/>
      <c r="AB420" s="519">
        <v>11604</v>
      </c>
    </row>
    <row r="421" spans="1:35" ht="12.6" customHeight="1" x14ac:dyDescent="0.2">
      <c r="A421" s="20"/>
      <c r="B421" s="679" t="s">
        <v>608</v>
      </c>
      <c r="C421" s="866"/>
      <c r="D421" s="866"/>
      <c r="E421" s="866"/>
      <c r="F421" s="557"/>
      <c r="G421" s="568"/>
      <c r="H421" s="321"/>
      <c r="I421" s="404"/>
      <c r="J421" s="93"/>
      <c r="K421" s="331"/>
      <c r="L421" s="568"/>
      <c r="M421" s="331"/>
      <c r="N421" s="568"/>
      <c r="O421" s="331"/>
      <c r="P421" s="568"/>
      <c r="Q421" s="331"/>
      <c r="R421" s="568"/>
      <c r="S421" s="331"/>
      <c r="T421" s="568"/>
      <c r="U421" s="331"/>
      <c r="V421" s="568"/>
      <c r="W421" s="331"/>
      <c r="X421" s="1244"/>
      <c r="Y421" s="1245"/>
      <c r="Z421" s="1245"/>
      <c r="AA421" s="1246"/>
      <c r="AB421" s="519">
        <v>11605</v>
      </c>
    </row>
    <row r="422" spans="1:35" ht="12.6" customHeight="1" x14ac:dyDescent="0.2">
      <c r="A422" s="20"/>
      <c r="B422" s="1169" t="s">
        <v>602</v>
      </c>
      <c r="C422" s="1170"/>
      <c r="D422" s="1170"/>
      <c r="E422" s="1170"/>
      <c r="F422" s="330"/>
      <c r="G422" s="330"/>
      <c r="H422" s="322"/>
      <c r="I422" s="322"/>
      <c r="J422" s="368"/>
      <c r="K422" s="368"/>
      <c r="L422" s="368"/>
      <c r="M422" s="368"/>
      <c r="N422" s="368"/>
      <c r="O422" s="368"/>
      <c r="P422" s="322"/>
      <c r="Q422" s="322"/>
      <c r="R422" s="368"/>
      <c r="S422" s="368"/>
      <c r="T422" s="368"/>
      <c r="U422" s="368"/>
      <c r="V422" s="368"/>
      <c r="W422" s="368"/>
      <c r="X422" s="1244"/>
      <c r="Y422" s="1245"/>
      <c r="Z422" s="1245"/>
      <c r="AA422" s="1246"/>
      <c r="AB422" s="525"/>
    </row>
    <row r="423" spans="1:35" ht="12.6" customHeight="1" x14ac:dyDescent="0.2">
      <c r="A423" s="20"/>
      <c r="B423" s="679" t="s">
        <v>268</v>
      </c>
      <c r="C423" s="866"/>
      <c r="D423" s="866"/>
      <c r="E423" s="866"/>
      <c r="F423" s="331">
        <v>1067</v>
      </c>
      <c r="G423" s="331">
        <f t="shared" si="984"/>
        <v>1067</v>
      </c>
      <c r="H423" s="321"/>
      <c r="I423" s="321"/>
      <c r="J423" s="568">
        <f>F423+120</f>
        <v>1187</v>
      </c>
      <c r="K423" s="331">
        <f t="shared" ref="K423" si="993">+J423*$X$1</f>
        <v>1187</v>
      </c>
      <c r="L423" s="568">
        <f>F423+74</f>
        <v>1141</v>
      </c>
      <c r="M423" s="331">
        <f t="shared" ref="M423" si="994">+L423*$X$1</f>
        <v>1141</v>
      </c>
      <c r="N423" s="568">
        <f>F423+46</f>
        <v>1113</v>
      </c>
      <c r="O423" s="331">
        <f t="shared" ref="O423" si="995">+N423*$X$1</f>
        <v>1113</v>
      </c>
      <c r="P423" s="568">
        <f>F423+42</f>
        <v>1109</v>
      </c>
      <c r="Q423" s="331">
        <f t="shared" ref="Q423" si="996">+P423*$X$1</f>
        <v>1109</v>
      </c>
      <c r="R423" s="568">
        <f>F423+35</f>
        <v>1102</v>
      </c>
      <c r="S423" s="331">
        <f t="shared" ref="S423" si="997">+R423*$X$1</f>
        <v>1102</v>
      </c>
      <c r="T423" s="107">
        <f>F423+29</f>
        <v>1096</v>
      </c>
      <c r="U423" s="356">
        <f t="shared" ref="U423" si="998">+T423*$X$1</f>
        <v>1096</v>
      </c>
      <c r="V423" s="107">
        <f>F423+24</f>
        <v>1091</v>
      </c>
      <c r="W423" s="356">
        <f t="shared" ref="W423" si="999">+V423*$X$1</f>
        <v>1091</v>
      </c>
      <c r="X423" s="164"/>
      <c r="Y423" s="141"/>
      <c r="Z423" s="141"/>
      <c r="AA423" s="141"/>
      <c r="AB423" s="526"/>
    </row>
    <row r="424" spans="1:35" ht="12.6" customHeight="1" x14ac:dyDescent="0.2">
      <c r="A424" s="111"/>
      <c r="B424" s="943" t="s">
        <v>269</v>
      </c>
      <c r="C424" s="1155"/>
      <c r="D424" s="1155"/>
      <c r="E424" s="1155"/>
      <c r="F424" s="393">
        <v>25</v>
      </c>
      <c r="G424" s="393">
        <f t="shared" si="984"/>
        <v>25</v>
      </c>
      <c r="H424" s="121"/>
      <c r="I424" s="121"/>
      <c r="J424" s="121"/>
      <c r="K424" s="121"/>
      <c r="L424" s="121"/>
      <c r="M424" s="121"/>
      <c r="N424" s="121"/>
      <c r="O424" s="393"/>
      <c r="P424" s="121"/>
      <c r="Q424" s="393"/>
      <c r="R424" s="121"/>
      <c r="S424" s="393"/>
      <c r="T424" s="121"/>
      <c r="U424" s="393"/>
      <c r="V424" s="121"/>
      <c r="W424" s="393"/>
      <c r="X424" s="164"/>
      <c r="Y424" s="141"/>
      <c r="Z424" s="141"/>
      <c r="AA424" s="141"/>
      <c r="AB424" s="208">
        <v>11612</v>
      </c>
    </row>
    <row r="425" spans="1:35" ht="12.6" customHeight="1" x14ac:dyDescent="0.2">
      <c r="A425" s="20"/>
      <c r="B425" s="698" t="s">
        <v>559</v>
      </c>
      <c r="C425" s="693"/>
      <c r="D425" s="693"/>
      <c r="E425" s="694"/>
      <c r="F425" s="461">
        <f>1.77*X2</f>
        <v>1660.26</v>
      </c>
      <c r="G425" s="331">
        <f t="shared" ref="G425" si="1000">+F425*$X$1</f>
        <v>1660.26</v>
      </c>
      <c r="H425" s="645">
        <f>F425+250</f>
        <v>1910.26</v>
      </c>
      <c r="I425" s="331">
        <f t="shared" ref="I425" si="1001">+H425*$X$1</f>
        <v>1910.26</v>
      </c>
      <c r="J425" s="645">
        <f>F425+100</f>
        <v>1760.26</v>
      </c>
      <c r="K425" s="331">
        <f t="shared" ref="K425" si="1002">+J425*$X$1</f>
        <v>1760.26</v>
      </c>
      <c r="L425" s="645">
        <f>F425+70</f>
        <v>1730.26</v>
      </c>
      <c r="M425" s="331">
        <f t="shared" ref="M425" si="1003">+L425*$X$1</f>
        <v>1730.26</v>
      </c>
      <c r="N425" s="645">
        <f>F425+52</f>
        <v>1712.26</v>
      </c>
      <c r="O425" s="331">
        <f>+N425*$X$1</f>
        <v>1712.26</v>
      </c>
      <c r="P425" s="645">
        <f>F425+46</f>
        <v>1706.26</v>
      </c>
      <c r="Q425" s="331">
        <f t="shared" ref="Q425" si="1004">+P425*$X$1</f>
        <v>1706.26</v>
      </c>
      <c r="R425" s="645">
        <f>F425+41</f>
        <v>1701.26</v>
      </c>
      <c r="S425" s="331">
        <f>+R425*$X$1</f>
        <v>1701.26</v>
      </c>
      <c r="T425" s="645">
        <f>F425+36</f>
        <v>1696.26</v>
      </c>
      <c r="U425" s="331">
        <f>+T425*$X$1</f>
        <v>1696.26</v>
      </c>
      <c r="V425" s="645">
        <f>F425+32</f>
        <v>1692.26</v>
      </c>
      <c r="W425" s="331">
        <f>+V425*$X$1</f>
        <v>1692.26</v>
      </c>
      <c r="X425" s="687"/>
      <c r="Y425" s="804"/>
      <c r="Z425" s="804"/>
      <c r="AA425" s="688"/>
      <c r="AB425" s="208" t="s">
        <v>591</v>
      </c>
    </row>
    <row r="426" spans="1:35" ht="12.6" customHeight="1" x14ac:dyDescent="0.2">
      <c r="A426" s="111"/>
      <c r="B426" s="773" t="s">
        <v>761</v>
      </c>
      <c r="C426" s="970"/>
      <c r="D426" s="970"/>
      <c r="E426" s="970"/>
      <c r="F426" s="460"/>
      <c r="G426" s="330"/>
      <c r="H426" s="368"/>
      <c r="I426" s="330"/>
      <c r="J426" s="368"/>
      <c r="K426" s="330"/>
      <c r="L426" s="368"/>
      <c r="M426" s="330"/>
      <c r="N426" s="368"/>
      <c r="O426" s="330"/>
      <c r="P426" s="368"/>
      <c r="Q426" s="330"/>
      <c r="R426" s="368"/>
      <c r="S426" s="330"/>
      <c r="T426" s="368"/>
      <c r="U426" s="330"/>
      <c r="V426" s="368"/>
      <c r="W426" s="330"/>
      <c r="X426" s="687"/>
      <c r="Y426" s="687"/>
      <c r="Z426" s="687"/>
      <c r="AA426" s="687"/>
      <c r="AB426" s="507" t="s">
        <v>762</v>
      </c>
      <c r="AC426" s="69"/>
    </row>
    <row r="427" spans="1:35" ht="12.6" customHeight="1" x14ac:dyDescent="0.2">
      <c r="A427" s="111"/>
      <c r="B427" s="1088" t="s">
        <v>757</v>
      </c>
      <c r="C427" s="1089"/>
      <c r="D427" s="1089"/>
      <c r="E427" s="1089"/>
      <c r="F427" s="461">
        <f>4.75*X2</f>
        <v>4455.5</v>
      </c>
      <c r="G427" s="331">
        <f t="shared" ref="G427" si="1005">+F427*$X$1</f>
        <v>4455.5</v>
      </c>
      <c r="H427" s="645">
        <f>F427+250</f>
        <v>4705.5</v>
      </c>
      <c r="I427" s="331">
        <f t="shared" ref="I427:I430" si="1006">+H427*$X$1</f>
        <v>4705.5</v>
      </c>
      <c r="J427" s="645">
        <f>F427+100</f>
        <v>4555.5</v>
      </c>
      <c r="K427" s="331">
        <f t="shared" ref="K427:K430" si="1007">+J427*$X$1</f>
        <v>4555.5</v>
      </c>
      <c r="L427" s="645">
        <f>F427+70</f>
        <v>4525.5</v>
      </c>
      <c r="M427" s="331">
        <f t="shared" ref="M427:M430" si="1008">+L427*$X$1</f>
        <v>4525.5</v>
      </c>
      <c r="N427" s="645">
        <f>F427+52</f>
        <v>4507.5</v>
      </c>
      <c r="O427" s="331">
        <f>+N427*$X$1</f>
        <v>4507.5</v>
      </c>
      <c r="P427" s="645">
        <f>F427+46</f>
        <v>4501.5</v>
      </c>
      <c r="Q427" s="331">
        <f t="shared" ref="Q427:Q430" si="1009">+P427*$X$1</f>
        <v>4501.5</v>
      </c>
      <c r="R427" s="645">
        <f>F427+41</f>
        <v>4496.5</v>
      </c>
      <c r="S427" s="331">
        <f>+R427*$X$1</f>
        <v>4496.5</v>
      </c>
      <c r="T427" s="645">
        <f>F427+36</f>
        <v>4491.5</v>
      </c>
      <c r="U427" s="331">
        <f>+T427*$X$1</f>
        <v>4491.5</v>
      </c>
      <c r="V427" s="645">
        <f>F427+32</f>
        <v>4487.5</v>
      </c>
      <c r="W427" s="331">
        <f>+V427*$X$1</f>
        <v>4487.5</v>
      </c>
      <c r="X427" s="687"/>
      <c r="Y427" s="687"/>
      <c r="Z427" s="687"/>
      <c r="AA427" s="687"/>
      <c r="AB427" s="507" t="s">
        <v>758</v>
      </c>
      <c r="AC427" s="69"/>
    </row>
    <row r="428" spans="1:35" ht="12.6" customHeight="1" x14ac:dyDescent="0.2">
      <c r="A428" s="111"/>
      <c r="B428" s="773" t="s">
        <v>760</v>
      </c>
      <c r="C428" s="970"/>
      <c r="D428" s="970"/>
      <c r="E428" s="970"/>
      <c r="F428" s="460">
        <f>4.75*X2</f>
        <v>4455.5</v>
      </c>
      <c r="G428" s="330">
        <f>+F428*$X$1</f>
        <v>4455.5</v>
      </c>
      <c r="H428" s="368">
        <f>F428+250</f>
        <v>4705.5</v>
      </c>
      <c r="I428" s="330">
        <f t="shared" si="1006"/>
        <v>4705.5</v>
      </c>
      <c r="J428" s="368">
        <f>F428+100</f>
        <v>4555.5</v>
      </c>
      <c r="K428" s="330">
        <f t="shared" si="1007"/>
        <v>4555.5</v>
      </c>
      <c r="L428" s="368">
        <f>F428+70</f>
        <v>4525.5</v>
      </c>
      <c r="M428" s="330">
        <f t="shared" si="1008"/>
        <v>4525.5</v>
      </c>
      <c r="N428" s="368">
        <f>F428+52</f>
        <v>4507.5</v>
      </c>
      <c r="O428" s="330">
        <f>+N428*$X$1</f>
        <v>4507.5</v>
      </c>
      <c r="P428" s="368">
        <f>F428+46</f>
        <v>4501.5</v>
      </c>
      <c r="Q428" s="330">
        <f t="shared" si="1009"/>
        <v>4501.5</v>
      </c>
      <c r="R428" s="368">
        <f>F428+41</f>
        <v>4496.5</v>
      </c>
      <c r="S428" s="330">
        <f>+R428*$X$1</f>
        <v>4496.5</v>
      </c>
      <c r="T428" s="368">
        <f>F428+36</f>
        <v>4491.5</v>
      </c>
      <c r="U428" s="330">
        <f>+T428*$X$1</f>
        <v>4491.5</v>
      </c>
      <c r="V428" s="368">
        <f>F428+32</f>
        <v>4487.5</v>
      </c>
      <c r="W428" s="330">
        <f>+V428*$X$1</f>
        <v>4487.5</v>
      </c>
      <c r="X428" s="687"/>
      <c r="Y428" s="687"/>
      <c r="Z428" s="687"/>
      <c r="AA428" s="687"/>
      <c r="AB428" s="507" t="s">
        <v>759</v>
      </c>
      <c r="AC428" s="69"/>
    </row>
    <row r="429" spans="1:35" ht="12.6" customHeight="1" x14ac:dyDescent="0.2">
      <c r="A429" s="111"/>
      <c r="B429" s="1088" t="s">
        <v>745</v>
      </c>
      <c r="C429" s="1089"/>
      <c r="D429" s="1089"/>
      <c r="E429" s="1089"/>
      <c r="F429" s="461">
        <f>4.836*X2</f>
        <v>4536.1680000000006</v>
      </c>
      <c r="G429" s="331">
        <f t="shared" ref="G429:G433" si="1010">+F429*$X$1</f>
        <v>4536.1680000000006</v>
      </c>
      <c r="H429" s="645">
        <f>F429+250</f>
        <v>4786.1680000000006</v>
      </c>
      <c r="I429" s="331">
        <f t="shared" si="1006"/>
        <v>4786.1680000000006</v>
      </c>
      <c r="J429" s="645">
        <f>F429+100</f>
        <v>4636.1680000000006</v>
      </c>
      <c r="K429" s="331">
        <f t="shared" si="1007"/>
        <v>4636.1680000000006</v>
      </c>
      <c r="L429" s="645">
        <f>F429+70</f>
        <v>4606.1680000000006</v>
      </c>
      <c r="M429" s="331">
        <f t="shared" si="1008"/>
        <v>4606.1680000000006</v>
      </c>
      <c r="N429" s="645">
        <f>F429+52</f>
        <v>4588.1680000000006</v>
      </c>
      <c r="O429" s="331">
        <f>+N429*$X$1</f>
        <v>4588.1680000000006</v>
      </c>
      <c r="P429" s="645">
        <f>F429+46</f>
        <v>4582.1680000000006</v>
      </c>
      <c r="Q429" s="331">
        <f t="shared" si="1009"/>
        <v>4582.1680000000006</v>
      </c>
      <c r="R429" s="645">
        <f>F429+41</f>
        <v>4577.1680000000006</v>
      </c>
      <c r="S429" s="331">
        <f>+R429*$X$1</f>
        <v>4577.1680000000006</v>
      </c>
      <c r="T429" s="645">
        <f>F429+36</f>
        <v>4572.1680000000006</v>
      </c>
      <c r="U429" s="331">
        <f>+T429*$X$1</f>
        <v>4572.1680000000006</v>
      </c>
      <c r="V429" s="645">
        <f>F429+32</f>
        <v>4568.1680000000006</v>
      </c>
      <c r="W429" s="331">
        <f>+V429*$X$1</f>
        <v>4568.1680000000006</v>
      </c>
      <c r="X429" s="687"/>
      <c r="Y429" s="687"/>
      <c r="Z429" s="687"/>
      <c r="AA429" s="687"/>
      <c r="AB429" s="507" t="s">
        <v>744</v>
      </c>
      <c r="AC429" s="69"/>
    </row>
    <row r="430" spans="1:35" ht="12.6" customHeight="1" x14ac:dyDescent="0.2">
      <c r="A430" s="111"/>
      <c r="B430" s="773" t="s">
        <v>746</v>
      </c>
      <c r="C430" s="970"/>
      <c r="D430" s="970"/>
      <c r="E430" s="970"/>
      <c r="F430" s="460">
        <f>4.836*X2</f>
        <v>4536.1680000000006</v>
      </c>
      <c r="G430" s="330">
        <f t="shared" si="1010"/>
        <v>4536.1680000000006</v>
      </c>
      <c r="H430" s="368">
        <f>F430+250</f>
        <v>4786.1680000000006</v>
      </c>
      <c r="I430" s="330">
        <f t="shared" si="1006"/>
        <v>4786.1680000000006</v>
      </c>
      <c r="J430" s="368">
        <f>F430+100</f>
        <v>4636.1680000000006</v>
      </c>
      <c r="K430" s="330">
        <f t="shared" si="1007"/>
        <v>4636.1680000000006</v>
      </c>
      <c r="L430" s="368">
        <f>F430+70</f>
        <v>4606.1680000000006</v>
      </c>
      <c r="M430" s="330">
        <f t="shared" si="1008"/>
        <v>4606.1680000000006</v>
      </c>
      <c r="N430" s="368">
        <f>F430+52</f>
        <v>4588.1680000000006</v>
      </c>
      <c r="O430" s="330">
        <f>+N430*$X$1</f>
        <v>4588.1680000000006</v>
      </c>
      <c r="P430" s="368">
        <f>F430+46</f>
        <v>4582.1680000000006</v>
      </c>
      <c r="Q430" s="330">
        <f t="shared" si="1009"/>
        <v>4582.1680000000006</v>
      </c>
      <c r="R430" s="368">
        <f>F430+41</f>
        <v>4577.1680000000006</v>
      </c>
      <c r="S430" s="330">
        <f>+R430*$X$1</f>
        <v>4577.1680000000006</v>
      </c>
      <c r="T430" s="368">
        <f>F430+36</f>
        <v>4572.1680000000006</v>
      </c>
      <c r="U430" s="330">
        <f>+T430*$X$1</f>
        <v>4572.1680000000006</v>
      </c>
      <c r="V430" s="368">
        <f>F430+32</f>
        <v>4568.1680000000006</v>
      </c>
      <c r="W430" s="330">
        <f>+V430*$X$1</f>
        <v>4568.1680000000006</v>
      </c>
      <c r="X430" s="687"/>
      <c r="Y430" s="687"/>
      <c r="Z430" s="687"/>
      <c r="AA430" s="687"/>
      <c r="AB430" s="507" t="s">
        <v>743</v>
      </c>
      <c r="AC430" s="69"/>
    </row>
    <row r="431" spans="1:35" ht="12.6" customHeight="1" x14ac:dyDescent="0.2">
      <c r="A431" s="111"/>
      <c r="B431" s="1088" t="s">
        <v>750</v>
      </c>
      <c r="C431" s="1089"/>
      <c r="D431" s="1089"/>
      <c r="E431" s="1089"/>
      <c r="F431" s="461"/>
      <c r="G431" s="331"/>
      <c r="H431" s="645"/>
      <c r="I431" s="331"/>
      <c r="J431" s="645"/>
      <c r="K431" s="331"/>
      <c r="L431" s="645"/>
      <c r="M431" s="331"/>
      <c r="N431" s="645"/>
      <c r="O431" s="331"/>
      <c r="P431" s="645"/>
      <c r="Q431" s="331"/>
      <c r="R431" s="645"/>
      <c r="S431" s="331"/>
      <c r="T431" s="645"/>
      <c r="U431" s="331"/>
      <c r="V431" s="645"/>
      <c r="W431" s="331"/>
      <c r="X431" s="687"/>
      <c r="Y431" s="687"/>
      <c r="Z431" s="687"/>
      <c r="AA431" s="687"/>
      <c r="AB431" s="507" t="s">
        <v>747</v>
      </c>
      <c r="AC431" s="69"/>
    </row>
    <row r="432" spans="1:35" ht="12.6" customHeight="1" x14ac:dyDescent="0.2">
      <c r="A432" s="111"/>
      <c r="B432" s="773" t="s">
        <v>751</v>
      </c>
      <c r="C432" s="970"/>
      <c r="D432" s="970"/>
      <c r="E432" s="970"/>
      <c r="F432" s="460">
        <f>4.056*X2</f>
        <v>3804.5280000000002</v>
      </c>
      <c r="G432" s="330">
        <f t="shared" si="1010"/>
        <v>3804.5280000000002</v>
      </c>
      <c r="H432" s="368">
        <f>F432+250</f>
        <v>4054.5280000000002</v>
      </c>
      <c r="I432" s="330">
        <f t="shared" ref="I432:I433" si="1011">+H432*$X$1</f>
        <v>4054.5280000000002</v>
      </c>
      <c r="J432" s="368">
        <f>F432+100</f>
        <v>3904.5280000000002</v>
      </c>
      <c r="K432" s="330">
        <f t="shared" ref="K432:K433" si="1012">+J432*$X$1</f>
        <v>3904.5280000000002</v>
      </c>
      <c r="L432" s="368">
        <f>F432+70</f>
        <v>3874.5280000000002</v>
      </c>
      <c r="M432" s="330">
        <f t="shared" ref="M432:M433" si="1013">+L432*$X$1</f>
        <v>3874.5280000000002</v>
      </c>
      <c r="N432" s="368">
        <f>F432+52</f>
        <v>3856.5280000000002</v>
      </c>
      <c r="O432" s="330">
        <f>+N432*$X$1</f>
        <v>3856.5280000000002</v>
      </c>
      <c r="P432" s="368">
        <f>F432+46</f>
        <v>3850.5280000000002</v>
      </c>
      <c r="Q432" s="330">
        <f t="shared" ref="Q432:Q433" si="1014">+P432*$X$1</f>
        <v>3850.5280000000002</v>
      </c>
      <c r="R432" s="368">
        <f>F432+41</f>
        <v>3845.5280000000002</v>
      </c>
      <c r="S432" s="330">
        <f>+R432*$X$1</f>
        <v>3845.5280000000002</v>
      </c>
      <c r="T432" s="368">
        <f>F432+36</f>
        <v>3840.5280000000002</v>
      </c>
      <c r="U432" s="330">
        <f>+T432*$X$1</f>
        <v>3840.5280000000002</v>
      </c>
      <c r="V432" s="368">
        <f>F432+32</f>
        <v>3836.5280000000002</v>
      </c>
      <c r="W432" s="330">
        <f>+V432*$X$1</f>
        <v>3836.5280000000002</v>
      </c>
      <c r="X432" s="687"/>
      <c r="Y432" s="687"/>
      <c r="Z432" s="687"/>
      <c r="AA432" s="687"/>
      <c r="AB432" s="507" t="s">
        <v>748</v>
      </c>
      <c r="AC432" s="69"/>
    </row>
    <row r="433" spans="1:33" ht="12.6" customHeight="1" x14ac:dyDescent="0.2">
      <c r="A433" s="111"/>
      <c r="B433" s="1088" t="s">
        <v>752</v>
      </c>
      <c r="C433" s="1089"/>
      <c r="D433" s="1089"/>
      <c r="E433" s="1089"/>
      <c r="F433" s="461">
        <f>4.056*X2</f>
        <v>3804.5280000000002</v>
      </c>
      <c r="G433" s="331">
        <f t="shared" si="1010"/>
        <v>3804.5280000000002</v>
      </c>
      <c r="H433" s="645">
        <f>F433+250</f>
        <v>4054.5280000000002</v>
      </c>
      <c r="I433" s="331">
        <f t="shared" si="1011"/>
        <v>4054.5280000000002</v>
      </c>
      <c r="J433" s="645">
        <f>F433+100</f>
        <v>3904.5280000000002</v>
      </c>
      <c r="K433" s="331">
        <f t="shared" si="1012"/>
        <v>3904.5280000000002</v>
      </c>
      <c r="L433" s="645">
        <f>F433+70</f>
        <v>3874.5280000000002</v>
      </c>
      <c r="M433" s="331">
        <f t="shared" si="1013"/>
        <v>3874.5280000000002</v>
      </c>
      <c r="N433" s="645">
        <f>F433+52</f>
        <v>3856.5280000000002</v>
      </c>
      <c r="O433" s="331">
        <f>+N433*$X$1</f>
        <v>3856.5280000000002</v>
      </c>
      <c r="P433" s="645">
        <f>F433+46</f>
        <v>3850.5280000000002</v>
      </c>
      <c r="Q433" s="331">
        <f t="shared" si="1014"/>
        <v>3850.5280000000002</v>
      </c>
      <c r="R433" s="645">
        <f>F433+41</f>
        <v>3845.5280000000002</v>
      </c>
      <c r="S433" s="331">
        <f>+R433*$X$1</f>
        <v>3845.5280000000002</v>
      </c>
      <c r="T433" s="645">
        <f>F433+36</f>
        <v>3840.5280000000002</v>
      </c>
      <c r="U433" s="331">
        <f>+T433*$X$1</f>
        <v>3840.5280000000002</v>
      </c>
      <c r="V433" s="645">
        <f>F433+32</f>
        <v>3836.5280000000002</v>
      </c>
      <c r="W433" s="331">
        <f>+V433*$X$1</f>
        <v>3836.5280000000002</v>
      </c>
      <c r="X433" s="687"/>
      <c r="Y433" s="687"/>
      <c r="Z433" s="687"/>
      <c r="AA433" s="687"/>
      <c r="AB433" s="507" t="s">
        <v>749</v>
      </c>
      <c r="AC433" s="69"/>
    </row>
    <row r="434" spans="1:33" ht="12.6" customHeight="1" x14ac:dyDescent="0.2">
      <c r="A434" s="111"/>
      <c r="B434" s="773" t="s">
        <v>753</v>
      </c>
      <c r="C434" s="970"/>
      <c r="D434" s="970"/>
      <c r="E434" s="970"/>
      <c r="F434" s="460"/>
      <c r="G434" s="330"/>
      <c r="H434" s="368"/>
      <c r="I434" s="330"/>
      <c r="J434" s="368"/>
      <c r="K434" s="330"/>
      <c r="L434" s="368"/>
      <c r="M434" s="330"/>
      <c r="N434" s="368"/>
      <c r="O434" s="330"/>
      <c r="P434" s="368"/>
      <c r="Q434" s="330"/>
      <c r="R434" s="368"/>
      <c r="S434" s="330"/>
      <c r="T434" s="368"/>
      <c r="U434" s="330"/>
      <c r="V434" s="368"/>
      <c r="W434" s="330"/>
      <c r="X434" s="687"/>
      <c r="Y434" s="687"/>
      <c r="Z434" s="687"/>
      <c r="AA434" s="687"/>
      <c r="AB434" s="507" t="s">
        <v>754</v>
      </c>
      <c r="AC434" s="69"/>
    </row>
    <row r="435" spans="1:33" ht="12.6" customHeight="1" x14ac:dyDescent="0.2">
      <c r="A435" s="20"/>
      <c r="B435" s="698" t="s">
        <v>389</v>
      </c>
      <c r="C435" s="693"/>
      <c r="D435" s="693"/>
      <c r="E435" s="694"/>
      <c r="F435" s="331">
        <v>1100</v>
      </c>
      <c r="G435" s="331">
        <f t="shared" ref="G435:G445" si="1015">+F435*$X$1</f>
        <v>1100</v>
      </c>
      <c r="H435" s="298"/>
      <c r="I435" s="1156" t="s">
        <v>574</v>
      </c>
      <c r="J435" s="1253"/>
      <c r="K435" s="1253"/>
      <c r="L435" s="1253"/>
      <c r="M435" s="1254"/>
      <c r="N435" s="640">
        <v>1600</v>
      </c>
      <c r="O435" s="331">
        <f>+N435*$X$1</f>
        <v>1600</v>
      </c>
      <c r="P435" s="112">
        <v>1570</v>
      </c>
      <c r="Q435" s="331">
        <f t="shared" ref="Q435" si="1016">+P435*$X$1</f>
        <v>1570</v>
      </c>
      <c r="R435" s="640">
        <v>1400</v>
      </c>
      <c r="S435" s="331">
        <f>+R435*$X$1</f>
        <v>1400</v>
      </c>
      <c r="T435" s="640">
        <v>1310</v>
      </c>
      <c r="U435" s="331">
        <f>+T435*$X$1</f>
        <v>1310</v>
      </c>
      <c r="V435" s="640">
        <v>1265</v>
      </c>
      <c r="W435" s="331">
        <f t="shared" ref="W435" si="1017">+V435*$X$1</f>
        <v>1265</v>
      </c>
      <c r="X435" s="145"/>
      <c r="Y435" s="145"/>
      <c r="Z435" s="145"/>
      <c r="AA435" s="148"/>
      <c r="AB435" s="31"/>
    </row>
    <row r="436" spans="1:33" ht="12.6" customHeight="1" x14ac:dyDescent="0.2">
      <c r="A436" s="20"/>
      <c r="B436" s="736" t="s">
        <v>390</v>
      </c>
      <c r="C436" s="739"/>
      <c r="D436" s="739"/>
      <c r="E436" s="740"/>
      <c r="F436" s="330">
        <v>1100</v>
      </c>
      <c r="G436" s="330">
        <f t="shared" si="1015"/>
        <v>1100</v>
      </c>
      <c r="H436" s="298"/>
      <c r="I436" s="1255"/>
      <c r="J436" s="1256"/>
      <c r="K436" s="1256"/>
      <c r="L436" s="1256"/>
      <c r="M436" s="1257"/>
      <c r="N436" s="368">
        <v>1600</v>
      </c>
      <c r="O436" s="330">
        <f>+N436*$X$1</f>
        <v>1600</v>
      </c>
      <c r="P436" s="106">
        <v>1570</v>
      </c>
      <c r="Q436" s="330">
        <f t="shared" ref="Q436:Q439" si="1018">+P436*$X$1</f>
        <v>1570</v>
      </c>
      <c r="R436" s="368">
        <v>1400</v>
      </c>
      <c r="S436" s="330">
        <f>+R436*$X$1</f>
        <v>1400</v>
      </c>
      <c r="T436" s="368">
        <v>1310</v>
      </c>
      <c r="U436" s="330">
        <f>+T436*$X$1</f>
        <v>1310</v>
      </c>
      <c r="V436" s="368">
        <v>1265</v>
      </c>
      <c r="W436" s="330">
        <f t="shared" ref="W436:W439" si="1019">+V436*$X$1</f>
        <v>1265</v>
      </c>
      <c r="X436" s="145"/>
      <c r="Y436" s="145"/>
      <c r="Z436" s="145"/>
      <c r="AA436" s="148"/>
      <c r="AB436" s="208"/>
    </row>
    <row r="437" spans="1:33" ht="12.6" customHeight="1" x14ac:dyDescent="0.2">
      <c r="A437" s="20"/>
      <c r="B437" s="698" t="s">
        <v>391</v>
      </c>
      <c r="C437" s="693"/>
      <c r="D437" s="693"/>
      <c r="E437" s="694"/>
      <c r="F437" s="331">
        <v>1100</v>
      </c>
      <c r="G437" s="331">
        <f t="shared" si="1015"/>
        <v>1100</v>
      </c>
      <c r="H437" s="19"/>
      <c r="I437" s="1258"/>
      <c r="J437" s="1259"/>
      <c r="K437" s="1259"/>
      <c r="L437" s="1259"/>
      <c r="M437" s="1260"/>
      <c r="N437" s="640">
        <v>1600</v>
      </c>
      <c r="O437" s="331">
        <f>+N437*$X$1</f>
        <v>1600</v>
      </c>
      <c r="P437" s="112">
        <v>1570</v>
      </c>
      <c r="Q437" s="331">
        <f t="shared" si="1018"/>
        <v>1570</v>
      </c>
      <c r="R437" s="640">
        <v>1400</v>
      </c>
      <c r="S437" s="331">
        <f>+R437*$X$1</f>
        <v>1400</v>
      </c>
      <c r="T437" s="640">
        <v>1310</v>
      </c>
      <c r="U437" s="331">
        <f>+T437*$X$1</f>
        <v>1310</v>
      </c>
      <c r="V437" s="640">
        <v>1265</v>
      </c>
      <c r="W437" s="331">
        <f t="shared" si="1019"/>
        <v>1265</v>
      </c>
      <c r="X437" s="145"/>
      <c r="Y437" s="145"/>
      <c r="Z437" s="145"/>
      <c r="AA437" s="148"/>
      <c r="AB437" s="208"/>
      <c r="AG437" s="246"/>
    </row>
    <row r="438" spans="1:33" ht="12.6" customHeight="1" x14ac:dyDescent="0.2">
      <c r="A438" s="20"/>
      <c r="B438" s="1169" t="s">
        <v>270</v>
      </c>
      <c r="C438" s="1264"/>
      <c r="D438" s="1264"/>
      <c r="E438" s="1264"/>
      <c r="F438" s="460">
        <f>3.11*X2</f>
        <v>2917.18</v>
      </c>
      <c r="G438" s="330">
        <f t="shared" si="1015"/>
        <v>2917.18</v>
      </c>
      <c r="H438" s="322"/>
      <c r="I438" s="322"/>
      <c r="J438" s="368">
        <f>F438+120</f>
        <v>3037.18</v>
      </c>
      <c r="K438" s="330">
        <f t="shared" ref="K438:K439" si="1020">+J438*$X$1</f>
        <v>3037.18</v>
      </c>
      <c r="L438" s="368">
        <f>F438+74</f>
        <v>2991.18</v>
      </c>
      <c r="M438" s="330">
        <f t="shared" ref="M438:M439" si="1021">+L438*$X$1</f>
        <v>2991.18</v>
      </c>
      <c r="N438" s="368">
        <f>F438+46</f>
        <v>2963.18</v>
      </c>
      <c r="O438" s="330">
        <f t="shared" ref="O438:O439" si="1022">+N438*$X$1</f>
        <v>2963.18</v>
      </c>
      <c r="P438" s="368">
        <f>F438+42</f>
        <v>2959.18</v>
      </c>
      <c r="Q438" s="330">
        <f t="shared" si="1018"/>
        <v>2959.18</v>
      </c>
      <c r="R438" s="368">
        <f>F438+35</f>
        <v>2952.18</v>
      </c>
      <c r="S438" s="330">
        <f t="shared" ref="S438:S439" si="1023">+R438*$X$1</f>
        <v>2952.18</v>
      </c>
      <c r="T438" s="108">
        <f t="shared" ref="T438:T439" si="1024">F438+29</f>
        <v>2946.18</v>
      </c>
      <c r="U438" s="293">
        <f t="shared" ref="U438:U439" si="1025">+T438*$X$1</f>
        <v>2946.18</v>
      </c>
      <c r="V438" s="108">
        <f>F438+24</f>
        <v>2941.18</v>
      </c>
      <c r="W438" s="293">
        <f t="shared" si="1019"/>
        <v>2941.18</v>
      </c>
      <c r="X438" s="710"/>
      <c r="Y438" s="710"/>
      <c r="Z438" s="710"/>
      <c r="AA438" s="712"/>
      <c r="AB438" s="208" t="s">
        <v>271</v>
      </c>
    </row>
    <row r="439" spans="1:33" ht="12.6" customHeight="1" x14ac:dyDescent="0.2">
      <c r="A439" s="20"/>
      <c r="B439" s="679" t="s">
        <v>459</v>
      </c>
      <c r="C439" s="695"/>
      <c r="D439" s="695"/>
      <c r="E439" s="695"/>
      <c r="F439" s="461">
        <f>1.6*X2</f>
        <v>1500.8000000000002</v>
      </c>
      <c r="G439" s="331">
        <f t="shared" si="1015"/>
        <v>1500.8000000000002</v>
      </c>
      <c r="H439" s="321"/>
      <c r="I439" s="321"/>
      <c r="J439" s="624">
        <f>F439+120</f>
        <v>1620.8000000000002</v>
      </c>
      <c r="K439" s="331">
        <f t="shared" si="1020"/>
        <v>1620.8000000000002</v>
      </c>
      <c r="L439" s="624">
        <f>F439+74</f>
        <v>1574.8000000000002</v>
      </c>
      <c r="M439" s="331">
        <f t="shared" si="1021"/>
        <v>1574.8000000000002</v>
      </c>
      <c r="N439" s="624">
        <f>F439+46</f>
        <v>1546.8000000000002</v>
      </c>
      <c r="O439" s="331">
        <f t="shared" si="1022"/>
        <v>1546.8000000000002</v>
      </c>
      <c r="P439" s="624">
        <f>F439+42</f>
        <v>1542.8000000000002</v>
      </c>
      <c r="Q439" s="331">
        <f t="shared" si="1018"/>
        <v>1542.8000000000002</v>
      </c>
      <c r="R439" s="624">
        <f>F439+35</f>
        <v>1535.8000000000002</v>
      </c>
      <c r="S439" s="331">
        <f t="shared" si="1023"/>
        <v>1535.8000000000002</v>
      </c>
      <c r="T439" s="107">
        <f t="shared" si="1024"/>
        <v>1529.8000000000002</v>
      </c>
      <c r="U439" s="356">
        <f t="shared" si="1025"/>
        <v>1529.8000000000002</v>
      </c>
      <c r="V439" s="107">
        <f>F439+24</f>
        <v>1524.8000000000002</v>
      </c>
      <c r="W439" s="356">
        <f t="shared" si="1019"/>
        <v>1524.8000000000002</v>
      </c>
      <c r="X439" s="710"/>
      <c r="Y439" s="710"/>
      <c r="Z439" s="710"/>
      <c r="AA439" s="712"/>
      <c r="AB439" s="208" t="s">
        <v>500</v>
      </c>
    </row>
    <row r="440" spans="1:33" s="69" customFormat="1" ht="12.6" customHeight="1" x14ac:dyDescent="0.25">
      <c r="A440" s="101"/>
      <c r="B440" s="945" t="s">
        <v>387</v>
      </c>
      <c r="C440" s="1265"/>
      <c r="D440" s="1265"/>
      <c r="E440" s="1265"/>
      <c r="F440" s="330">
        <v>580</v>
      </c>
      <c r="G440" s="330">
        <f t="shared" si="1015"/>
        <v>580</v>
      </c>
      <c r="H440" s="320"/>
      <c r="I440" s="1156" t="s">
        <v>569</v>
      </c>
      <c r="J440" s="1157"/>
      <c r="K440" s="1157"/>
      <c r="L440" s="1158"/>
      <c r="M440" s="1159"/>
      <c r="N440" s="368">
        <v>1150</v>
      </c>
      <c r="O440" s="330">
        <f t="shared" ref="O440:O445" si="1026">+N440*$X$1</f>
        <v>1150</v>
      </c>
      <c r="P440" s="345">
        <v>1096</v>
      </c>
      <c r="Q440" s="330">
        <f t="shared" ref="Q440:Q449" si="1027">+P440*$X$1</f>
        <v>1096</v>
      </c>
      <c r="R440" s="368">
        <v>1020</v>
      </c>
      <c r="S440" s="330">
        <f t="shared" ref="S440:S445" si="1028">+R440*$X$1</f>
        <v>1020</v>
      </c>
      <c r="T440" s="368">
        <v>930</v>
      </c>
      <c r="U440" s="330">
        <f t="shared" ref="U440:U445" si="1029">+T440*$X$1</f>
        <v>930</v>
      </c>
      <c r="V440" s="368">
        <v>880</v>
      </c>
      <c r="W440" s="330">
        <f t="shared" ref="W440:W445" si="1030">+V440*$X$1</f>
        <v>880</v>
      </c>
      <c r="X440" s="162"/>
      <c r="Y440" s="162"/>
      <c r="Z440" s="162"/>
      <c r="AA440" s="163"/>
      <c r="AB440" s="527" t="s">
        <v>272</v>
      </c>
    </row>
    <row r="441" spans="1:33" s="69" customFormat="1" ht="12.6" customHeight="1" x14ac:dyDescent="0.25">
      <c r="A441" s="101"/>
      <c r="B441" s="679" t="s">
        <v>388</v>
      </c>
      <c r="C441" s="695"/>
      <c r="D441" s="695"/>
      <c r="E441" s="695"/>
      <c r="F441" s="331">
        <v>580</v>
      </c>
      <c r="G441" s="331">
        <f t="shared" si="1015"/>
        <v>580</v>
      </c>
      <c r="H441" s="326"/>
      <c r="I441" s="1160"/>
      <c r="J441" s="1161"/>
      <c r="K441" s="1161"/>
      <c r="L441" s="1162"/>
      <c r="M441" s="1163"/>
      <c r="N441" s="640">
        <v>1430</v>
      </c>
      <c r="O441" s="331">
        <f t="shared" si="1026"/>
        <v>1430</v>
      </c>
      <c r="P441" s="344">
        <v>1380</v>
      </c>
      <c r="Q441" s="331">
        <f t="shared" si="1027"/>
        <v>1380</v>
      </c>
      <c r="R441" s="640">
        <v>1310</v>
      </c>
      <c r="S441" s="331">
        <f t="shared" si="1028"/>
        <v>1310</v>
      </c>
      <c r="T441" s="640">
        <v>1270</v>
      </c>
      <c r="U441" s="331">
        <f t="shared" si="1029"/>
        <v>1270</v>
      </c>
      <c r="V441" s="640">
        <v>1198</v>
      </c>
      <c r="W441" s="331">
        <f t="shared" si="1030"/>
        <v>1198</v>
      </c>
      <c r="X441" s="186"/>
      <c r="Y441" s="145"/>
      <c r="Z441" s="145"/>
      <c r="AA441" s="148"/>
      <c r="AB441" s="528"/>
    </row>
    <row r="442" spans="1:33" s="69" customFormat="1" ht="12.6" customHeight="1" x14ac:dyDescent="0.25">
      <c r="A442" s="101"/>
      <c r="B442" s="696" t="s">
        <v>408</v>
      </c>
      <c r="C442" s="697"/>
      <c r="D442" s="697"/>
      <c r="E442" s="697"/>
      <c r="F442" s="330">
        <v>580</v>
      </c>
      <c r="G442" s="330">
        <f t="shared" si="1015"/>
        <v>580</v>
      </c>
      <c r="H442" s="318"/>
      <c r="I442" s="1160"/>
      <c r="J442" s="1161"/>
      <c r="K442" s="1161"/>
      <c r="L442" s="1162"/>
      <c r="M442" s="1163"/>
      <c r="N442" s="368">
        <v>1150</v>
      </c>
      <c r="O442" s="330">
        <f t="shared" ref="O442:O443" si="1031">+N442*$X$1</f>
        <v>1150</v>
      </c>
      <c r="P442" s="345">
        <v>1096</v>
      </c>
      <c r="Q442" s="330">
        <f t="shared" ref="Q442:Q443" si="1032">+P442*$X$1</f>
        <v>1096</v>
      </c>
      <c r="R442" s="368">
        <v>1020</v>
      </c>
      <c r="S442" s="330">
        <f t="shared" ref="S442:S443" si="1033">+R442*$X$1</f>
        <v>1020</v>
      </c>
      <c r="T442" s="368">
        <v>930</v>
      </c>
      <c r="U442" s="330">
        <f t="shared" ref="U442:U443" si="1034">+T442*$X$1</f>
        <v>930</v>
      </c>
      <c r="V442" s="368">
        <v>880</v>
      </c>
      <c r="W442" s="330">
        <f t="shared" ref="W442:W443" si="1035">+V442*$X$1</f>
        <v>880</v>
      </c>
      <c r="X442" s="145"/>
      <c r="Y442" s="145"/>
      <c r="Z442" s="145"/>
      <c r="AA442" s="148"/>
      <c r="AB442" s="527" t="s">
        <v>273</v>
      </c>
    </row>
    <row r="443" spans="1:33" s="69" customFormat="1" ht="12" customHeight="1" x14ac:dyDescent="0.25">
      <c r="A443" s="101"/>
      <c r="B443" s="679" t="s">
        <v>409</v>
      </c>
      <c r="C443" s="695"/>
      <c r="D443" s="695"/>
      <c r="E443" s="695"/>
      <c r="F443" s="331">
        <v>580</v>
      </c>
      <c r="G443" s="331">
        <f t="shared" si="1015"/>
        <v>580</v>
      </c>
      <c r="H443" s="326"/>
      <c r="I443" s="1160"/>
      <c r="J443" s="1161"/>
      <c r="K443" s="1161"/>
      <c r="L443" s="1162"/>
      <c r="M443" s="1163"/>
      <c r="N443" s="640">
        <v>1430</v>
      </c>
      <c r="O443" s="331">
        <f t="shared" si="1031"/>
        <v>1430</v>
      </c>
      <c r="P443" s="344">
        <v>1380</v>
      </c>
      <c r="Q443" s="331">
        <f t="shared" si="1032"/>
        <v>1380</v>
      </c>
      <c r="R443" s="640">
        <v>1310</v>
      </c>
      <c r="S443" s="331">
        <f t="shared" si="1033"/>
        <v>1310</v>
      </c>
      <c r="T443" s="640">
        <v>1270</v>
      </c>
      <c r="U443" s="331">
        <f t="shared" si="1034"/>
        <v>1270</v>
      </c>
      <c r="V443" s="640">
        <v>1198</v>
      </c>
      <c r="W443" s="331">
        <f t="shared" si="1035"/>
        <v>1198</v>
      </c>
      <c r="X443" s="162"/>
      <c r="Y443" s="162"/>
      <c r="Z443" s="145"/>
      <c r="AA443" s="148"/>
      <c r="AB443" s="528"/>
    </row>
    <row r="444" spans="1:33" s="69" customFormat="1" ht="12.6" customHeight="1" x14ac:dyDescent="0.25">
      <c r="A444" s="101"/>
      <c r="B444" s="696" t="s">
        <v>274</v>
      </c>
      <c r="C444" s="697"/>
      <c r="D444" s="697"/>
      <c r="E444" s="697"/>
      <c r="F444" s="330">
        <v>580</v>
      </c>
      <c r="G444" s="330">
        <f t="shared" si="1015"/>
        <v>580</v>
      </c>
      <c r="H444" s="318"/>
      <c r="I444" s="1164"/>
      <c r="J444" s="1165"/>
      <c r="K444" s="1165"/>
      <c r="L444" s="1162"/>
      <c r="M444" s="1163"/>
      <c r="N444" s="368">
        <v>1300</v>
      </c>
      <c r="O444" s="330">
        <f t="shared" si="1026"/>
        <v>1300</v>
      </c>
      <c r="P444" s="345">
        <v>1244</v>
      </c>
      <c r="Q444" s="330">
        <f t="shared" si="1027"/>
        <v>1244</v>
      </c>
      <c r="R444" s="368">
        <v>1117</v>
      </c>
      <c r="S444" s="330">
        <f t="shared" si="1028"/>
        <v>1117</v>
      </c>
      <c r="T444" s="368">
        <v>1040</v>
      </c>
      <c r="U444" s="330">
        <f t="shared" si="1029"/>
        <v>1040</v>
      </c>
      <c r="V444" s="368">
        <v>979</v>
      </c>
      <c r="W444" s="330">
        <f t="shared" si="1030"/>
        <v>979</v>
      </c>
      <c r="X444" s="145"/>
      <c r="Y444" s="145"/>
      <c r="Z444" s="145"/>
      <c r="AA444" s="148"/>
      <c r="AB444" s="527" t="s">
        <v>275</v>
      </c>
      <c r="AE444" s="268"/>
    </row>
    <row r="445" spans="1:33" s="69" customFormat="1" ht="12.6" customHeight="1" x14ac:dyDescent="0.25">
      <c r="A445" s="101"/>
      <c r="B445" s="679" t="s">
        <v>276</v>
      </c>
      <c r="C445" s="695"/>
      <c r="D445" s="695"/>
      <c r="E445" s="695"/>
      <c r="F445" s="331">
        <v>580</v>
      </c>
      <c r="G445" s="331">
        <f t="shared" si="1015"/>
        <v>580</v>
      </c>
      <c r="H445" s="326"/>
      <c r="I445" s="1166"/>
      <c r="J445" s="1167"/>
      <c r="K445" s="1167"/>
      <c r="L445" s="1167"/>
      <c r="M445" s="1168"/>
      <c r="N445" s="640">
        <v>1580</v>
      </c>
      <c r="O445" s="331">
        <f t="shared" si="1026"/>
        <v>1580</v>
      </c>
      <c r="P445" s="344">
        <v>1512</v>
      </c>
      <c r="Q445" s="331">
        <f t="shared" si="1027"/>
        <v>1512</v>
      </c>
      <c r="R445" s="640">
        <v>1440</v>
      </c>
      <c r="S445" s="331">
        <f t="shared" si="1028"/>
        <v>1440</v>
      </c>
      <c r="T445" s="640">
        <v>1402</v>
      </c>
      <c r="U445" s="331">
        <f t="shared" si="1029"/>
        <v>1402</v>
      </c>
      <c r="V445" s="640">
        <v>1336</v>
      </c>
      <c r="W445" s="331">
        <f t="shared" si="1030"/>
        <v>1336</v>
      </c>
      <c r="X445" s="145"/>
      <c r="Y445" s="145"/>
      <c r="Z445" s="145"/>
      <c r="AA445" s="148"/>
      <c r="AB445" s="527" t="s">
        <v>277</v>
      </c>
    </row>
    <row r="446" spans="1:33" ht="12.6" customHeight="1" x14ac:dyDescent="0.2">
      <c r="A446" s="20"/>
      <c r="B446" s="736" t="s">
        <v>278</v>
      </c>
      <c r="C446" s="739"/>
      <c r="D446" s="739"/>
      <c r="E446" s="740"/>
      <c r="F446" s="460">
        <f>2.95*X2</f>
        <v>2767.1000000000004</v>
      </c>
      <c r="G446" s="330">
        <f t="shared" ref="G446:G447" si="1036">+F446*$X$1</f>
        <v>2767.1000000000004</v>
      </c>
      <c r="H446" s="368">
        <f>F446+250</f>
        <v>3017.1000000000004</v>
      </c>
      <c r="I446" s="330">
        <f t="shared" ref="I446:I450" si="1037">+H446*$X$1</f>
        <v>3017.1000000000004</v>
      </c>
      <c r="J446" s="368">
        <f>F446+100</f>
        <v>2867.1000000000004</v>
      </c>
      <c r="K446" s="330">
        <f t="shared" ref="K446:K450" si="1038">+J446*$X$1</f>
        <v>2867.1000000000004</v>
      </c>
      <c r="L446" s="368">
        <f>F446+70</f>
        <v>2837.1000000000004</v>
      </c>
      <c r="M446" s="330">
        <f t="shared" ref="M446:M449" si="1039">+L446*$X$1</f>
        <v>2837.1000000000004</v>
      </c>
      <c r="N446" s="368">
        <f>F446+52</f>
        <v>2819.1000000000004</v>
      </c>
      <c r="O446" s="330">
        <f>+N446*$X$1</f>
        <v>2819.1000000000004</v>
      </c>
      <c r="P446" s="368">
        <f>F446+46</f>
        <v>2813.1000000000004</v>
      </c>
      <c r="Q446" s="330">
        <f t="shared" si="1027"/>
        <v>2813.1000000000004</v>
      </c>
      <c r="R446" s="368">
        <f>F446+41</f>
        <v>2808.1000000000004</v>
      </c>
      <c r="S446" s="330">
        <f>+R446*$X$1</f>
        <v>2808.1000000000004</v>
      </c>
      <c r="T446" s="368">
        <f>F446+36</f>
        <v>2803.1000000000004</v>
      </c>
      <c r="U446" s="330">
        <f>+T446*$X$1</f>
        <v>2803.1000000000004</v>
      </c>
      <c r="V446" s="368">
        <f>F446+32</f>
        <v>2799.1000000000004</v>
      </c>
      <c r="W446" s="330">
        <f>+V446*$X$1</f>
        <v>2799.1000000000004</v>
      </c>
      <c r="X446" s="687"/>
      <c r="Y446" s="687"/>
      <c r="Z446" s="687"/>
      <c r="AA446" s="688"/>
      <c r="AB446" s="208" t="s">
        <v>279</v>
      </c>
    </row>
    <row r="447" spans="1:33" ht="12.6" customHeight="1" x14ac:dyDescent="0.2">
      <c r="A447" s="20"/>
      <c r="B447" s="698" t="s">
        <v>280</v>
      </c>
      <c r="C447" s="693"/>
      <c r="D447" s="693"/>
      <c r="E447" s="694"/>
      <c r="F447" s="461">
        <f>2.23*X2</f>
        <v>2091.7399999999998</v>
      </c>
      <c r="G447" s="331">
        <f t="shared" si="1036"/>
        <v>2091.7399999999998</v>
      </c>
      <c r="H447" s="645">
        <f>F447+250</f>
        <v>2341.7399999999998</v>
      </c>
      <c r="I447" s="331">
        <f t="shared" si="1037"/>
        <v>2341.7399999999998</v>
      </c>
      <c r="J447" s="645">
        <f>F447+100</f>
        <v>2191.7399999999998</v>
      </c>
      <c r="K447" s="331">
        <f t="shared" si="1038"/>
        <v>2191.7399999999998</v>
      </c>
      <c r="L447" s="645">
        <f>F447+70</f>
        <v>2161.7399999999998</v>
      </c>
      <c r="M447" s="331">
        <f t="shared" si="1039"/>
        <v>2161.7399999999998</v>
      </c>
      <c r="N447" s="645">
        <f>F447+52</f>
        <v>2143.7399999999998</v>
      </c>
      <c r="O447" s="331">
        <f>+N447*$X$1</f>
        <v>2143.7399999999998</v>
      </c>
      <c r="P447" s="645">
        <f>F447+46</f>
        <v>2137.7399999999998</v>
      </c>
      <c r="Q447" s="331">
        <f t="shared" si="1027"/>
        <v>2137.7399999999998</v>
      </c>
      <c r="R447" s="645">
        <f>F447+41</f>
        <v>2132.7399999999998</v>
      </c>
      <c r="S447" s="331">
        <f>+R447*$X$1</f>
        <v>2132.7399999999998</v>
      </c>
      <c r="T447" s="645">
        <f>F447+36</f>
        <v>2127.7399999999998</v>
      </c>
      <c r="U447" s="331">
        <f>+T447*$X$1</f>
        <v>2127.7399999999998</v>
      </c>
      <c r="V447" s="645">
        <f>F447+32</f>
        <v>2123.7399999999998</v>
      </c>
      <c r="W447" s="331">
        <f>+V447*$X$1</f>
        <v>2123.7399999999998</v>
      </c>
      <c r="X447" s="687"/>
      <c r="Y447" s="687"/>
      <c r="Z447" s="687"/>
      <c r="AA447" s="688"/>
      <c r="AB447" s="208" t="s">
        <v>492</v>
      </c>
    </row>
    <row r="448" spans="1:33" ht="12.6" customHeight="1" x14ac:dyDescent="0.2">
      <c r="A448" s="20"/>
      <c r="B448" s="760" t="s">
        <v>904</v>
      </c>
      <c r="C448" s="761"/>
      <c r="D448" s="761"/>
      <c r="E448" s="762"/>
      <c r="F448" s="460">
        <v>3190</v>
      </c>
      <c r="G448" s="330">
        <f t="shared" ref="G448" si="1040">+F448*$X$1</f>
        <v>3190</v>
      </c>
      <c r="H448" s="368">
        <f>F448+250</f>
        <v>3440</v>
      </c>
      <c r="I448" s="330">
        <f t="shared" ref="I448" si="1041">+H448*$X$1</f>
        <v>3440</v>
      </c>
      <c r="J448" s="368">
        <f>F448+100</f>
        <v>3290</v>
      </c>
      <c r="K448" s="330">
        <f t="shared" ref="K448" si="1042">+J448*$X$1</f>
        <v>3290</v>
      </c>
      <c r="L448" s="368">
        <f>F448+70</f>
        <v>3260</v>
      </c>
      <c r="M448" s="330">
        <f t="shared" ref="M448" si="1043">+L448*$X$1</f>
        <v>3260</v>
      </c>
      <c r="N448" s="368">
        <f>F448+52</f>
        <v>3242</v>
      </c>
      <c r="O448" s="330">
        <f>+N448*$X$1</f>
        <v>3242</v>
      </c>
      <c r="P448" s="368">
        <f>F448+46</f>
        <v>3236</v>
      </c>
      <c r="Q448" s="330">
        <f t="shared" ref="Q448" si="1044">+P448*$X$1</f>
        <v>3236</v>
      </c>
      <c r="R448" s="368">
        <f>F448+41</f>
        <v>3231</v>
      </c>
      <c r="S448" s="330">
        <f>+R448*$X$1</f>
        <v>3231</v>
      </c>
      <c r="T448" s="368">
        <f>F448+36</f>
        <v>3226</v>
      </c>
      <c r="U448" s="330">
        <f>+T448*$X$1</f>
        <v>3226</v>
      </c>
      <c r="V448" s="368">
        <f>F448+32</f>
        <v>3222</v>
      </c>
      <c r="W448" s="330">
        <f>+V448*$X$1</f>
        <v>3222</v>
      </c>
      <c r="X448" s="687"/>
      <c r="Y448" s="687"/>
      <c r="Z448" s="687"/>
      <c r="AA448" s="688"/>
      <c r="AB448" s="208" t="s">
        <v>903</v>
      </c>
    </row>
    <row r="449" spans="1:28" ht="12.6" customHeight="1" x14ac:dyDescent="0.2">
      <c r="A449" s="20"/>
      <c r="B449" s="698" t="s">
        <v>443</v>
      </c>
      <c r="C449" s="693"/>
      <c r="D449" s="693"/>
      <c r="E449" s="694"/>
      <c r="F449" s="461">
        <f>1.99*X2</f>
        <v>1866.62</v>
      </c>
      <c r="G449" s="331">
        <f t="shared" ref="G449:G450" si="1045">+F449*$X$1</f>
        <v>1866.62</v>
      </c>
      <c r="H449" s="645">
        <f>F449+250</f>
        <v>2116.62</v>
      </c>
      <c r="I449" s="331">
        <f t="shared" si="1037"/>
        <v>2116.62</v>
      </c>
      <c r="J449" s="645">
        <f>F449+100</f>
        <v>1966.62</v>
      </c>
      <c r="K449" s="331">
        <f t="shared" si="1038"/>
        <v>1966.62</v>
      </c>
      <c r="L449" s="645">
        <f>F449+70</f>
        <v>1936.62</v>
      </c>
      <c r="M449" s="331">
        <f t="shared" si="1039"/>
        <v>1936.62</v>
      </c>
      <c r="N449" s="645">
        <f>F449+52</f>
        <v>1918.62</v>
      </c>
      <c r="O449" s="331">
        <f>+N449*$X$1</f>
        <v>1918.62</v>
      </c>
      <c r="P449" s="645">
        <f>F449+46</f>
        <v>1912.62</v>
      </c>
      <c r="Q449" s="331">
        <f t="shared" si="1027"/>
        <v>1912.62</v>
      </c>
      <c r="R449" s="645">
        <f>F449+41</f>
        <v>1907.62</v>
      </c>
      <c r="S449" s="331">
        <f>+R449*$X$1</f>
        <v>1907.62</v>
      </c>
      <c r="T449" s="645">
        <f>F449+36</f>
        <v>1902.62</v>
      </c>
      <c r="U449" s="331">
        <f>+T449*$X$1</f>
        <v>1902.62</v>
      </c>
      <c r="V449" s="645">
        <f>F449+32</f>
        <v>1898.62</v>
      </c>
      <c r="W449" s="331">
        <f>+V449*$X$1</f>
        <v>1898.62</v>
      </c>
      <c r="X449" s="687"/>
      <c r="Y449" s="804"/>
      <c r="Z449" s="804"/>
      <c r="AA449" s="688"/>
      <c r="AB449" s="208" t="s">
        <v>493</v>
      </c>
    </row>
    <row r="450" spans="1:28" ht="12.6" customHeight="1" x14ac:dyDescent="0.2">
      <c r="A450" s="111"/>
      <c r="B450" s="946" t="s">
        <v>281</v>
      </c>
      <c r="C450" s="904"/>
      <c r="D450" s="904"/>
      <c r="E450" s="904"/>
      <c r="F450" s="394">
        <v>660</v>
      </c>
      <c r="G450" s="393">
        <f t="shared" si="1045"/>
        <v>660</v>
      </c>
      <c r="H450" s="644">
        <f>F450+250</f>
        <v>910</v>
      </c>
      <c r="I450" s="393">
        <f t="shared" si="1037"/>
        <v>910</v>
      </c>
      <c r="J450" s="644">
        <f>F450+100</f>
        <v>760</v>
      </c>
      <c r="K450" s="393">
        <f t="shared" si="1038"/>
        <v>760</v>
      </c>
      <c r="L450" s="644"/>
      <c r="M450" s="393"/>
      <c r="N450" s="644"/>
      <c r="O450" s="393"/>
      <c r="P450" s="644"/>
      <c r="Q450" s="393"/>
      <c r="R450" s="644"/>
      <c r="S450" s="393"/>
      <c r="T450" s="644"/>
      <c r="U450" s="393"/>
      <c r="V450" s="644"/>
      <c r="W450" s="393"/>
      <c r="X450" s="687"/>
      <c r="Y450" s="687"/>
      <c r="Z450" s="687"/>
      <c r="AA450" s="687"/>
      <c r="AB450" s="508" t="s">
        <v>282</v>
      </c>
    </row>
    <row r="451" spans="1:28" ht="12.6" customHeight="1" x14ac:dyDescent="0.2">
      <c r="A451" s="20"/>
      <c r="B451" s="1261" t="s">
        <v>283</v>
      </c>
      <c r="C451" s="1262"/>
      <c r="D451" s="1262"/>
      <c r="E451" s="1262"/>
      <c r="F451" s="1262"/>
      <c r="G451" s="1262"/>
      <c r="H451" s="1262"/>
      <c r="I451" s="1262"/>
      <c r="J451" s="1262"/>
      <c r="K451" s="1262"/>
      <c r="L451" s="1262"/>
      <c r="M451" s="1262"/>
      <c r="N451" s="1262"/>
      <c r="O451" s="1262"/>
      <c r="P451" s="1262"/>
      <c r="Q451" s="1262"/>
      <c r="R451" s="1262"/>
      <c r="S451" s="1262"/>
      <c r="T451" s="1262"/>
      <c r="U451" s="1262"/>
      <c r="V451" s="1262"/>
      <c r="W451" s="1263"/>
      <c r="X451" s="1239"/>
      <c r="Y451" s="1240"/>
      <c r="Z451" s="1240"/>
      <c r="AA451" s="1240"/>
      <c r="AB451" s="526"/>
    </row>
    <row r="452" spans="1:28" ht="12.6" customHeight="1" x14ac:dyDescent="0.2">
      <c r="A452" s="20"/>
      <c r="B452" s="785" t="s">
        <v>284</v>
      </c>
      <c r="C452" s="786"/>
      <c r="D452" s="786"/>
      <c r="E452" s="786"/>
      <c r="F452" s="371">
        <v>3150</v>
      </c>
      <c r="G452" s="331">
        <f t="shared" ref="G452:G458" si="1046">+F452*$X$1</f>
        <v>3150</v>
      </c>
      <c r="H452" s="321"/>
      <c r="I452" s="404"/>
      <c r="J452" s="457">
        <f>F452+66</f>
        <v>3216</v>
      </c>
      <c r="K452" s="331"/>
      <c r="L452" s="549">
        <f t="shared" ref="L452:L465" si="1047">F452+280</f>
        <v>3430</v>
      </c>
      <c r="M452" s="331">
        <f t="shared" ref="M452:M465" si="1048">+L452*$X$1</f>
        <v>3430</v>
      </c>
      <c r="N452" s="549">
        <f t="shared" ref="N452:N465" si="1049">F452+250</f>
        <v>3400</v>
      </c>
      <c r="O452" s="331">
        <f t="shared" ref="O452:O457" si="1050">+N452*$X$1</f>
        <v>3400</v>
      </c>
      <c r="P452" s="549">
        <f t="shared" ref="P452:P465" si="1051">F452+230</f>
        <v>3380</v>
      </c>
      <c r="Q452" s="331">
        <f t="shared" ref="Q452:Q457" si="1052">+P452*$X$1</f>
        <v>3380</v>
      </c>
      <c r="R452" s="549">
        <f t="shared" ref="R452:R465" si="1053">F452+210</f>
        <v>3360</v>
      </c>
      <c r="S452" s="331">
        <f t="shared" ref="S452:S457" si="1054">+R452*$X$1</f>
        <v>3360</v>
      </c>
      <c r="T452" s="549">
        <f t="shared" ref="T452:T465" si="1055">F452+190</f>
        <v>3340</v>
      </c>
      <c r="U452" s="331">
        <f t="shared" ref="U452:U457" si="1056">+T452*$X$1</f>
        <v>3340</v>
      </c>
      <c r="V452" s="93"/>
      <c r="W452" s="405"/>
      <c r="X452" s="159"/>
      <c r="Y452" s="141"/>
      <c r="Z452" s="141"/>
      <c r="AA452" s="141"/>
      <c r="AB452" s="208" t="s">
        <v>285</v>
      </c>
    </row>
    <row r="453" spans="1:28" ht="12.6" customHeight="1" x14ac:dyDescent="0.2">
      <c r="A453" s="20"/>
      <c r="B453" s="1247" t="s">
        <v>286</v>
      </c>
      <c r="C453" s="1248"/>
      <c r="D453" s="1248"/>
      <c r="E453" s="1248"/>
      <c r="F453" s="425">
        <v>4410</v>
      </c>
      <c r="G453" s="330">
        <f t="shared" si="1046"/>
        <v>4410</v>
      </c>
      <c r="H453" s="327"/>
      <c r="I453" s="408"/>
      <c r="J453" s="368">
        <f>F453+66</f>
        <v>4476</v>
      </c>
      <c r="K453" s="330"/>
      <c r="L453" s="368">
        <f t="shared" si="1047"/>
        <v>4690</v>
      </c>
      <c r="M453" s="330">
        <f t="shared" si="1048"/>
        <v>4690</v>
      </c>
      <c r="N453" s="368">
        <f t="shared" si="1049"/>
        <v>4660</v>
      </c>
      <c r="O453" s="330">
        <f t="shared" si="1050"/>
        <v>4660</v>
      </c>
      <c r="P453" s="368">
        <f t="shared" si="1051"/>
        <v>4640</v>
      </c>
      <c r="Q453" s="330">
        <f t="shared" si="1052"/>
        <v>4640</v>
      </c>
      <c r="R453" s="368">
        <f t="shared" si="1053"/>
        <v>4620</v>
      </c>
      <c r="S453" s="330">
        <f t="shared" si="1054"/>
        <v>4620</v>
      </c>
      <c r="T453" s="368">
        <f t="shared" si="1055"/>
        <v>4600</v>
      </c>
      <c r="U453" s="330">
        <f t="shared" si="1056"/>
        <v>4600</v>
      </c>
      <c r="V453" s="75"/>
      <c r="W453" s="406"/>
      <c r="X453" s="159"/>
      <c r="Y453" s="141"/>
      <c r="Z453" s="141"/>
      <c r="AA453" s="141"/>
      <c r="AB453" s="526"/>
    </row>
    <row r="454" spans="1:28" ht="12.6" customHeight="1" x14ac:dyDescent="0.2">
      <c r="A454" s="20"/>
      <c r="B454" s="679" t="s">
        <v>287</v>
      </c>
      <c r="C454" s="695"/>
      <c r="D454" s="695"/>
      <c r="E454" s="695"/>
      <c r="F454" s="331">
        <v>3420</v>
      </c>
      <c r="G454" s="331">
        <f t="shared" si="1046"/>
        <v>3420</v>
      </c>
      <c r="H454" s="321"/>
      <c r="I454" s="404"/>
      <c r="J454" s="457">
        <f>F454+80</f>
        <v>3500</v>
      </c>
      <c r="K454" s="331"/>
      <c r="L454" s="549">
        <f t="shared" si="1047"/>
        <v>3700</v>
      </c>
      <c r="M454" s="331">
        <f t="shared" si="1048"/>
        <v>3700</v>
      </c>
      <c r="N454" s="549">
        <f t="shared" si="1049"/>
        <v>3670</v>
      </c>
      <c r="O454" s="331">
        <f t="shared" si="1050"/>
        <v>3670</v>
      </c>
      <c r="P454" s="549">
        <f t="shared" si="1051"/>
        <v>3650</v>
      </c>
      <c r="Q454" s="331">
        <f t="shared" si="1052"/>
        <v>3650</v>
      </c>
      <c r="R454" s="549">
        <f t="shared" si="1053"/>
        <v>3630</v>
      </c>
      <c r="S454" s="331">
        <f t="shared" si="1054"/>
        <v>3630</v>
      </c>
      <c r="T454" s="549">
        <f t="shared" si="1055"/>
        <v>3610</v>
      </c>
      <c r="U454" s="331">
        <f t="shared" si="1056"/>
        <v>3610</v>
      </c>
      <c r="V454" s="93"/>
      <c r="W454" s="405"/>
      <c r="X454" s="159"/>
      <c r="Y454" s="141"/>
      <c r="Z454" s="141"/>
      <c r="AA454" s="141"/>
      <c r="AB454" s="208" t="s">
        <v>288</v>
      </c>
    </row>
    <row r="455" spans="1:28" ht="12.6" customHeight="1" x14ac:dyDescent="0.2">
      <c r="A455" s="20"/>
      <c r="B455" s="1247" t="s">
        <v>289</v>
      </c>
      <c r="C455" s="1248"/>
      <c r="D455" s="1248"/>
      <c r="E455" s="1248"/>
      <c r="F455" s="425">
        <v>4870</v>
      </c>
      <c r="G455" s="330">
        <f t="shared" si="1046"/>
        <v>4870</v>
      </c>
      <c r="H455" s="327"/>
      <c r="I455" s="408"/>
      <c r="J455" s="368">
        <f>F455+80</f>
        <v>4950</v>
      </c>
      <c r="K455" s="330"/>
      <c r="L455" s="368">
        <f t="shared" si="1047"/>
        <v>5150</v>
      </c>
      <c r="M455" s="330">
        <f t="shared" si="1048"/>
        <v>5150</v>
      </c>
      <c r="N455" s="368">
        <f t="shared" si="1049"/>
        <v>5120</v>
      </c>
      <c r="O455" s="330">
        <f t="shared" si="1050"/>
        <v>5120</v>
      </c>
      <c r="P455" s="368">
        <f t="shared" si="1051"/>
        <v>5100</v>
      </c>
      <c r="Q455" s="330">
        <f t="shared" si="1052"/>
        <v>5100</v>
      </c>
      <c r="R455" s="368">
        <f t="shared" si="1053"/>
        <v>5080</v>
      </c>
      <c r="S455" s="330">
        <f t="shared" si="1054"/>
        <v>5080</v>
      </c>
      <c r="T455" s="368">
        <f t="shared" si="1055"/>
        <v>5060</v>
      </c>
      <c r="U455" s="330">
        <f t="shared" si="1056"/>
        <v>5060</v>
      </c>
      <c r="V455" s="41"/>
      <c r="W455" s="407"/>
      <c r="X455" s="159"/>
      <c r="Y455" s="141"/>
      <c r="Z455" s="141"/>
      <c r="AA455" s="141"/>
      <c r="AB455" s="526"/>
    </row>
    <row r="456" spans="1:28" ht="12.6" customHeight="1" x14ac:dyDescent="0.2">
      <c r="A456" s="20"/>
      <c r="B456" s="679" t="s">
        <v>730</v>
      </c>
      <c r="C456" s="695"/>
      <c r="D456" s="695"/>
      <c r="E456" s="695"/>
      <c r="F456" s="331">
        <v>4622</v>
      </c>
      <c r="G456" s="331">
        <f t="shared" si="1046"/>
        <v>4622</v>
      </c>
      <c r="H456" s="321"/>
      <c r="I456" s="404"/>
      <c r="J456" s="457">
        <f>F456+66</f>
        <v>4688</v>
      </c>
      <c r="K456" s="331"/>
      <c r="L456" s="549">
        <f t="shared" si="1047"/>
        <v>4902</v>
      </c>
      <c r="M456" s="331">
        <f t="shared" si="1048"/>
        <v>4902</v>
      </c>
      <c r="N456" s="549">
        <f t="shared" si="1049"/>
        <v>4872</v>
      </c>
      <c r="O456" s="331">
        <f t="shared" si="1050"/>
        <v>4872</v>
      </c>
      <c r="P456" s="549">
        <f t="shared" si="1051"/>
        <v>4852</v>
      </c>
      <c r="Q456" s="331">
        <f t="shared" si="1052"/>
        <v>4852</v>
      </c>
      <c r="R456" s="549">
        <f t="shared" si="1053"/>
        <v>4832</v>
      </c>
      <c r="S456" s="331">
        <f t="shared" si="1054"/>
        <v>4832</v>
      </c>
      <c r="T456" s="549">
        <f t="shared" si="1055"/>
        <v>4812</v>
      </c>
      <c r="U456" s="331">
        <f t="shared" si="1056"/>
        <v>4812</v>
      </c>
      <c r="V456" s="93"/>
      <c r="W456" s="405"/>
      <c r="X456" s="159"/>
      <c r="Y456" s="141"/>
      <c r="Z456" s="141"/>
      <c r="AA456" s="141"/>
      <c r="AB456" s="208" t="s">
        <v>290</v>
      </c>
    </row>
    <row r="457" spans="1:28" ht="12.6" customHeight="1" x14ac:dyDescent="0.2">
      <c r="A457" s="20"/>
      <c r="B457" s="1249" t="s">
        <v>731</v>
      </c>
      <c r="C457" s="1250"/>
      <c r="D457" s="1250"/>
      <c r="E457" s="1250"/>
      <c r="F457" s="330">
        <v>5105</v>
      </c>
      <c r="G457" s="330">
        <f t="shared" si="1046"/>
        <v>5105</v>
      </c>
      <c r="H457" s="327"/>
      <c r="I457" s="408"/>
      <c r="J457" s="368">
        <f>F457+80</f>
        <v>5185</v>
      </c>
      <c r="K457" s="330"/>
      <c r="L457" s="368">
        <f t="shared" si="1047"/>
        <v>5385</v>
      </c>
      <c r="M457" s="330">
        <f t="shared" si="1048"/>
        <v>5385</v>
      </c>
      <c r="N457" s="368">
        <f t="shared" si="1049"/>
        <v>5355</v>
      </c>
      <c r="O457" s="330">
        <f t="shared" si="1050"/>
        <v>5355</v>
      </c>
      <c r="P457" s="368">
        <f t="shared" si="1051"/>
        <v>5335</v>
      </c>
      <c r="Q457" s="330">
        <f t="shared" si="1052"/>
        <v>5335</v>
      </c>
      <c r="R457" s="368">
        <f t="shared" si="1053"/>
        <v>5315</v>
      </c>
      <c r="S457" s="330">
        <f t="shared" si="1054"/>
        <v>5315</v>
      </c>
      <c r="T457" s="368">
        <f t="shared" si="1055"/>
        <v>5295</v>
      </c>
      <c r="U457" s="330">
        <f t="shared" si="1056"/>
        <v>5295</v>
      </c>
      <c r="V457" s="41"/>
      <c r="W457" s="407"/>
      <c r="X457" s="159"/>
      <c r="Y457" s="141"/>
      <c r="Z457" s="141"/>
      <c r="AA457" s="141"/>
      <c r="AB457" s="208" t="s">
        <v>291</v>
      </c>
    </row>
    <row r="458" spans="1:28" ht="12.6" customHeight="1" x14ac:dyDescent="0.25">
      <c r="A458" s="20"/>
      <c r="B458" s="679" t="s">
        <v>374</v>
      </c>
      <c r="C458" s="695"/>
      <c r="D458" s="695"/>
      <c r="E458" s="695"/>
      <c r="F458" s="383">
        <v>6778</v>
      </c>
      <c r="G458" s="331">
        <f t="shared" si="1046"/>
        <v>6778</v>
      </c>
      <c r="H458" s="549">
        <f t="shared" ref="H458:H465" si="1057">F458+400</f>
        <v>7178</v>
      </c>
      <c r="I458" s="331">
        <f t="shared" ref="I458:I465" si="1058">+H458*$X$1</f>
        <v>7178</v>
      </c>
      <c r="J458" s="549">
        <f t="shared" ref="J458:J465" si="1059">F458+320</f>
        <v>7098</v>
      </c>
      <c r="K458" s="331">
        <f t="shared" ref="K458:K465" si="1060">+J458*$X$1</f>
        <v>7098</v>
      </c>
      <c r="L458" s="549">
        <f t="shared" si="1047"/>
        <v>7058</v>
      </c>
      <c r="M458" s="331">
        <f t="shared" si="1048"/>
        <v>7058</v>
      </c>
      <c r="N458" s="549">
        <f t="shared" si="1049"/>
        <v>7028</v>
      </c>
      <c r="O458" s="331">
        <f t="shared" ref="O458:O465" si="1061">+N458*$X$1</f>
        <v>7028</v>
      </c>
      <c r="P458" s="549">
        <f t="shared" si="1051"/>
        <v>7008</v>
      </c>
      <c r="Q458" s="331">
        <f t="shared" ref="Q458:Q465" si="1062">+P458*$X$1</f>
        <v>7008</v>
      </c>
      <c r="R458" s="549">
        <f t="shared" si="1053"/>
        <v>6988</v>
      </c>
      <c r="S458" s="331">
        <f t="shared" ref="S458:S465" si="1063">+R458*$X$1</f>
        <v>6988</v>
      </c>
      <c r="T458" s="549">
        <f t="shared" si="1055"/>
        <v>6968</v>
      </c>
      <c r="U458" s="331">
        <f t="shared" ref="U458:U465" si="1064">+T458*$X$1</f>
        <v>6968</v>
      </c>
      <c r="V458" s="549">
        <f t="shared" ref="V458:V465" si="1065">F458+175</f>
        <v>6953</v>
      </c>
      <c r="W458" s="331">
        <f t="shared" ref="W458:W465" si="1066">+V458*$X$1</f>
        <v>6953</v>
      </c>
      <c r="X458" s="705"/>
      <c r="Y458" s="1171"/>
      <c r="Z458" s="1171"/>
      <c r="AA458" s="1171"/>
      <c r="AB458" s="208" t="s">
        <v>292</v>
      </c>
    </row>
    <row r="459" spans="1:28" ht="12.6" customHeight="1" x14ac:dyDescent="0.25">
      <c r="A459" s="20"/>
      <c r="B459" s="1252" t="s">
        <v>578</v>
      </c>
      <c r="C459" s="739"/>
      <c r="D459" s="739"/>
      <c r="E459" s="740"/>
      <c r="F459" s="384">
        <v>3220</v>
      </c>
      <c r="G459" s="330">
        <f t="shared" ref="G459" si="1067">+F459*$X$1</f>
        <v>3220</v>
      </c>
      <c r="H459" s="368">
        <f t="shared" si="1057"/>
        <v>3620</v>
      </c>
      <c r="I459" s="330">
        <f t="shared" si="1058"/>
        <v>3620</v>
      </c>
      <c r="J459" s="368">
        <f t="shared" si="1059"/>
        <v>3540</v>
      </c>
      <c r="K459" s="330">
        <f t="shared" si="1060"/>
        <v>3540</v>
      </c>
      <c r="L459" s="368">
        <f t="shared" si="1047"/>
        <v>3500</v>
      </c>
      <c r="M459" s="330">
        <f t="shared" si="1048"/>
        <v>3500</v>
      </c>
      <c r="N459" s="368">
        <f t="shared" si="1049"/>
        <v>3470</v>
      </c>
      <c r="O459" s="330">
        <f t="shared" si="1061"/>
        <v>3470</v>
      </c>
      <c r="P459" s="368">
        <f t="shared" si="1051"/>
        <v>3450</v>
      </c>
      <c r="Q459" s="330">
        <f t="shared" si="1062"/>
        <v>3450</v>
      </c>
      <c r="R459" s="368">
        <f t="shared" si="1053"/>
        <v>3430</v>
      </c>
      <c r="S459" s="330">
        <f t="shared" si="1063"/>
        <v>3430</v>
      </c>
      <c r="T459" s="368">
        <f t="shared" si="1055"/>
        <v>3410</v>
      </c>
      <c r="U459" s="330">
        <f t="shared" si="1064"/>
        <v>3410</v>
      </c>
      <c r="V459" s="368">
        <f t="shared" si="1065"/>
        <v>3395</v>
      </c>
      <c r="W459" s="330">
        <f t="shared" si="1066"/>
        <v>3395</v>
      </c>
      <c r="X459" s="705"/>
      <c r="Y459" s="1171"/>
      <c r="Z459" s="1171"/>
      <c r="AA459" s="1171"/>
      <c r="AB459" s="208" t="s">
        <v>508</v>
      </c>
    </row>
    <row r="460" spans="1:28" ht="12.6" customHeight="1" x14ac:dyDescent="0.2">
      <c r="A460" s="20"/>
      <c r="B460" s="679" t="s">
        <v>440</v>
      </c>
      <c r="C460" s="695"/>
      <c r="D460" s="695"/>
      <c r="E460" s="695"/>
      <c r="F460" s="383">
        <v>3983</v>
      </c>
      <c r="G460" s="331">
        <f>+F460*$X$1</f>
        <v>3983</v>
      </c>
      <c r="H460" s="549">
        <f t="shared" si="1057"/>
        <v>4383</v>
      </c>
      <c r="I460" s="331">
        <f t="shared" si="1058"/>
        <v>4383</v>
      </c>
      <c r="J460" s="549">
        <f t="shared" si="1059"/>
        <v>4303</v>
      </c>
      <c r="K460" s="331">
        <f t="shared" si="1060"/>
        <v>4303</v>
      </c>
      <c r="L460" s="549">
        <f t="shared" si="1047"/>
        <v>4263</v>
      </c>
      <c r="M460" s="331">
        <f t="shared" si="1048"/>
        <v>4263</v>
      </c>
      <c r="N460" s="549">
        <f t="shared" si="1049"/>
        <v>4233</v>
      </c>
      <c r="O460" s="331">
        <f t="shared" si="1061"/>
        <v>4233</v>
      </c>
      <c r="P460" s="549">
        <f t="shared" si="1051"/>
        <v>4213</v>
      </c>
      <c r="Q460" s="331">
        <f t="shared" si="1062"/>
        <v>4213</v>
      </c>
      <c r="R460" s="549">
        <f t="shared" si="1053"/>
        <v>4193</v>
      </c>
      <c r="S460" s="331">
        <f t="shared" si="1063"/>
        <v>4193</v>
      </c>
      <c r="T460" s="549">
        <f t="shared" si="1055"/>
        <v>4173</v>
      </c>
      <c r="U460" s="331">
        <f t="shared" si="1064"/>
        <v>4173</v>
      </c>
      <c r="V460" s="549">
        <f t="shared" si="1065"/>
        <v>4158</v>
      </c>
      <c r="W460" s="331">
        <f t="shared" si="1066"/>
        <v>4158</v>
      </c>
      <c r="X460" s="806"/>
      <c r="Y460" s="807"/>
      <c r="Z460" s="807"/>
      <c r="AA460" s="808"/>
      <c r="AB460" s="208" t="s">
        <v>293</v>
      </c>
    </row>
    <row r="461" spans="1:28" ht="12.6" customHeight="1" x14ac:dyDescent="0.25">
      <c r="A461" s="20"/>
      <c r="B461" s="787" t="s">
        <v>439</v>
      </c>
      <c r="C461" s="969"/>
      <c r="D461" s="969"/>
      <c r="E461" s="969"/>
      <c r="F461" s="384">
        <v>3983</v>
      </c>
      <c r="G461" s="330">
        <f t="shared" ref="G461" si="1068">+F461*$X$1</f>
        <v>3983</v>
      </c>
      <c r="H461" s="368">
        <f t="shared" si="1057"/>
        <v>4383</v>
      </c>
      <c r="I461" s="330">
        <f t="shared" si="1058"/>
        <v>4383</v>
      </c>
      <c r="J461" s="368">
        <f t="shared" si="1059"/>
        <v>4303</v>
      </c>
      <c r="K461" s="330">
        <f t="shared" si="1060"/>
        <v>4303</v>
      </c>
      <c r="L461" s="368">
        <f t="shared" si="1047"/>
        <v>4263</v>
      </c>
      <c r="M461" s="330">
        <f t="shared" si="1048"/>
        <v>4263</v>
      </c>
      <c r="N461" s="368">
        <f t="shared" si="1049"/>
        <v>4233</v>
      </c>
      <c r="O461" s="330">
        <f t="shared" si="1061"/>
        <v>4233</v>
      </c>
      <c r="P461" s="368">
        <f t="shared" si="1051"/>
        <v>4213</v>
      </c>
      <c r="Q461" s="330">
        <f t="shared" si="1062"/>
        <v>4213</v>
      </c>
      <c r="R461" s="368">
        <f t="shared" si="1053"/>
        <v>4193</v>
      </c>
      <c r="S461" s="330">
        <f t="shared" si="1063"/>
        <v>4193</v>
      </c>
      <c r="T461" s="368">
        <f t="shared" si="1055"/>
        <v>4173</v>
      </c>
      <c r="U461" s="330">
        <f t="shared" si="1064"/>
        <v>4173</v>
      </c>
      <c r="V461" s="368">
        <f t="shared" si="1065"/>
        <v>4158</v>
      </c>
      <c r="W461" s="330">
        <f t="shared" si="1066"/>
        <v>4158</v>
      </c>
      <c r="X461" s="705"/>
      <c r="Y461" s="1171"/>
      <c r="Z461" s="1171"/>
      <c r="AA461" s="1171"/>
      <c r="AB461" s="208" t="s">
        <v>294</v>
      </c>
    </row>
    <row r="462" spans="1:28" ht="12.6" customHeight="1" x14ac:dyDescent="0.25">
      <c r="A462" s="20"/>
      <c r="B462" s="971" t="s">
        <v>617</v>
      </c>
      <c r="C462" s="693"/>
      <c r="D462" s="693"/>
      <c r="E462" s="694"/>
      <c r="F462" s="545">
        <v>3220</v>
      </c>
      <c r="G462" s="331">
        <f>+F462*$X$1</f>
        <v>3220</v>
      </c>
      <c r="H462" s="549">
        <f t="shared" si="1057"/>
        <v>3620</v>
      </c>
      <c r="I462" s="331">
        <f t="shared" si="1058"/>
        <v>3620</v>
      </c>
      <c r="J462" s="549">
        <f t="shared" si="1059"/>
        <v>3540</v>
      </c>
      <c r="K462" s="331">
        <f t="shared" si="1060"/>
        <v>3540</v>
      </c>
      <c r="L462" s="549">
        <f t="shared" si="1047"/>
        <v>3500</v>
      </c>
      <c r="M462" s="331">
        <f t="shared" si="1048"/>
        <v>3500</v>
      </c>
      <c r="N462" s="549">
        <f t="shared" si="1049"/>
        <v>3470</v>
      </c>
      <c r="O462" s="331">
        <f t="shared" si="1061"/>
        <v>3470</v>
      </c>
      <c r="P462" s="549">
        <f t="shared" si="1051"/>
        <v>3450</v>
      </c>
      <c r="Q462" s="331">
        <f t="shared" si="1062"/>
        <v>3450</v>
      </c>
      <c r="R462" s="549">
        <f t="shared" si="1053"/>
        <v>3430</v>
      </c>
      <c r="S462" s="331">
        <f t="shared" si="1063"/>
        <v>3430</v>
      </c>
      <c r="T462" s="549">
        <f t="shared" si="1055"/>
        <v>3410</v>
      </c>
      <c r="U462" s="331">
        <f t="shared" si="1064"/>
        <v>3410</v>
      </c>
      <c r="V462" s="549">
        <f t="shared" si="1065"/>
        <v>3395</v>
      </c>
      <c r="W462" s="331">
        <f t="shared" si="1066"/>
        <v>3395</v>
      </c>
      <c r="X462" s="705"/>
      <c r="Y462" s="1171"/>
      <c r="Z462" s="1171"/>
      <c r="AA462" s="1171"/>
      <c r="AB462" s="31"/>
    </row>
    <row r="463" spans="1:28" ht="12.6" customHeight="1" x14ac:dyDescent="0.25">
      <c r="A463" s="20"/>
      <c r="B463" s="696" t="s">
        <v>373</v>
      </c>
      <c r="C463" s="697"/>
      <c r="D463" s="697"/>
      <c r="E463" s="697"/>
      <c r="F463" s="330"/>
      <c r="G463" s="330"/>
      <c r="H463" s="368"/>
      <c r="I463" s="330"/>
      <c r="J463" s="368"/>
      <c r="K463" s="330"/>
      <c r="L463" s="368"/>
      <c r="M463" s="330"/>
      <c r="N463" s="368"/>
      <c r="O463" s="330"/>
      <c r="P463" s="368"/>
      <c r="Q463" s="330"/>
      <c r="R463" s="368"/>
      <c r="S463" s="330"/>
      <c r="T463" s="368"/>
      <c r="U463" s="330"/>
      <c r="V463" s="368"/>
      <c r="W463" s="330"/>
      <c r="X463" s="705"/>
      <c r="Y463" s="1171"/>
      <c r="Z463" s="1171"/>
      <c r="AA463" s="1171"/>
      <c r="AB463" s="208" t="s">
        <v>295</v>
      </c>
    </row>
    <row r="464" spans="1:28" ht="12.6" customHeight="1" x14ac:dyDescent="0.2">
      <c r="A464" s="20"/>
      <c r="B464" s="679" t="s">
        <v>881</v>
      </c>
      <c r="C464" s="1225"/>
      <c r="D464" s="1225"/>
      <c r="E464" s="1225"/>
      <c r="F464" s="331">
        <v>12780</v>
      </c>
      <c r="G464" s="331">
        <f>+F464*$X$1</f>
        <v>12780</v>
      </c>
      <c r="H464" s="549">
        <f t="shared" si="1057"/>
        <v>13180</v>
      </c>
      <c r="I464" s="331">
        <f t="shared" si="1058"/>
        <v>13180</v>
      </c>
      <c r="J464" s="549">
        <f t="shared" si="1059"/>
        <v>13100</v>
      </c>
      <c r="K464" s="331">
        <f t="shared" si="1060"/>
        <v>13100</v>
      </c>
      <c r="L464" s="549">
        <f t="shared" si="1047"/>
        <v>13060</v>
      </c>
      <c r="M464" s="331">
        <f t="shared" si="1048"/>
        <v>13060</v>
      </c>
      <c r="N464" s="549">
        <f t="shared" si="1049"/>
        <v>13030</v>
      </c>
      <c r="O464" s="331">
        <f t="shared" si="1061"/>
        <v>13030</v>
      </c>
      <c r="P464" s="549">
        <f t="shared" si="1051"/>
        <v>13010</v>
      </c>
      <c r="Q464" s="331">
        <f t="shared" si="1062"/>
        <v>13010</v>
      </c>
      <c r="R464" s="549">
        <f t="shared" si="1053"/>
        <v>12990</v>
      </c>
      <c r="S464" s="331">
        <f t="shared" si="1063"/>
        <v>12990</v>
      </c>
      <c r="T464" s="549">
        <f t="shared" si="1055"/>
        <v>12970</v>
      </c>
      <c r="U464" s="331">
        <f t="shared" si="1064"/>
        <v>12970</v>
      </c>
      <c r="V464" s="549">
        <f t="shared" si="1065"/>
        <v>12955</v>
      </c>
      <c r="W464" s="331">
        <f t="shared" si="1066"/>
        <v>12955</v>
      </c>
      <c r="X464" s="160"/>
      <c r="Y464" s="145"/>
      <c r="Z464" s="145"/>
      <c r="AA464" s="148"/>
      <c r="AB464" s="208" t="s">
        <v>296</v>
      </c>
    </row>
    <row r="465" spans="1:34" ht="12.6" customHeight="1" x14ac:dyDescent="0.2">
      <c r="A465" s="20"/>
      <c r="B465" s="696" t="s">
        <v>882</v>
      </c>
      <c r="C465" s="1226"/>
      <c r="D465" s="1226"/>
      <c r="E465" s="1226"/>
      <c r="F465" s="330">
        <v>14300</v>
      </c>
      <c r="G465" s="330">
        <f t="shared" ref="G465" si="1069">+F465*$X$1</f>
        <v>14300</v>
      </c>
      <c r="H465" s="368">
        <f t="shared" si="1057"/>
        <v>14700</v>
      </c>
      <c r="I465" s="330">
        <f t="shared" si="1058"/>
        <v>14700</v>
      </c>
      <c r="J465" s="368">
        <f t="shared" si="1059"/>
        <v>14620</v>
      </c>
      <c r="K465" s="330">
        <f t="shared" si="1060"/>
        <v>14620</v>
      </c>
      <c r="L465" s="368">
        <f t="shared" si="1047"/>
        <v>14580</v>
      </c>
      <c r="M465" s="330">
        <f t="shared" si="1048"/>
        <v>14580</v>
      </c>
      <c r="N465" s="368">
        <f t="shared" si="1049"/>
        <v>14550</v>
      </c>
      <c r="O465" s="330">
        <f t="shared" si="1061"/>
        <v>14550</v>
      </c>
      <c r="P465" s="368">
        <f t="shared" si="1051"/>
        <v>14530</v>
      </c>
      <c r="Q465" s="330">
        <f t="shared" si="1062"/>
        <v>14530</v>
      </c>
      <c r="R465" s="368">
        <f t="shared" si="1053"/>
        <v>14510</v>
      </c>
      <c r="S465" s="330">
        <f t="shared" si="1063"/>
        <v>14510</v>
      </c>
      <c r="T465" s="368">
        <f t="shared" si="1055"/>
        <v>14490</v>
      </c>
      <c r="U465" s="330">
        <f t="shared" si="1064"/>
        <v>14490</v>
      </c>
      <c r="V465" s="368">
        <f t="shared" si="1065"/>
        <v>14475</v>
      </c>
      <c r="W465" s="330">
        <f t="shared" si="1066"/>
        <v>14475</v>
      </c>
      <c r="X465" s="160"/>
      <c r="Y465" s="145"/>
      <c r="Z465" s="145"/>
      <c r="AA465" s="148"/>
      <c r="AB465" s="208" t="s">
        <v>297</v>
      </c>
    </row>
    <row r="466" spans="1:34" ht="12.6" customHeight="1" x14ac:dyDescent="0.2">
      <c r="A466" s="20"/>
      <c r="B466" s="785" t="s">
        <v>419</v>
      </c>
      <c r="C466" s="786"/>
      <c r="D466" s="786"/>
      <c r="E466" s="786"/>
      <c r="F466" s="371"/>
      <c r="G466" s="371"/>
      <c r="H466" s="348"/>
      <c r="I466" s="447"/>
      <c r="J466" s="457"/>
      <c r="K466" s="331"/>
      <c r="L466" s="457"/>
      <c r="M466" s="331"/>
      <c r="N466" s="457"/>
      <c r="O466" s="331"/>
      <c r="P466" s="457"/>
      <c r="Q466" s="331"/>
      <c r="R466" s="457"/>
      <c r="S466" s="331"/>
      <c r="T466" s="457"/>
      <c r="U466" s="331"/>
      <c r="V466" s="107"/>
      <c r="W466" s="371"/>
      <c r="X466" s="160"/>
      <c r="Y466" s="145"/>
      <c r="Z466" s="145"/>
      <c r="AA466" s="148"/>
      <c r="AB466" s="208" t="s">
        <v>298</v>
      </c>
    </row>
    <row r="467" spans="1:34" ht="12.6" customHeight="1" x14ac:dyDescent="0.2">
      <c r="A467" s="20"/>
      <c r="B467" s="696" t="s">
        <v>299</v>
      </c>
      <c r="C467" s="697"/>
      <c r="D467" s="697"/>
      <c r="E467" s="697"/>
      <c r="F467" s="330">
        <v>6940</v>
      </c>
      <c r="G467" s="330">
        <f>+F467*$X$1</f>
        <v>6940</v>
      </c>
      <c r="H467" s="368">
        <f>F467+400</f>
        <v>7340</v>
      </c>
      <c r="I467" s="330">
        <f t="shared" ref="I467:I468" si="1070">+H467*$X$1</f>
        <v>7340</v>
      </c>
      <c r="J467" s="368">
        <f>F467+320</f>
        <v>7260</v>
      </c>
      <c r="K467" s="330">
        <f>+J467*$X$1</f>
        <v>7260</v>
      </c>
      <c r="L467" s="368">
        <f>F467+280</f>
        <v>7220</v>
      </c>
      <c r="M467" s="330">
        <f>+L467*$X$1</f>
        <v>7220</v>
      </c>
      <c r="N467" s="368">
        <f>F467+250</f>
        <v>7190</v>
      </c>
      <c r="O467" s="330">
        <f t="shared" ref="O467:O468" si="1071">+N467*$X$1</f>
        <v>7190</v>
      </c>
      <c r="P467" s="368">
        <f>F467+230</f>
        <v>7170</v>
      </c>
      <c r="Q467" s="330">
        <f t="shared" ref="Q467:Q468" si="1072">+P467*$X$1</f>
        <v>7170</v>
      </c>
      <c r="R467" s="368">
        <f>F467+210</f>
        <v>7150</v>
      </c>
      <c r="S467" s="330">
        <f t="shared" ref="S467:S468" si="1073">+R467*$X$1</f>
        <v>7150</v>
      </c>
      <c r="T467" s="368">
        <f>F467+190</f>
        <v>7130</v>
      </c>
      <c r="U467" s="330">
        <f t="shared" ref="U467:U468" si="1074">+T467*$X$1</f>
        <v>7130</v>
      </c>
      <c r="V467" s="368">
        <f>F467+175</f>
        <v>7115</v>
      </c>
      <c r="W467" s="330">
        <f t="shared" ref="W467:W468" si="1075">+V467*$X$1</f>
        <v>7115</v>
      </c>
      <c r="X467" s="160"/>
      <c r="Y467" s="145"/>
      <c r="Z467" s="145"/>
      <c r="AA467" s="148"/>
      <c r="AB467" s="208" t="s">
        <v>300</v>
      </c>
    </row>
    <row r="468" spans="1:34" ht="12.6" customHeight="1" x14ac:dyDescent="0.2">
      <c r="A468" s="20"/>
      <c r="B468" s="679" t="s">
        <v>301</v>
      </c>
      <c r="C468" s="695"/>
      <c r="D468" s="695"/>
      <c r="E468" s="695"/>
      <c r="F468" s="331">
        <v>7720</v>
      </c>
      <c r="G468" s="331">
        <f>+F468*$X$1</f>
        <v>7720</v>
      </c>
      <c r="H468" s="549">
        <f>F468+400</f>
        <v>8120</v>
      </c>
      <c r="I468" s="331">
        <f t="shared" si="1070"/>
        <v>8120</v>
      </c>
      <c r="J468" s="549">
        <f>F468+320</f>
        <v>8040</v>
      </c>
      <c r="K468" s="331">
        <f>+J468*$X$1</f>
        <v>8040</v>
      </c>
      <c r="L468" s="549">
        <f>F468+280</f>
        <v>8000</v>
      </c>
      <c r="M468" s="331">
        <f>+L468*$X$1</f>
        <v>8000</v>
      </c>
      <c r="N468" s="549">
        <f>F468+250</f>
        <v>7970</v>
      </c>
      <c r="O468" s="331">
        <f t="shared" si="1071"/>
        <v>7970</v>
      </c>
      <c r="P468" s="549">
        <f>F468+230</f>
        <v>7950</v>
      </c>
      <c r="Q468" s="331">
        <f t="shared" si="1072"/>
        <v>7950</v>
      </c>
      <c r="R468" s="549">
        <f>F468+210</f>
        <v>7930</v>
      </c>
      <c r="S468" s="331">
        <f t="shared" si="1073"/>
        <v>7930</v>
      </c>
      <c r="T468" s="549">
        <f>F468+190</f>
        <v>7910</v>
      </c>
      <c r="U468" s="331">
        <f t="shared" si="1074"/>
        <v>7910</v>
      </c>
      <c r="V468" s="549">
        <f>F468+175</f>
        <v>7895</v>
      </c>
      <c r="W468" s="331">
        <f t="shared" si="1075"/>
        <v>7895</v>
      </c>
      <c r="X468" s="160"/>
      <c r="Y468" s="145"/>
      <c r="Z468" s="145"/>
      <c r="AA468" s="148"/>
      <c r="AB468" s="208" t="s">
        <v>302</v>
      </c>
    </row>
    <row r="469" spans="1:34" ht="12.6" customHeight="1" x14ac:dyDescent="0.2">
      <c r="A469" s="20"/>
      <c r="B469" s="696" t="s">
        <v>647</v>
      </c>
      <c r="C469" s="697"/>
      <c r="D469" s="697"/>
      <c r="E469" s="697"/>
      <c r="F469" s="384">
        <v>3200</v>
      </c>
      <c r="G469" s="330">
        <f t="shared" ref="G469" si="1076">+F469*$X$1</f>
        <v>3200</v>
      </c>
      <c r="H469" s="657">
        <f>F469+200</f>
        <v>3400</v>
      </c>
      <c r="I469" s="330">
        <f t="shared" ref="I469:I470" si="1077">+H469*$X$1</f>
        <v>3400</v>
      </c>
      <c r="J469" s="657">
        <f>F469+150</f>
        <v>3350</v>
      </c>
      <c r="K469" s="330">
        <f t="shared" ref="K469" si="1078">+J469*$X$1</f>
        <v>3350</v>
      </c>
      <c r="L469" s="657">
        <f>F469+100</f>
        <v>3300</v>
      </c>
      <c r="M469" s="330">
        <f t="shared" ref="M469" si="1079">+L469*$X$1</f>
        <v>3300</v>
      </c>
      <c r="N469" s="657">
        <f>F469+75</f>
        <v>3275</v>
      </c>
      <c r="O469" s="330">
        <f>+N469*$X$1</f>
        <v>3275</v>
      </c>
      <c r="P469" s="657">
        <f>F469+70</f>
        <v>3270</v>
      </c>
      <c r="Q469" s="330">
        <f t="shared" ref="Q469:Q471" si="1080">+P469*$X$1</f>
        <v>3270</v>
      </c>
      <c r="R469" s="657">
        <f>F469+66</f>
        <v>3266</v>
      </c>
      <c r="S469" s="330">
        <f t="shared" ref="S469:S471" si="1081">+R469*$X$1</f>
        <v>3266</v>
      </c>
      <c r="T469" s="657">
        <f>F469+61</f>
        <v>3261</v>
      </c>
      <c r="U469" s="330">
        <f t="shared" ref="U469:U471" si="1082">+T469*$X$1</f>
        <v>3261</v>
      </c>
      <c r="V469" s="657">
        <f>F469+55</f>
        <v>3255</v>
      </c>
      <c r="W469" s="330">
        <f t="shared" ref="W469:W471" si="1083">+V469*$X$1</f>
        <v>3255</v>
      </c>
      <c r="X469" s="806"/>
      <c r="Y469" s="807"/>
      <c r="Z469" s="807"/>
      <c r="AA469" s="808"/>
      <c r="AB469" s="208" t="s">
        <v>303</v>
      </c>
    </row>
    <row r="470" spans="1:34" ht="12.6" customHeight="1" x14ac:dyDescent="0.2">
      <c r="A470" s="20"/>
      <c r="B470" s="679" t="s">
        <v>737</v>
      </c>
      <c r="C470" s="695"/>
      <c r="D470" s="695"/>
      <c r="E470" s="695"/>
      <c r="F470" s="461">
        <v>3200</v>
      </c>
      <c r="G470" s="331">
        <f t="shared" ref="G470" si="1084">+F470*$X$1</f>
        <v>3200</v>
      </c>
      <c r="H470" s="650">
        <f>F470+400</f>
        <v>3600</v>
      </c>
      <c r="I470" s="331">
        <f t="shared" si="1077"/>
        <v>3600</v>
      </c>
      <c r="J470" s="650">
        <f>F470+320</f>
        <v>3520</v>
      </c>
      <c r="K470" s="331">
        <f>+J470*$X$1</f>
        <v>3520</v>
      </c>
      <c r="L470" s="650">
        <f>F470+280</f>
        <v>3480</v>
      </c>
      <c r="M470" s="331">
        <f>+L470*$X$1</f>
        <v>3480</v>
      </c>
      <c r="N470" s="650">
        <f>F470+250</f>
        <v>3450</v>
      </c>
      <c r="O470" s="331">
        <f t="shared" ref="O470" si="1085">+N470*$X$1</f>
        <v>3450</v>
      </c>
      <c r="P470" s="650">
        <f>F470+230</f>
        <v>3430</v>
      </c>
      <c r="Q470" s="331">
        <f t="shared" ref="Q470" si="1086">+P470*$X$1</f>
        <v>3430</v>
      </c>
      <c r="R470" s="650">
        <f>F470+210</f>
        <v>3410</v>
      </c>
      <c r="S470" s="331">
        <f t="shared" ref="S470" si="1087">+R470*$X$1</f>
        <v>3410</v>
      </c>
      <c r="T470" s="650">
        <f>F470+190</f>
        <v>3390</v>
      </c>
      <c r="U470" s="331">
        <f t="shared" ref="U470" si="1088">+T470*$X$1</f>
        <v>3390</v>
      </c>
      <c r="V470" s="650">
        <f>F470+175</f>
        <v>3375</v>
      </c>
      <c r="W470" s="331">
        <f t="shared" ref="W470" si="1089">+V470*$X$1</f>
        <v>3375</v>
      </c>
      <c r="X470" s="806"/>
      <c r="Y470" s="807"/>
      <c r="Z470" s="807"/>
      <c r="AA470" s="808"/>
      <c r="AB470" s="208" t="s">
        <v>738</v>
      </c>
    </row>
    <row r="471" spans="1:34" ht="12.6" customHeight="1" x14ac:dyDescent="0.2">
      <c r="A471" s="20"/>
      <c r="B471" s="696" t="s">
        <v>454</v>
      </c>
      <c r="C471" s="803"/>
      <c r="D471" s="803"/>
      <c r="E471" s="803"/>
      <c r="F471" s="460">
        <f>3.116*X2</f>
        <v>2922.808</v>
      </c>
      <c r="G471" s="330">
        <f t="shared" ref="G471" si="1090">+F471*$X$1</f>
        <v>2922.808</v>
      </c>
      <c r="H471" s="657">
        <f>F471+400</f>
        <v>3322.808</v>
      </c>
      <c r="I471" s="330">
        <f t="shared" ref="I471" si="1091">+H471*$X$1</f>
        <v>3322.808</v>
      </c>
      <c r="J471" s="657">
        <f>F471+320</f>
        <v>3242.808</v>
      </c>
      <c r="K471" s="330">
        <f>+J471*$X$1</f>
        <v>3242.808</v>
      </c>
      <c r="L471" s="657">
        <f>F471+280</f>
        <v>3202.808</v>
      </c>
      <c r="M471" s="330">
        <f>+L471*$X$1</f>
        <v>3202.808</v>
      </c>
      <c r="N471" s="657">
        <f>F471+250</f>
        <v>3172.808</v>
      </c>
      <c r="O471" s="330">
        <f t="shared" ref="O471" si="1092">+N471*$X$1</f>
        <v>3172.808</v>
      </c>
      <c r="P471" s="657">
        <f>F471+230</f>
        <v>3152.808</v>
      </c>
      <c r="Q471" s="330">
        <f t="shared" si="1080"/>
        <v>3152.808</v>
      </c>
      <c r="R471" s="657">
        <f>F471+210</f>
        <v>3132.808</v>
      </c>
      <c r="S471" s="330">
        <f t="shared" si="1081"/>
        <v>3132.808</v>
      </c>
      <c r="T471" s="657">
        <f>F471+190</f>
        <v>3112.808</v>
      </c>
      <c r="U471" s="330">
        <f t="shared" si="1082"/>
        <v>3112.808</v>
      </c>
      <c r="V471" s="657">
        <f>F471+175</f>
        <v>3097.808</v>
      </c>
      <c r="W471" s="330">
        <f t="shared" si="1083"/>
        <v>3097.808</v>
      </c>
      <c r="X471" s="806"/>
      <c r="Y471" s="807"/>
      <c r="Z471" s="807"/>
      <c r="AA471" s="808"/>
      <c r="AB471" s="208" t="s">
        <v>533</v>
      </c>
    </row>
    <row r="472" spans="1:34" ht="12.6" customHeight="1" x14ac:dyDescent="0.2">
      <c r="A472" s="20"/>
      <c r="B472" s="679" t="s">
        <v>799</v>
      </c>
      <c r="C472" s="680"/>
      <c r="D472" s="680"/>
      <c r="E472" s="680"/>
      <c r="F472" s="461">
        <f>7.73*X2</f>
        <v>7250.7400000000007</v>
      </c>
      <c r="G472" s="331">
        <f t="shared" ref="G472" si="1093">+F472*$X$1</f>
        <v>7250.7400000000007</v>
      </c>
      <c r="H472" s="650">
        <f>F472+400</f>
        <v>7650.7400000000007</v>
      </c>
      <c r="I472" s="331">
        <f t="shared" ref="I472" si="1094">+H472*$X$1</f>
        <v>7650.7400000000007</v>
      </c>
      <c r="J472" s="650">
        <f>F472+320</f>
        <v>7570.7400000000007</v>
      </c>
      <c r="K472" s="331">
        <f>+J472*$X$1</f>
        <v>7570.7400000000007</v>
      </c>
      <c r="L472" s="650">
        <f>F472+280</f>
        <v>7530.7400000000007</v>
      </c>
      <c r="M472" s="331">
        <f>+L472*$X$1</f>
        <v>7530.7400000000007</v>
      </c>
      <c r="N472" s="650">
        <f>F472+250</f>
        <v>7500.7400000000007</v>
      </c>
      <c r="O472" s="331">
        <f t="shared" ref="O472" si="1095">+N472*$X$1</f>
        <v>7500.7400000000007</v>
      </c>
      <c r="P472" s="650">
        <f>F472+230</f>
        <v>7480.7400000000007</v>
      </c>
      <c r="Q472" s="331">
        <f t="shared" ref="Q472" si="1096">+P472*$X$1</f>
        <v>7480.7400000000007</v>
      </c>
      <c r="R472" s="650">
        <f>F472+210</f>
        <v>7460.7400000000007</v>
      </c>
      <c r="S472" s="331">
        <f t="shared" ref="S472" si="1097">+R472*$X$1</f>
        <v>7460.7400000000007</v>
      </c>
      <c r="T472" s="650">
        <f>F472+190</f>
        <v>7440.7400000000007</v>
      </c>
      <c r="U472" s="331">
        <f t="shared" ref="U472" si="1098">+T472*$X$1</f>
        <v>7440.7400000000007</v>
      </c>
      <c r="V472" s="650">
        <f>F472+175</f>
        <v>7425.7400000000007</v>
      </c>
      <c r="W472" s="331">
        <f t="shared" ref="W472" si="1099">+V472*$X$1</f>
        <v>7425.7400000000007</v>
      </c>
      <c r="X472" s="806"/>
      <c r="Y472" s="807"/>
      <c r="Z472" s="807"/>
      <c r="AA472" s="808"/>
      <c r="AB472" s="208" t="s">
        <v>800</v>
      </c>
    </row>
    <row r="473" spans="1:34" ht="12.6" customHeight="1" x14ac:dyDescent="0.2">
      <c r="A473" s="111"/>
      <c r="B473" s="247"/>
      <c r="C473" s="66"/>
      <c r="D473" s="66"/>
      <c r="E473" s="66"/>
      <c r="F473" s="139"/>
      <c r="G473" s="127"/>
      <c r="H473" s="127"/>
      <c r="I473" s="127"/>
      <c r="J473" s="127"/>
      <c r="K473" s="127"/>
      <c r="L473" s="127"/>
      <c r="M473" s="127"/>
      <c r="N473" s="127"/>
      <c r="O473" s="127"/>
      <c r="P473" s="127"/>
      <c r="Q473" s="127"/>
      <c r="R473" s="127"/>
      <c r="S473" s="127"/>
      <c r="T473" s="127"/>
      <c r="U473" s="127"/>
      <c r="V473" s="127"/>
      <c r="W473" s="127"/>
      <c r="X473" s="249"/>
      <c r="Y473" s="250"/>
      <c r="Z473" s="250"/>
      <c r="AA473" s="249"/>
      <c r="AB473" s="43"/>
      <c r="AC473" s="69"/>
    </row>
    <row r="474" spans="1:34" ht="12.6" customHeight="1" x14ac:dyDescent="0.2">
      <c r="A474" s="111"/>
      <c r="B474" s="247"/>
      <c r="C474" s="66"/>
      <c r="D474" s="66"/>
      <c r="E474" s="66"/>
      <c r="F474" s="139"/>
      <c r="G474" s="127"/>
      <c r="H474" s="127"/>
      <c r="I474" s="127"/>
      <c r="J474" s="127"/>
      <c r="K474" s="127"/>
      <c r="L474" s="127"/>
      <c r="M474" s="127"/>
      <c r="N474" s="127"/>
      <c r="O474" s="127"/>
      <c r="P474" s="127"/>
      <c r="Q474" s="127"/>
      <c r="R474" s="127"/>
      <c r="S474" s="127"/>
      <c r="T474" s="127"/>
      <c r="U474" s="127"/>
      <c r="V474" s="127"/>
      <c r="W474" s="127"/>
      <c r="X474" s="249"/>
      <c r="Y474" s="250"/>
      <c r="Z474" s="250"/>
      <c r="AA474" s="249"/>
      <c r="AB474" s="43"/>
      <c r="AC474" s="69"/>
    </row>
    <row r="475" spans="1:34" ht="12.6" customHeight="1" x14ac:dyDescent="0.2">
      <c r="A475" s="111"/>
      <c r="B475" s="247"/>
      <c r="C475" s="66"/>
      <c r="D475" s="66"/>
      <c r="E475" s="66"/>
      <c r="F475" s="139"/>
      <c r="G475" s="127"/>
      <c r="H475" s="127"/>
      <c r="I475" s="127"/>
      <c r="J475" s="127"/>
      <c r="K475" s="127"/>
      <c r="L475" s="127"/>
      <c r="M475" s="127"/>
      <c r="N475" s="127"/>
      <c r="O475" s="127"/>
      <c r="P475" s="127"/>
      <c r="Q475" s="127"/>
      <c r="R475" s="127"/>
      <c r="S475" s="127"/>
      <c r="T475" s="127"/>
      <c r="U475" s="127"/>
      <c r="V475" s="127"/>
      <c r="W475" s="127"/>
      <c r="X475" s="249"/>
      <c r="Y475" s="250"/>
      <c r="Z475" s="250"/>
      <c r="AA475" s="249"/>
      <c r="AB475" s="43"/>
      <c r="AC475" s="69"/>
    </row>
    <row r="476" spans="1:34" ht="12.6" customHeight="1" x14ac:dyDescent="0.2">
      <c r="A476" s="111"/>
      <c r="B476" s="247"/>
      <c r="C476" s="66"/>
      <c r="D476" s="66"/>
      <c r="E476" s="66"/>
      <c r="F476" s="139"/>
      <c r="G476" s="127"/>
      <c r="H476" s="127"/>
      <c r="I476" s="127"/>
      <c r="J476" s="127"/>
      <c r="K476" s="127"/>
      <c r="L476" s="127"/>
      <c r="M476" s="127"/>
      <c r="N476" s="127"/>
      <c r="O476" s="127"/>
      <c r="P476" s="127"/>
      <c r="Q476" s="127"/>
      <c r="R476" s="127"/>
      <c r="S476" s="127"/>
      <c r="T476" s="127"/>
      <c r="U476" s="127"/>
      <c r="V476" s="127"/>
      <c r="W476" s="127"/>
      <c r="X476" s="249"/>
      <c r="Y476" s="250"/>
      <c r="Z476" s="250"/>
      <c r="AA476" s="249"/>
      <c r="AB476" s="43"/>
      <c r="AC476" s="69"/>
    </row>
    <row r="477" spans="1:34" ht="12.6" customHeight="1" x14ac:dyDescent="0.2">
      <c r="A477" s="111"/>
      <c r="B477" s="247"/>
      <c r="C477" s="66"/>
      <c r="D477" s="66"/>
      <c r="E477" s="66"/>
      <c r="F477" s="139"/>
      <c r="G477" s="127"/>
      <c r="H477" s="127"/>
      <c r="I477" s="127"/>
      <c r="J477" s="127"/>
      <c r="K477" s="127"/>
      <c r="L477" s="127"/>
      <c r="M477" s="127"/>
      <c r="N477" s="127"/>
      <c r="O477" s="127"/>
      <c r="P477" s="127"/>
      <c r="Q477" s="127"/>
      <c r="R477" s="127"/>
      <c r="S477" s="127"/>
      <c r="T477" s="127"/>
      <c r="U477" s="127"/>
      <c r="V477" s="127"/>
      <c r="W477" s="127"/>
      <c r="X477" s="249"/>
      <c r="Y477" s="250"/>
      <c r="Z477" s="250"/>
      <c r="AA477" s="249"/>
      <c r="AB477" s="43"/>
      <c r="AC477" s="69"/>
    </row>
    <row r="478" spans="1:34" ht="12.6" customHeight="1" thickBot="1" x14ac:dyDescent="0.25">
      <c r="A478" s="111"/>
      <c r="B478" s="247"/>
      <c r="C478" s="66"/>
      <c r="D478" s="66"/>
      <c r="E478" s="66"/>
      <c r="F478" s="139"/>
      <c r="G478" s="127"/>
      <c r="H478" s="127"/>
      <c r="I478" s="127"/>
      <c r="J478" s="127"/>
      <c r="K478" s="127"/>
      <c r="L478" s="127"/>
      <c r="M478" s="127"/>
      <c r="N478" s="127"/>
      <c r="O478" s="127"/>
      <c r="P478" s="127"/>
      <c r="Q478" s="127"/>
      <c r="R478" s="127"/>
      <c r="S478" s="127"/>
      <c r="T478" s="127"/>
      <c r="U478" s="127"/>
      <c r="V478" s="127"/>
      <c r="W478" s="127"/>
      <c r="X478" s="249"/>
      <c r="Y478" s="250"/>
      <c r="Z478" s="250"/>
      <c r="AA478" s="249"/>
      <c r="AB478" s="43"/>
      <c r="AC478" s="69"/>
    </row>
    <row r="479" spans="1:34" ht="14.25" customHeight="1" thickBot="1" x14ac:dyDescent="0.25">
      <c r="B479" s="1232" t="s">
        <v>567</v>
      </c>
      <c r="C479" s="1233"/>
      <c r="D479" s="1233"/>
      <c r="E479" s="1233"/>
      <c r="F479" s="1233"/>
      <c r="G479" s="1233"/>
      <c r="H479" s="1233"/>
      <c r="I479" s="1233"/>
      <c r="J479" s="1233"/>
      <c r="K479" s="1233"/>
      <c r="L479" s="1233"/>
      <c r="M479" s="1233"/>
      <c r="N479" s="1233"/>
      <c r="O479" s="1233"/>
      <c r="P479" s="1233"/>
      <c r="Q479" s="1233"/>
      <c r="R479" s="1233"/>
      <c r="S479" s="1233"/>
      <c r="T479" s="1233"/>
      <c r="U479" s="1233"/>
      <c r="V479" s="1233"/>
      <c r="W479" s="1234"/>
      <c r="AB479" s="4"/>
      <c r="AF479" s="727"/>
      <c r="AG479" s="728"/>
      <c r="AH479" s="728"/>
    </row>
    <row r="480" spans="1:34" ht="13.5" customHeight="1" x14ac:dyDescent="0.2">
      <c r="B480" s="1206" t="s">
        <v>11</v>
      </c>
      <c r="C480" s="979" t="s">
        <v>12</v>
      </c>
      <c r="D480" s="980"/>
      <c r="E480" s="980"/>
      <c r="F480" s="895" t="s">
        <v>304</v>
      </c>
      <c r="G480" s="895" t="s">
        <v>13</v>
      </c>
      <c r="H480" s="1219" t="s">
        <v>491</v>
      </c>
      <c r="I480" s="1219"/>
      <c r="J480" s="1220"/>
      <c r="K480" s="1220"/>
      <c r="L480" s="1220"/>
      <c r="M480" s="1220"/>
      <c r="N480" s="1220"/>
      <c r="O480" s="1220"/>
      <c r="P480" s="1220"/>
      <c r="Q480" s="1220"/>
      <c r="R480" s="1220"/>
      <c r="S480" s="1220"/>
      <c r="T480" s="1220"/>
      <c r="U480" s="1220"/>
      <c r="V480" s="1220"/>
      <c r="W480" s="1221"/>
      <c r="X480" s="731" t="s">
        <v>15</v>
      </c>
      <c r="Y480" s="732"/>
      <c r="Z480" s="732"/>
      <c r="AA480" s="732"/>
      <c r="AB480" s="729" t="s">
        <v>16</v>
      </c>
      <c r="AF480" s="727" t="s">
        <v>3</v>
      </c>
      <c r="AG480" s="728"/>
      <c r="AH480" s="728"/>
    </row>
    <row r="481" spans="1:28" ht="11.25" customHeight="1" thickBot="1" x14ac:dyDescent="0.25">
      <c r="B481" s="1207"/>
      <c r="C481" s="981"/>
      <c r="D481" s="981"/>
      <c r="E481" s="981"/>
      <c r="F481" s="896"/>
      <c r="G481" s="896"/>
      <c r="H481" s="284"/>
      <c r="I481" s="282" t="s">
        <v>642</v>
      </c>
      <c r="J481" s="284"/>
      <c r="K481" s="282" t="s">
        <v>306</v>
      </c>
      <c r="L481" s="284"/>
      <c r="M481" s="282" t="s">
        <v>307</v>
      </c>
      <c r="N481" s="284"/>
      <c r="O481" s="282" t="s">
        <v>644</v>
      </c>
      <c r="P481" s="284"/>
      <c r="Q481" s="282" t="s">
        <v>18</v>
      </c>
      <c r="R481" s="284"/>
      <c r="S481" s="282" t="s">
        <v>19</v>
      </c>
      <c r="T481" s="284"/>
      <c r="U481" s="282" t="s">
        <v>20</v>
      </c>
      <c r="V481" s="284"/>
      <c r="W481" s="282" t="s">
        <v>645</v>
      </c>
      <c r="X481" s="733"/>
      <c r="Y481" s="734"/>
      <c r="Z481" s="734"/>
      <c r="AA481" s="734"/>
      <c r="AB481" s="730"/>
    </row>
    <row r="482" spans="1:28" ht="12" customHeight="1" x14ac:dyDescent="0.2">
      <c r="A482" s="4"/>
      <c r="B482" s="1281" t="s">
        <v>872</v>
      </c>
      <c r="C482" s="1282"/>
      <c r="D482" s="1282"/>
      <c r="E482" s="1282"/>
      <c r="F482" s="465">
        <f>9.55*X2</f>
        <v>8957.9000000000015</v>
      </c>
      <c r="G482" s="371">
        <f t="shared" ref="G482" si="1100">+F482*$X$1</f>
        <v>8957.9000000000015</v>
      </c>
      <c r="H482" s="625">
        <f>F482+3000</f>
        <v>11957.900000000001</v>
      </c>
      <c r="I482" s="331">
        <f t="shared" ref="I482" si="1101">+H482*$X$1</f>
        <v>11957.900000000001</v>
      </c>
      <c r="J482" s="625">
        <f>F482+900</f>
        <v>9857.9000000000015</v>
      </c>
      <c r="K482" s="331">
        <f t="shared" ref="K482" si="1102">+J482*$X$1</f>
        <v>9857.9000000000015</v>
      </c>
      <c r="L482" s="625">
        <f>F482+840</f>
        <v>9797.9000000000015</v>
      </c>
      <c r="M482" s="331">
        <f t="shared" ref="M482" si="1103">+L482*$X$1</f>
        <v>9797.9000000000015</v>
      </c>
      <c r="N482" s="625">
        <f>F482+800</f>
        <v>9757.9000000000015</v>
      </c>
      <c r="O482" s="331">
        <f t="shared" ref="O482" si="1104">+N482*$X$1</f>
        <v>9757.9000000000015</v>
      </c>
      <c r="P482" s="625">
        <f>F482+760</f>
        <v>9717.9000000000015</v>
      </c>
      <c r="Q482" s="331">
        <f t="shared" ref="Q482" si="1105">+P482*$X$1</f>
        <v>9717.9000000000015</v>
      </c>
      <c r="R482" s="625">
        <f>F482+730</f>
        <v>9687.9000000000015</v>
      </c>
      <c r="S482" s="331">
        <f t="shared" ref="S482" si="1106">+R482*$X$1</f>
        <v>9687.9000000000015</v>
      </c>
      <c r="T482" s="625">
        <f>F482+690</f>
        <v>9647.9000000000015</v>
      </c>
      <c r="U482" s="331">
        <f t="shared" ref="U482" si="1107">+T482*$X$1</f>
        <v>9647.9000000000015</v>
      </c>
      <c r="V482" s="625">
        <f>F482+650</f>
        <v>9607.9000000000015</v>
      </c>
      <c r="W482" s="331">
        <f t="shared" ref="W482" si="1108">+V482*$X$1</f>
        <v>9607.9000000000015</v>
      </c>
      <c r="X482" s="150"/>
      <c r="Y482" s="145"/>
      <c r="Z482" s="151"/>
      <c r="AA482" s="152"/>
      <c r="AB482" s="507" t="s">
        <v>876</v>
      </c>
    </row>
    <row r="483" spans="1:28" ht="12" customHeight="1" x14ac:dyDescent="0.2">
      <c r="A483" s="4"/>
      <c r="B483" s="931" t="s">
        <v>871</v>
      </c>
      <c r="C483" s="932"/>
      <c r="D483" s="932"/>
      <c r="E483" s="932"/>
      <c r="F483" s="466">
        <f>9.55*X2</f>
        <v>8957.9000000000015</v>
      </c>
      <c r="G483" s="357">
        <f t="shared" ref="G483" si="1109">+F483*$X$1</f>
        <v>8957.9000000000015</v>
      </c>
      <c r="H483" s="108">
        <f>F483+2200</f>
        <v>11157.900000000001</v>
      </c>
      <c r="I483" s="357">
        <f t="shared" ref="I483" si="1110">+H483*$X$1</f>
        <v>11157.900000000001</v>
      </c>
      <c r="J483" s="108">
        <f>F483+550</f>
        <v>9507.9000000000015</v>
      </c>
      <c r="K483" s="357">
        <f t="shared" ref="K483" si="1111">+J483*$X$1</f>
        <v>9507.9000000000015</v>
      </c>
      <c r="L483" s="108">
        <f>F483+480</f>
        <v>9437.9000000000015</v>
      </c>
      <c r="M483" s="357">
        <f t="shared" ref="M483" si="1112">+L483*$X$1</f>
        <v>9437.9000000000015</v>
      </c>
      <c r="N483" s="108">
        <f>F483+440</f>
        <v>9397.9000000000015</v>
      </c>
      <c r="O483" s="357">
        <f t="shared" ref="O483" si="1113">+N483*$X$1</f>
        <v>9397.9000000000015</v>
      </c>
      <c r="P483" s="108">
        <f>F483+410</f>
        <v>9367.9000000000015</v>
      </c>
      <c r="Q483" s="357">
        <f t="shared" ref="Q483" si="1114">+P483*$X$1</f>
        <v>9367.9000000000015</v>
      </c>
      <c r="R483" s="108">
        <f>F483+390</f>
        <v>9347.9000000000015</v>
      </c>
      <c r="S483" s="357">
        <f t="shared" ref="S483" si="1115">+R483*$X$1</f>
        <v>9347.9000000000015</v>
      </c>
      <c r="T483" s="108">
        <f>F483+350</f>
        <v>9307.9000000000015</v>
      </c>
      <c r="U483" s="357">
        <f t="shared" ref="U483" si="1116">+T483*$X$1</f>
        <v>9307.9000000000015</v>
      </c>
      <c r="V483" s="108">
        <f>F483+320</f>
        <v>9277.9000000000015</v>
      </c>
      <c r="W483" s="357">
        <f t="shared" ref="W483" si="1117">+V483*$X$1</f>
        <v>9277.9000000000015</v>
      </c>
      <c r="X483" s="150"/>
      <c r="Y483" s="145"/>
      <c r="Z483" s="151"/>
      <c r="AA483" s="152"/>
      <c r="AB483" s="507">
        <v>873</v>
      </c>
    </row>
    <row r="484" spans="1:28" ht="12" customHeight="1" x14ac:dyDescent="0.2">
      <c r="A484" s="4"/>
      <c r="B484" s="931" t="s">
        <v>818</v>
      </c>
      <c r="C484" s="932"/>
      <c r="D484" s="932"/>
      <c r="E484" s="932"/>
      <c r="F484" s="465">
        <f>18.82*X2</f>
        <v>17653.16</v>
      </c>
      <c r="G484" s="371">
        <f t="shared" ref="G484" si="1118">+F484*$X$1</f>
        <v>17653.16</v>
      </c>
      <c r="H484" s="107">
        <f>F484+2200</f>
        <v>19853.16</v>
      </c>
      <c r="I484" s="371">
        <f t="shared" ref="I484" si="1119">+H484*$X$1</f>
        <v>19853.16</v>
      </c>
      <c r="J484" s="107">
        <f>F484+550</f>
        <v>18203.16</v>
      </c>
      <c r="K484" s="371">
        <f t="shared" ref="K484" si="1120">+J484*$X$1</f>
        <v>18203.16</v>
      </c>
      <c r="L484" s="107">
        <f>F484+480</f>
        <v>18133.16</v>
      </c>
      <c r="M484" s="371">
        <f t="shared" ref="M484" si="1121">+L484*$X$1</f>
        <v>18133.16</v>
      </c>
      <c r="N484" s="107">
        <f>F484+440</f>
        <v>18093.16</v>
      </c>
      <c r="O484" s="371">
        <f t="shared" ref="O484" si="1122">+N484*$X$1</f>
        <v>18093.16</v>
      </c>
      <c r="P484" s="107">
        <f>F484+410</f>
        <v>18063.16</v>
      </c>
      <c r="Q484" s="371">
        <f t="shared" ref="Q484" si="1123">+P484*$X$1</f>
        <v>18063.16</v>
      </c>
      <c r="R484" s="107">
        <f>F484+390</f>
        <v>18043.16</v>
      </c>
      <c r="S484" s="371">
        <f t="shared" ref="S484" si="1124">+R484*$X$1</f>
        <v>18043.16</v>
      </c>
      <c r="T484" s="107">
        <f>F484+350</f>
        <v>18003.16</v>
      </c>
      <c r="U484" s="371">
        <f t="shared" ref="U484" si="1125">+T484*$X$1</f>
        <v>18003.16</v>
      </c>
      <c r="V484" s="107">
        <f>F484+320</f>
        <v>17973.16</v>
      </c>
      <c r="W484" s="371">
        <f t="shared" ref="W484" si="1126">+V484*$X$1</f>
        <v>17973.16</v>
      </c>
      <c r="X484" s="150"/>
      <c r="Y484" s="145"/>
      <c r="Z484" s="151"/>
      <c r="AA484" s="152"/>
      <c r="AB484" s="507">
        <v>874</v>
      </c>
    </row>
    <row r="485" spans="1:28" ht="12.6" customHeight="1" x14ac:dyDescent="0.2">
      <c r="A485" s="4"/>
      <c r="B485" s="789" t="s">
        <v>782</v>
      </c>
      <c r="C485" s="790"/>
      <c r="D485" s="790"/>
      <c r="E485" s="790"/>
      <c r="F485" s="466">
        <f>12*X2</f>
        <v>11256</v>
      </c>
      <c r="G485" s="357">
        <f t="shared" ref="G485:G486" si="1127">+F485*$X$1</f>
        <v>11256</v>
      </c>
      <c r="H485" s="368">
        <f>F485+3000</f>
        <v>14256</v>
      </c>
      <c r="I485" s="330">
        <f t="shared" ref="I485" si="1128">+H485*$X$1</f>
        <v>14256</v>
      </c>
      <c r="J485" s="368">
        <f>F485+900</f>
        <v>12156</v>
      </c>
      <c r="K485" s="330">
        <f t="shared" ref="K485" si="1129">+J485*$X$1</f>
        <v>12156</v>
      </c>
      <c r="L485" s="368">
        <f>F485+840</f>
        <v>12096</v>
      </c>
      <c r="M485" s="330">
        <f t="shared" ref="M485" si="1130">+L485*$X$1</f>
        <v>12096</v>
      </c>
      <c r="N485" s="368">
        <f>F485+800</f>
        <v>12056</v>
      </c>
      <c r="O485" s="330">
        <f t="shared" ref="O485" si="1131">+N485*$X$1</f>
        <v>12056</v>
      </c>
      <c r="P485" s="368">
        <f>F485+760</f>
        <v>12016</v>
      </c>
      <c r="Q485" s="330">
        <f t="shared" ref="Q485" si="1132">+P485*$X$1</f>
        <v>12016</v>
      </c>
      <c r="R485" s="368">
        <f>F485+730</f>
        <v>11986</v>
      </c>
      <c r="S485" s="330">
        <f t="shared" ref="S485" si="1133">+R485*$X$1</f>
        <v>11986</v>
      </c>
      <c r="T485" s="368">
        <f>F485+690</f>
        <v>11946</v>
      </c>
      <c r="U485" s="330">
        <f t="shared" ref="U485" si="1134">+T485*$X$1</f>
        <v>11946</v>
      </c>
      <c r="V485" s="368">
        <f>F485+650</f>
        <v>11906</v>
      </c>
      <c r="W485" s="330">
        <f t="shared" ref="W485" si="1135">+V485*$X$1</f>
        <v>11906</v>
      </c>
      <c r="X485" s="150"/>
      <c r="Y485" s="145"/>
      <c r="Z485" s="151"/>
      <c r="AA485" s="152"/>
      <c r="AB485" s="507" t="s">
        <v>792</v>
      </c>
    </row>
    <row r="486" spans="1:28" ht="12" customHeight="1" x14ac:dyDescent="0.2">
      <c r="A486" s="4"/>
      <c r="B486" s="816" t="s">
        <v>783</v>
      </c>
      <c r="C486" s="695"/>
      <c r="D486" s="695"/>
      <c r="E486" s="695"/>
      <c r="F486" s="465">
        <f>12*X2</f>
        <v>11256</v>
      </c>
      <c r="G486" s="371">
        <f t="shared" si="1127"/>
        <v>11256</v>
      </c>
      <c r="H486" s="107">
        <f>F486+2200</f>
        <v>13456</v>
      </c>
      <c r="I486" s="371">
        <f t="shared" ref="I486" si="1136">+H486*$X$1</f>
        <v>13456</v>
      </c>
      <c r="J486" s="107">
        <f>F486+550</f>
        <v>11806</v>
      </c>
      <c r="K486" s="371">
        <f t="shared" ref="K486" si="1137">+J486*$X$1</f>
        <v>11806</v>
      </c>
      <c r="L486" s="107">
        <f>F486+480</f>
        <v>11736</v>
      </c>
      <c r="M486" s="371">
        <f t="shared" ref="M486" si="1138">+L486*$X$1</f>
        <v>11736</v>
      </c>
      <c r="N486" s="107">
        <f>F486+440</f>
        <v>11696</v>
      </c>
      <c r="O486" s="371">
        <f t="shared" ref="O486" si="1139">+N486*$X$1</f>
        <v>11696</v>
      </c>
      <c r="P486" s="107">
        <f>F486+410</f>
        <v>11666</v>
      </c>
      <c r="Q486" s="371">
        <f t="shared" ref="Q486" si="1140">+P486*$X$1</f>
        <v>11666</v>
      </c>
      <c r="R486" s="107">
        <f>F486+390</f>
        <v>11646</v>
      </c>
      <c r="S486" s="371">
        <f t="shared" ref="S486" si="1141">+R486*$X$1</f>
        <v>11646</v>
      </c>
      <c r="T486" s="107">
        <f>F486+350</f>
        <v>11606</v>
      </c>
      <c r="U486" s="371">
        <f t="shared" ref="U486" si="1142">+T486*$X$1</f>
        <v>11606</v>
      </c>
      <c r="V486" s="107">
        <f>F486+320</f>
        <v>11576</v>
      </c>
      <c r="W486" s="371">
        <f t="shared" ref="W486" si="1143">+V486*$X$1</f>
        <v>11576</v>
      </c>
      <c r="X486" s="150"/>
      <c r="Y486" s="145"/>
      <c r="Z486" s="151"/>
      <c r="AA486" s="152"/>
      <c r="AB486" s="507">
        <v>875</v>
      </c>
    </row>
    <row r="487" spans="1:28" ht="12.6" customHeight="1" x14ac:dyDescent="0.2">
      <c r="A487" s="4"/>
      <c r="B487" s="789" t="s">
        <v>873</v>
      </c>
      <c r="C487" s="790"/>
      <c r="D487" s="790"/>
      <c r="E487" s="790"/>
      <c r="F487" s="466">
        <f>17.96*X2</f>
        <v>16846.48</v>
      </c>
      <c r="G487" s="357">
        <f t="shared" ref="G487" si="1144">+F487*$X$1</f>
        <v>16846.48</v>
      </c>
      <c r="H487" s="108">
        <f>F487+2200</f>
        <v>19046.48</v>
      </c>
      <c r="I487" s="357">
        <f t="shared" ref="I487" si="1145">+H487*$X$1</f>
        <v>19046.48</v>
      </c>
      <c r="J487" s="108">
        <f>F487+550</f>
        <v>17396.48</v>
      </c>
      <c r="K487" s="357">
        <f t="shared" ref="K487" si="1146">+J487*$X$1</f>
        <v>17396.48</v>
      </c>
      <c r="L487" s="108">
        <f>F487+480</f>
        <v>17326.48</v>
      </c>
      <c r="M487" s="357">
        <f t="shared" ref="M487" si="1147">+L487*$X$1</f>
        <v>17326.48</v>
      </c>
      <c r="N487" s="108">
        <f>F487+440</f>
        <v>17286.48</v>
      </c>
      <c r="O487" s="357">
        <f t="shared" ref="O487" si="1148">+N487*$X$1</f>
        <v>17286.48</v>
      </c>
      <c r="P487" s="108">
        <f>F487+410</f>
        <v>17256.48</v>
      </c>
      <c r="Q487" s="357">
        <f t="shared" ref="Q487" si="1149">+P487*$X$1</f>
        <v>17256.48</v>
      </c>
      <c r="R487" s="108">
        <f>F487+390</f>
        <v>17236.48</v>
      </c>
      <c r="S487" s="357">
        <f t="shared" ref="S487" si="1150">+R487*$X$1</f>
        <v>17236.48</v>
      </c>
      <c r="T487" s="108">
        <f>F487+350</f>
        <v>17196.48</v>
      </c>
      <c r="U487" s="357">
        <f t="shared" ref="U487" si="1151">+T487*$X$1</f>
        <v>17196.48</v>
      </c>
      <c r="V487" s="108">
        <f>F487+320</f>
        <v>17166.48</v>
      </c>
      <c r="W487" s="357">
        <f t="shared" ref="W487" si="1152">+V487*$X$1</f>
        <v>17166.48</v>
      </c>
      <c r="X487" s="150"/>
      <c r="Y487" s="145"/>
      <c r="Z487" s="151"/>
      <c r="AA487" s="152"/>
      <c r="AB487" s="507">
        <v>876</v>
      </c>
    </row>
    <row r="488" spans="1:28" ht="12.6" customHeight="1" x14ac:dyDescent="0.2">
      <c r="A488" s="4"/>
      <c r="B488" s="931" t="s">
        <v>819</v>
      </c>
      <c r="C488" s="932"/>
      <c r="D488" s="932"/>
      <c r="E488" s="932"/>
      <c r="F488" s="465">
        <f>15.37*X2</f>
        <v>14417.06</v>
      </c>
      <c r="G488" s="371">
        <f t="shared" ref="G488" si="1153">+F488*$X$1</f>
        <v>14417.06</v>
      </c>
      <c r="H488" s="568">
        <f>F488+3000</f>
        <v>17417.059999999998</v>
      </c>
      <c r="I488" s="331">
        <f t="shared" ref="I488:I489" si="1154">+H488*$X$1</f>
        <v>17417.059999999998</v>
      </c>
      <c r="J488" s="568">
        <f>F488+900</f>
        <v>15317.06</v>
      </c>
      <c r="K488" s="331">
        <f t="shared" ref="K488:K489" si="1155">+J488*$X$1</f>
        <v>15317.06</v>
      </c>
      <c r="L488" s="568">
        <f>F488+840</f>
        <v>15257.06</v>
      </c>
      <c r="M488" s="331">
        <f t="shared" ref="M488:M489" si="1156">+L488*$X$1</f>
        <v>15257.06</v>
      </c>
      <c r="N488" s="568">
        <f>F488+800</f>
        <v>15217.06</v>
      </c>
      <c r="O488" s="331">
        <f t="shared" ref="O488:O489" si="1157">+N488*$X$1</f>
        <v>15217.06</v>
      </c>
      <c r="P488" s="568">
        <f>F488+760</f>
        <v>15177.06</v>
      </c>
      <c r="Q488" s="331">
        <f t="shared" ref="Q488:Q489" si="1158">+P488*$X$1</f>
        <v>15177.06</v>
      </c>
      <c r="R488" s="568">
        <f>F488+730</f>
        <v>15147.06</v>
      </c>
      <c r="S488" s="331">
        <f t="shared" ref="S488:S489" si="1159">+R488*$X$1</f>
        <v>15147.06</v>
      </c>
      <c r="T488" s="568">
        <f>F488+690</f>
        <v>15107.06</v>
      </c>
      <c r="U488" s="331">
        <f t="shared" ref="U488:U489" si="1160">+T488*$X$1</f>
        <v>15107.06</v>
      </c>
      <c r="V488" s="568">
        <f>F488+650</f>
        <v>15067.06</v>
      </c>
      <c r="W488" s="331">
        <f t="shared" ref="W488:W489" si="1161">+V488*$X$1</f>
        <v>15067.06</v>
      </c>
      <c r="X488" s="150"/>
      <c r="Y488" s="145"/>
      <c r="Z488" s="151"/>
      <c r="AA488" s="152"/>
      <c r="AB488" s="507" t="s">
        <v>723</v>
      </c>
    </row>
    <row r="489" spans="1:28" ht="12.6" customHeight="1" x14ac:dyDescent="0.2">
      <c r="A489" s="4"/>
      <c r="B489" s="931" t="s">
        <v>820</v>
      </c>
      <c r="C489" s="932"/>
      <c r="D489" s="932"/>
      <c r="E489" s="932"/>
      <c r="F489" s="466">
        <f>15.37*X2</f>
        <v>14417.06</v>
      </c>
      <c r="G489" s="357">
        <f t="shared" ref="G489" si="1162">+F489*$X$1</f>
        <v>14417.06</v>
      </c>
      <c r="H489" s="108">
        <f>F489+2200</f>
        <v>16617.059999999998</v>
      </c>
      <c r="I489" s="357">
        <f t="shared" si="1154"/>
        <v>16617.059999999998</v>
      </c>
      <c r="J489" s="108">
        <f>F489+550</f>
        <v>14967.06</v>
      </c>
      <c r="K489" s="357">
        <f t="shared" si="1155"/>
        <v>14967.06</v>
      </c>
      <c r="L489" s="108">
        <f>F489+480</f>
        <v>14897.06</v>
      </c>
      <c r="M489" s="357">
        <f t="shared" si="1156"/>
        <v>14897.06</v>
      </c>
      <c r="N489" s="108">
        <f>F489+440</f>
        <v>14857.06</v>
      </c>
      <c r="O489" s="357">
        <f t="shared" si="1157"/>
        <v>14857.06</v>
      </c>
      <c r="P489" s="108">
        <f>F489+410</f>
        <v>14827.06</v>
      </c>
      <c r="Q489" s="357">
        <f t="shared" si="1158"/>
        <v>14827.06</v>
      </c>
      <c r="R489" s="108">
        <f>F489+390</f>
        <v>14807.06</v>
      </c>
      <c r="S489" s="357">
        <f t="shared" si="1159"/>
        <v>14807.06</v>
      </c>
      <c r="T489" s="108">
        <f>F489+350</f>
        <v>14767.06</v>
      </c>
      <c r="U489" s="357">
        <f t="shared" si="1160"/>
        <v>14767.06</v>
      </c>
      <c r="V489" s="108">
        <f>F489+320</f>
        <v>14737.06</v>
      </c>
      <c r="W489" s="357">
        <f t="shared" si="1161"/>
        <v>14737.06</v>
      </c>
      <c r="X489" s="150"/>
      <c r="Y489" s="145"/>
      <c r="Z489" s="151"/>
      <c r="AA489" s="152"/>
      <c r="AB489" s="507">
        <v>878</v>
      </c>
    </row>
    <row r="490" spans="1:28" ht="12.6" customHeight="1" x14ac:dyDescent="0.2">
      <c r="A490" s="4"/>
      <c r="B490" s="957" t="s">
        <v>784</v>
      </c>
      <c r="C490" s="786"/>
      <c r="D490" s="786"/>
      <c r="E490" s="786"/>
      <c r="F490" s="465">
        <f>23.83*X2</f>
        <v>22352.539999999997</v>
      </c>
      <c r="G490" s="371">
        <f t="shared" ref="G490" si="1163">+F490*$X$1</f>
        <v>22352.539999999997</v>
      </c>
      <c r="H490" s="650">
        <f>F490+3000</f>
        <v>25352.539999999997</v>
      </c>
      <c r="I490" s="331">
        <f t="shared" ref="I490:I491" si="1164">+H490*$X$1</f>
        <v>25352.539999999997</v>
      </c>
      <c r="J490" s="650">
        <f>F490+900</f>
        <v>23252.539999999997</v>
      </c>
      <c r="K490" s="331">
        <f t="shared" ref="K490:K491" si="1165">+J490*$X$1</f>
        <v>23252.539999999997</v>
      </c>
      <c r="L490" s="650">
        <f>F490+840</f>
        <v>23192.539999999997</v>
      </c>
      <c r="M490" s="331">
        <f t="shared" ref="M490:M491" si="1166">+L490*$X$1</f>
        <v>23192.539999999997</v>
      </c>
      <c r="N490" s="650">
        <f>F490+800</f>
        <v>23152.539999999997</v>
      </c>
      <c r="O490" s="331">
        <f t="shared" ref="O490:O491" si="1167">+N490*$X$1</f>
        <v>23152.539999999997</v>
      </c>
      <c r="P490" s="650">
        <f>F490+760</f>
        <v>23112.539999999997</v>
      </c>
      <c r="Q490" s="331">
        <f t="shared" ref="Q490:Q491" si="1168">+P490*$X$1</f>
        <v>23112.539999999997</v>
      </c>
      <c r="R490" s="650">
        <f>F490+730</f>
        <v>23082.539999999997</v>
      </c>
      <c r="S490" s="331">
        <f t="shared" ref="S490:S491" si="1169">+R490*$X$1</f>
        <v>23082.539999999997</v>
      </c>
      <c r="T490" s="650">
        <f>F490+690</f>
        <v>23042.539999999997</v>
      </c>
      <c r="U490" s="331">
        <f t="shared" ref="U490:U491" si="1170">+T490*$X$1</f>
        <v>23042.539999999997</v>
      </c>
      <c r="V490" s="650">
        <f>F490+650</f>
        <v>23002.539999999997</v>
      </c>
      <c r="W490" s="331">
        <f t="shared" ref="W490:W491" si="1171">+V490*$X$1</f>
        <v>23002.539999999997</v>
      </c>
      <c r="X490" s="150"/>
      <c r="Y490" s="145"/>
      <c r="Z490" s="151"/>
      <c r="AA490" s="152"/>
      <c r="AB490" s="507" t="s">
        <v>679</v>
      </c>
    </row>
    <row r="491" spans="1:28" ht="12.6" customHeight="1" x14ac:dyDescent="0.2">
      <c r="A491" s="4"/>
      <c r="B491" s="703" t="s">
        <v>785</v>
      </c>
      <c r="C491" s="803"/>
      <c r="D491" s="803"/>
      <c r="E491" s="803"/>
      <c r="F491" s="357">
        <f>23.83*X2</f>
        <v>22352.539999999997</v>
      </c>
      <c r="G491" s="357">
        <f t="shared" ref="G491:G492" si="1172">+F491*$X$1</f>
        <v>22352.539999999997</v>
      </c>
      <c r="H491" s="108">
        <f>F491+2200</f>
        <v>24552.539999999997</v>
      </c>
      <c r="I491" s="357">
        <f t="shared" si="1164"/>
        <v>24552.539999999997</v>
      </c>
      <c r="J491" s="108">
        <f>F491+550</f>
        <v>22902.539999999997</v>
      </c>
      <c r="K491" s="357">
        <f t="shared" si="1165"/>
        <v>22902.539999999997</v>
      </c>
      <c r="L491" s="108">
        <f>F491+480</f>
        <v>22832.539999999997</v>
      </c>
      <c r="M491" s="357">
        <f t="shared" si="1166"/>
        <v>22832.539999999997</v>
      </c>
      <c r="N491" s="108">
        <f>F491+440</f>
        <v>22792.539999999997</v>
      </c>
      <c r="O491" s="357">
        <f t="shared" si="1167"/>
        <v>22792.539999999997</v>
      </c>
      <c r="P491" s="108">
        <f>F491+410</f>
        <v>22762.539999999997</v>
      </c>
      <c r="Q491" s="357">
        <f t="shared" si="1168"/>
        <v>22762.539999999997</v>
      </c>
      <c r="R491" s="108">
        <f>F491+390</f>
        <v>22742.539999999997</v>
      </c>
      <c r="S491" s="357">
        <f t="shared" si="1169"/>
        <v>22742.539999999997</v>
      </c>
      <c r="T491" s="108">
        <f>F491+350</f>
        <v>22702.539999999997</v>
      </c>
      <c r="U491" s="357">
        <f t="shared" si="1170"/>
        <v>22702.539999999997</v>
      </c>
      <c r="V491" s="108">
        <f>F491+320</f>
        <v>22672.539999999997</v>
      </c>
      <c r="W491" s="357">
        <f t="shared" si="1171"/>
        <v>22672.539999999997</v>
      </c>
      <c r="X491" s="150"/>
      <c r="Y491" s="145"/>
      <c r="Z491" s="151"/>
      <c r="AA491" s="152"/>
      <c r="AB491" s="507">
        <v>880</v>
      </c>
    </row>
    <row r="492" spans="1:28" ht="12.6" customHeight="1" x14ac:dyDescent="0.2">
      <c r="A492" s="4"/>
      <c r="B492" s="957" t="s">
        <v>786</v>
      </c>
      <c r="C492" s="786"/>
      <c r="D492" s="786"/>
      <c r="E492" s="786"/>
      <c r="F492" s="465">
        <f>31.4*X2</f>
        <v>29453.199999999997</v>
      </c>
      <c r="G492" s="371">
        <f t="shared" si="1172"/>
        <v>29453.199999999997</v>
      </c>
      <c r="H492" s="568">
        <f>F492+3000</f>
        <v>32453.199999999997</v>
      </c>
      <c r="I492" s="331">
        <f t="shared" ref="I492:I493" si="1173">+H492*$X$1</f>
        <v>32453.199999999997</v>
      </c>
      <c r="J492" s="568">
        <f>F492+900</f>
        <v>30353.199999999997</v>
      </c>
      <c r="K492" s="331">
        <f t="shared" ref="K492:K493" si="1174">+J492*$X$1</f>
        <v>30353.199999999997</v>
      </c>
      <c r="L492" s="568">
        <f>F492+840</f>
        <v>30293.199999999997</v>
      </c>
      <c r="M492" s="331">
        <f t="shared" ref="M492:M493" si="1175">+L492*$X$1</f>
        <v>30293.199999999997</v>
      </c>
      <c r="N492" s="568">
        <f>F492+800</f>
        <v>30253.199999999997</v>
      </c>
      <c r="O492" s="331">
        <f t="shared" ref="O492:O493" si="1176">+N492*$X$1</f>
        <v>30253.199999999997</v>
      </c>
      <c r="P492" s="568">
        <f>F492+760</f>
        <v>30213.199999999997</v>
      </c>
      <c r="Q492" s="331">
        <f t="shared" ref="Q492:Q493" si="1177">+P492*$X$1</f>
        <v>30213.199999999997</v>
      </c>
      <c r="R492" s="568">
        <f>F492+730</f>
        <v>30183.199999999997</v>
      </c>
      <c r="S492" s="331">
        <f t="shared" ref="S492:S493" si="1178">+R492*$X$1</f>
        <v>30183.199999999997</v>
      </c>
      <c r="T492" s="568">
        <f>F492+690</f>
        <v>30143.199999999997</v>
      </c>
      <c r="U492" s="331">
        <f t="shared" ref="U492:U493" si="1179">+T492*$X$1</f>
        <v>30143.199999999997</v>
      </c>
      <c r="V492" s="568">
        <f>F492+650</f>
        <v>30103.199999999997</v>
      </c>
      <c r="W492" s="331">
        <f t="shared" ref="W492:W493" si="1180">+V492*$X$1</f>
        <v>30103.199999999997</v>
      </c>
      <c r="X492" s="150"/>
      <c r="Y492" s="145"/>
      <c r="Z492" s="151"/>
      <c r="AA492" s="152"/>
      <c r="AB492" s="507" t="s">
        <v>680</v>
      </c>
    </row>
    <row r="493" spans="1:28" ht="12.6" customHeight="1" x14ac:dyDescent="0.2">
      <c r="A493" s="4"/>
      <c r="B493" s="703" t="s">
        <v>787</v>
      </c>
      <c r="C493" s="697"/>
      <c r="D493" s="697"/>
      <c r="E493" s="697"/>
      <c r="F493" s="466">
        <f>31.4*X2</f>
        <v>29453.199999999997</v>
      </c>
      <c r="G493" s="357">
        <f t="shared" ref="G493:G494" si="1181">+F493*$X$1</f>
        <v>29453.199999999997</v>
      </c>
      <c r="H493" s="108">
        <f>F493+2200</f>
        <v>31653.199999999997</v>
      </c>
      <c r="I493" s="357">
        <f t="shared" si="1173"/>
        <v>31653.199999999997</v>
      </c>
      <c r="J493" s="108">
        <f>F493+550</f>
        <v>30003.199999999997</v>
      </c>
      <c r="K493" s="357">
        <f t="shared" si="1174"/>
        <v>30003.199999999997</v>
      </c>
      <c r="L493" s="108">
        <f>F493+480</f>
        <v>29933.199999999997</v>
      </c>
      <c r="M493" s="357">
        <f t="shared" si="1175"/>
        <v>29933.199999999997</v>
      </c>
      <c r="N493" s="108">
        <f>F493+440</f>
        <v>29893.199999999997</v>
      </c>
      <c r="O493" s="357">
        <f t="shared" si="1176"/>
        <v>29893.199999999997</v>
      </c>
      <c r="P493" s="108">
        <f>F493+410</f>
        <v>29863.199999999997</v>
      </c>
      <c r="Q493" s="357">
        <f t="shared" si="1177"/>
        <v>29863.199999999997</v>
      </c>
      <c r="R493" s="108">
        <f>F493+390</f>
        <v>29843.199999999997</v>
      </c>
      <c r="S493" s="357">
        <f t="shared" si="1178"/>
        <v>29843.199999999997</v>
      </c>
      <c r="T493" s="108">
        <f>F493+350</f>
        <v>29803.199999999997</v>
      </c>
      <c r="U493" s="357">
        <f t="shared" si="1179"/>
        <v>29803.199999999997</v>
      </c>
      <c r="V493" s="108">
        <f>F493+320</f>
        <v>29773.199999999997</v>
      </c>
      <c r="W493" s="357">
        <f t="shared" si="1180"/>
        <v>29773.199999999997</v>
      </c>
      <c r="X493" s="150"/>
      <c r="Y493" s="145"/>
      <c r="Z493" s="151"/>
      <c r="AA493" s="152"/>
      <c r="AB493" s="507">
        <v>881</v>
      </c>
    </row>
    <row r="494" spans="1:28" ht="12.6" customHeight="1" x14ac:dyDescent="0.2">
      <c r="A494" s="4"/>
      <c r="B494" s="957" t="s">
        <v>788</v>
      </c>
      <c r="C494" s="786"/>
      <c r="D494" s="786"/>
      <c r="E494" s="786"/>
      <c r="F494" s="465">
        <f>20.241*X2</f>
        <v>18986.058000000001</v>
      </c>
      <c r="G494" s="371">
        <f t="shared" si="1181"/>
        <v>18986.058000000001</v>
      </c>
      <c r="H494" s="107">
        <f>F494+2000</f>
        <v>20986.058000000001</v>
      </c>
      <c r="I494" s="371">
        <f t="shared" ref="I494:I496" si="1182">+H494*$X$1</f>
        <v>20986.058000000001</v>
      </c>
      <c r="J494" s="107">
        <f>F494+500</f>
        <v>19486.058000000001</v>
      </c>
      <c r="K494" s="371">
        <f t="shared" ref="K494:K496" si="1183">+J494*$X$1</f>
        <v>19486.058000000001</v>
      </c>
      <c r="L494" s="107">
        <f>F494+460</f>
        <v>19446.058000000001</v>
      </c>
      <c r="M494" s="371">
        <f t="shared" ref="M494:M496" si="1184">+L494*$X$1</f>
        <v>19446.058000000001</v>
      </c>
      <c r="N494" s="107">
        <f>F494+430</f>
        <v>19416.058000000001</v>
      </c>
      <c r="O494" s="371">
        <f t="shared" ref="O494:O496" si="1185">+N494*$X$1</f>
        <v>19416.058000000001</v>
      </c>
      <c r="P494" s="107">
        <f>F494+400</f>
        <v>19386.058000000001</v>
      </c>
      <c r="Q494" s="371">
        <f t="shared" ref="Q494:Q496" si="1186">+P494*$X$1</f>
        <v>19386.058000000001</v>
      </c>
      <c r="R494" s="107">
        <f>F494+380</f>
        <v>19366.058000000001</v>
      </c>
      <c r="S494" s="371">
        <f t="shared" ref="S494:S496" si="1187">+R494*$X$1</f>
        <v>19366.058000000001</v>
      </c>
      <c r="T494" s="107">
        <f>F494+350</f>
        <v>19336.058000000001</v>
      </c>
      <c r="U494" s="371">
        <f t="shared" ref="U494:U496" si="1188">+T494*$X$1</f>
        <v>19336.058000000001</v>
      </c>
      <c r="V494" s="107">
        <f>F494+320</f>
        <v>19306.058000000001</v>
      </c>
      <c r="W494" s="371">
        <f t="shared" ref="W494:W496" si="1189">+V494*$X$1</f>
        <v>19306.058000000001</v>
      </c>
      <c r="X494" s="150"/>
      <c r="Y494" s="145"/>
      <c r="Z494" s="151"/>
      <c r="AA494" s="152"/>
      <c r="AB494" s="507">
        <v>882</v>
      </c>
    </row>
    <row r="495" spans="1:28" ht="12.6" customHeight="1" x14ac:dyDescent="0.2">
      <c r="A495" s="4"/>
      <c r="B495" s="789" t="s">
        <v>532</v>
      </c>
      <c r="C495" s="790"/>
      <c r="D495" s="790"/>
      <c r="E495" s="790"/>
      <c r="F495" s="466">
        <f>24*X2</f>
        <v>22512</v>
      </c>
      <c r="G495" s="357">
        <f t="shared" ref="G495:G497" si="1190">+F495*$X$1</f>
        <v>22512</v>
      </c>
      <c r="H495" s="108">
        <f>F495+2200</f>
        <v>24712</v>
      </c>
      <c r="I495" s="357">
        <f t="shared" si="1182"/>
        <v>24712</v>
      </c>
      <c r="J495" s="108">
        <f>F495+550</f>
        <v>23062</v>
      </c>
      <c r="K495" s="357">
        <f t="shared" si="1183"/>
        <v>23062</v>
      </c>
      <c r="L495" s="108">
        <f>F495+480</f>
        <v>22992</v>
      </c>
      <c r="M495" s="357">
        <f t="shared" si="1184"/>
        <v>22992</v>
      </c>
      <c r="N495" s="108">
        <f>F495+440</f>
        <v>22952</v>
      </c>
      <c r="O495" s="357">
        <f t="shared" si="1185"/>
        <v>22952</v>
      </c>
      <c r="P495" s="108">
        <f>F495+410</f>
        <v>22922</v>
      </c>
      <c r="Q495" s="357">
        <f t="shared" si="1186"/>
        <v>22922</v>
      </c>
      <c r="R495" s="108">
        <f>F495+390</f>
        <v>22902</v>
      </c>
      <c r="S495" s="357">
        <f t="shared" si="1187"/>
        <v>22902</v>
      </c>
      <c r="T495" s="108">
        <f>F495+350</f>
        <v>22862</v>
      </c>
      <c r="U495" s="357">
        <f t="shared" si="1188"/>
        <v>22862</v>
      </c>
      <c r="V495" s="108">
        <f>F495+320</f>
        <v>22832</v>
      </c>
      <c r="W495" s="357">
        <f t="shared" si="1189"/>
        <v>22832</v>
      </c>
      <c r="X495" s="150"/>
      <c r="Y495" s="145"/>
      <c r="Z495" s="151"/>
      <c r="AA495" s="152"/>
      <c r="AB495" s="507">
        <v>883</v>
      </c>
    </row>
    <row r="496" spans="1:28" ht="12.6" customHeight="1" x14ac:dyDescent="0.2">
      <c r="A496" s="4"/>
      <c r="B496" s="809" t="s">
        <v>885</v>
      </c>
      <c r="C496" s="693"/>
      <c r="D496" s="693"/>
      <c r="E496" s="694"/>
      <c r="F496" s="465">
        <f>16.1*X2</f>
        <v>15101.800000000001</v>
      </c>
      <c r="G496" s="371">
        <f t="shared" si="1190"/>
        <v>15101.800000000001</v>
      </c>
      <c r="H496" s="639">
        <f>F496+3000</f>
        <v>18101.800000000003</v>
      </c>
      <c r="I496" s="331">
        <f t="shared" si="1182"/>
        <v>18101.800000000003</v>
      </c>
      <c r="J496" s="639">
        <f>F496+900</f>
        <v>16001.800000000001</v>
      </c>
      <c r="K496" s="331">
        <f t="shared" si="1183"/>
        <v>16001.800000000001</v>
      </c>
      <c r="L496" s="639">
        <f>F496+840</f>
        <v>15941.800000000001</v>
      </c>
      <c r="M496" s="331">
        <f t="shared" si="1184"/>
        <v>15941.800000000001</v>
      </c>
      <c r="N496" s="639">
        <f>F496+800</f>
        <v>15901.800000000001</v>
      </c>
      <c r="O496" s="331">
        <f t="shared" si="1185"/>
        <v>15901.800000000001</v>
      </c>
      <c r="P496" s="639">
        <f>F496+760</f>
        <v>15861.800000000001</v>
      </c>
      <c r="Q496" s="331">
        <f t="shared" si="1186"/>
        <v>15861.800000000001</v>
      </c>
      <c r="R496" s="639">
        <f>F496+730</f>
        <v>15831.800000000001</v>
      </c>
      <c r="S496" s="331">
        <f t="shared" si="1187"/>
        <v>15831.800000000001</v>
      </c>
      <c r="T496" s="639">
        <f>F496+690</f>
        <v>15791.800000000001</v>
      </c>
      <c r="U496" s="331">
        <f t="shared" si="1188"/>
        <v>15791.800000000001</v>
      </c>
      <c r="V496" s="639">
        <f>F496+650</f>
        <v>15751.800000000001</v>
      </c>
      <c r="W496" s="331">
        <f t="shared" si="1189"/>
        <v>15751.800000000001</v>
      </c>
      <c r="X496" s="150"/>
      <c r="Y496" s="145"/>
      <c r="Z496" s="151"/>
      <c r="AA496" s="152"/>
      <c r="AB496" s="507" t="s">
        <v>884</v>
      </c>
    </row>
    <row r="497" spans="1:28" ht="12.6" customHeight="1" x14ac:dyDescent="0.2">
      <c r="A497" s="4"/>
      <c r="B497" s="1063" t="s">
        <v>886</v>
      </c>
      <c r="C497" s="1064"/>
      <c r="D497" s="1064"/>
      <c r="E497" s="1065"/>
      <c r="F497" s="466">
        <f>16.1*X2</f>
        <v>15101.800000000001</v>
      </c>
      <c r="G497" s="357">
        <f t="shared" si="1190"/>
        <v>15101.800000000001</v>
      </c>
      <c r="H497" s="108">
        <f>F497+2000</f>
        <v>17101.800000000003</v>
      </c>
      <c r="I497" s="357">
        <f t="shared" ref="I497" si="1191">+H497*$X$1</f>
        <v>17101.800000000003</v>
      </c>
      <c r="J497" s="108">
        <f>F497+500</f>
        <v>15601.800000000001</v>
      </c>
      <c r="K497" s="357">
        <f t="shared" ref="K497" si="1192">+J497*$X$1</f>
        <v>15601.800000000001</v>
      </c>
      <c r="L497" s="108">
        <f>F497+460</f>
        <v>15561.800000000001</v>
      </c>
      <c r="M497" s="357">
        <f t="shared" ref="M497" si="1193">+L497*$X$1</f>
        <v>15561.800000000001</v>
      </c>
      <c r="N497" s="108">
        <f>F497+430</f>
        <v>15531.800000000001</v>
      </c>
      <c r="O497" s="357">
        <f t="shared" ref="O497" si="1194">+N497*$X$1</f>
        <v>15531.800000000001</v>
      </c>
      <c r="P497" s="108">
        <f>F497+400</f>
        <v>15501.800000000001</v>
      </c>
      <c r="Q497" s="357">
        <f t="shared" ref="Q497" si="1195">+P497*$X$1</f>
        <v>15501.800000000001</v>
      </c>
      <c r="R497" s="108">
        <f>F497+380</f>
        <v>15481.800000000001</v>
      </c>
      <c r="S497" s="357">
        <f t="shared" ref="S497" si="1196">+R497*$X$1</f>
        <v>15481.800000000001</v>
      </c>
      <c r="T497" s="108">
        <f>F497+350</f>
        <v>15451.800000000001</v>
      </c>
      <c r="U497" s="357">
        <f t="shared" ref="U497" si="1197">+T497*$X$1</f>
        <v>15451.800000000001</v>
      </c>
      <c r="V497" s="108">
        <f>F497+320</f>
        <v>15421.800000000001</v>
      </c>
      <c r="W497" s="357">
        <f t="shared" ref="W497" si="1198">+V497*$X$1</f>
        <v>15421.800000000001</v>
      </c>
      <c r="X497" s="150"/>
      <c r="Y497" s="145"/>
      <c r="Z497" s="151"/>
      <c r="AA497" s="152"/>
      <c r="AB497" s="507">
        <v>886</v>
      </c>
    </row>
    <row r="498" spans="1:28" ht="12.6" customHeight="1" x14ac:dyDescent="0.2">
      <c r="A498" s="4"/>
      <c r="B498" s="957" t="s">
        <v>822</v>
      </c>
      <c r="C498" s="786"/>
      <c r="D498" s="786"/>
      <c r="E498" s="786"/>
      <c r="F498" s="461">
        <f>23.5*X2</f>
        <v>22043</v>
      </c>
      <c r="G498" s="331">
        <f t="shared" ref="G498" si="1199">+F498*$X$1</f>
        <v>22043</v>
      </c>
      <c r="H498" s="568">
        <f>F498+3000</f>
        <v>25043</v>
      </c>
      <c r="I498" s="331">
        <f t="shared" ref="I498:I501" si="1200">+H498*$X$1</f>
        <v>25043</v>
      </c>
      <c r="J498" s="568">
        <f>F498+900</f>
        <v>22943</v>
      </c>
      <c r="K498" s="331">
        <f t="shared" ref="K498:K503" si="1201">+J498*$X$1</f>
        <v>22943</v>
      </c>
      <c r="L498" s="568">
        <f>F498+840</f>
        <v>22883</v>
      </c>
      <c r="M498" s="331">
        <f t="shared" ref="M498:M503" si="1202">+L498*$X$1</f>
        <v>22883</v>
      </c>
      <c r="N498" s="568">
        <f>F498+800</f>
        <v>22843</v>
      </c>
      <c r="O498" s="331">
        <f t="shared" ref="O498:O503" si="1203">+N498*$X$1</f>
        <v>22843</v>
      </c>
      <c r="P498" s="568">
        <f>F498+760</f>
        <v>22803</v>
      </c>
      <c r="Q498" s="331">
        <f t="shared" ref="Q498:Q503" si="1204">+P498*$X$1</f>
        <v>22803</v>
      </c>
      <c r="R498" s="568">
        <f>F498+730</f>
        <v>22773</v>
      </c>
      <c r="S498" s="331">
        <f t="shared" ref="S498:S503" si="1205">+R498*$X$1</f>
        <v>22773</v>
      </c>
      <c r="T498" s="568">
        <f>F498+690</f>
        <v>22733</v>
      </c>
      <c r="U498" s="331">
        <f t="shared" ref="U498:U503" si="1206">+T498*$X$1</f>
        <v>22733</v>
      </c>
      <c r="V498" s="568">
        <f>F498+650</f>
        <v>22693</v>
      </c>
      <c r="W498" s="331">
        <f t="shared" ref="W498:W503" si="1207">+V498*$X$1</f>
        <v>22693</v>
      </c>
      <c r="X498" s="150"/>
      <c r="Y498" s="145"/>
      <c r="Z498" s="151"/>
      <c r="AA498" s="152"/>
      <c r="AB498" s="507" t="s">
        <v>803</v>
      </c>
    </row>
    <row r="499" spans="1:28" ht="12.6" customHeight="1" x14ac:dyDescent="0.2">
      <c r="A499" s="4"/>
      <c r="B499" s="789" t="s">
        <v>821</v>
      </c>
      <c r="C499" s="790"/>
      <c r="D499" s="790"/>
      <c r="E499" s="790"/>
      <c r="F499" s="460">
        <f>23.45*X2</f>
        <v>21996.1</v>
      </c>
      <c r="G499" s="330">
        <f t="shared" ref="G499" si="1208">+F499*$X$1</f>
        <v>21996.1</v>
      </c>
      <c r="H499" s="108">
        <f>F499+2200</f>
        <v>24196.1</v>
      </c>
      <c r="I499" s="357">
        <f t="shared" si="1200"/>
        <v>24196.1</v>
      </c>
      <c r="J499" s="108">
        <f>F499+550</f>
        <v>22546.1</v>
      </c>
      <c r="K499" s="357">
        <f t="shared" si="1201"/>
        <v>22546.1</v>
      </c>
      <c r="L499" s="108">
        <f>F499+480</f>
        <v>22476.1</v>
      </c>
      <c r="M499" s="357">
        <f t="shared" si="1202"/>
        <v>22476.1</v>
      </c>
      <c r="N499" s="108">
        <f>F499+440</f>
        <v>22436.1</v>
      </c>
      <c r="O499" s="357">
        <f t="shared" si="1203"/>
        <v>22436.1</v>
      </c>
      <c r="P499" s="108">
        <f>F499+410</f>
        <v>22406.1</v>
      </c>
      <c r="Q499" s="357">
        <f t="shared" si="1204"/>
        <v>22406.1</v>
      </c>
      <c r="R499" s="108">
        <f>F499+390</f>
        <v>22386.1</v>
      </c>
      <c r="S499" s="357">
        <f t="shared" si="1205"/>
        <v>22386.1</v>
      </c>
      <c r="T499" s="108">
        <f>F499+350</f>
        <v>22346.1</v>
      </c>
      <c r="U499" s="357">
        <f t="shared" si="1206"/>
        <v>22346.1</v>
      </c>
      <c r="V499" s="108">
        <f>F499+320</f>
        <v>22316.1</v>
      </c>
      <c r="W499" s="357">
        <f t="shared" si="1207"/>
        <v>22316.1</v>
      </c>
      <c r="X499" s="150"/>
      <c r="Y499" s="145"/>
      <c r="Z499" s="151"/>
      <c r="AA499" s="152"/>
      <c r="AB499" s="507">
        <v>887</v>
      </c>
    </row>
    <row r="500" spans="1:28" ht="12.6" customHeight="1" x14ac:dyDescent="0.2">
      <c r="A500" s="4"/>
      <c r="B500" s="816" t="s">
        <v>722</v>
      </c>
      <c r="C500" s="695"/>
      <c r="D500" s="695"/>
      <c r="E500" s="695"/>
      <c r="F500" s="461">
        <f>14.7*X2</f>
        <v>13788.599999999999</v>
      </c>
      <c r="G500" s="331">
        <f t="shared" ref="G500" si="1209">+F500*$X$1</f>
        <v>13788.599999999999</v>
      </c>
      <c r="H500" s="107">
        <f>F500+2200</f>
        <v>15988.599999999999</v>
      </c>
      <c r="I500" s="371">
        <f t="shared" si="1200"/>
        <v>15988.599999999999</v>
      </c>
      <c r="J500" s="107">
        <f>F500+550</f>
        <v>14338.599999999999</v>
      </c>
      <c r="K500" s="371">
        <f t="shared" si="1201"/>
        <v>14338.599999999999</v>
      </c>
      <c r="L500" s="107">
        <f>F500+480</f>
        <v>14268.599999999999</v>
      </c>
      <c r="M500" s="371">
        <f t="shared" si="1202"/>
        <v>14268.599999999999</v>
      </c>
      <c r="N500" s="107">
        <f>F500+440</f>
        <v>14228.599999999999</v>
      </c>
      <c r="O500" s="371">
        <f t="shared" si="1203"/>
        <v>14228.599999999999</v>
      </c>
      <c r="P500" s="107">
        <f>F500+410</f>
        <v>14198.599999999999</v>
      </c>
      <c r="Q500" s="371">
        <f t="shared" si="1204"/>
        <v>14198.599999999999</v>
      </c>
      <c r="R500" s="107">
        <f>F500+390</f>
        <v>14178.599999999999</v>
      </c>
      <c r="S500" s="371">
        <f t="shared" si="1205"/>
        <v>14178.599999999999</v>
      </c>
      <c r="T500" s="107">
        <f>F500+350</f>
        <v>14138.599999999999</v>
      </c>
      <c r="U500" s="371">
        <f t="shared" si="1206"/>
        <v>14138.599999999999</v>
      </c>
      <c r="V500" s="107">
        <f>F500+320</f>
        <v>14108.599999999999</v>
      </c>
      <c r="W500" s="371">
        <f t="shared" si="1207"/>
        <v>14108.599999999999</v>
      </c>
      <c r="X500" s="150"/>
      <c r="Y500" s="145"/>
      <c r="Z500" s="151"/>
      <c r="AA500" s="152"/>
      <c r="AB500" s="507">
        <v>888</v>
      </c>
    </row>
    <row r="501" spans="1:28" ht="12.6" customHeight="1" x14ac:dyDescent="0.2">
      <c r="A501" s="4"/>
      <c r="B501" s="703" t="s">
        <v>490</v>
      </c>
      <c r="C501" s="704"/>
      <c r="D501" s="704"/>
      <c r="E501" s="704"/>
      <c r="F501" s="460">
        <f>16.8*X2</f>
        <v>15758.400000000001</v>
      </c>
      <c r="G501" s="330">
        <f t="shared" ref="G501" si="1210">+F501*$X$1</f>
        <v>15758.400000000001</v>
      </c>
      <c r="H501" s="108">
        <f>F501+2200</f>
        <v>17958.400000000001</v>
      </c>
      <c r="I501" s="357">
        <f t="shared" si="1200"/>
        <v>17958.400000000001</v>
      </c>
      <c r="J501" s="108">
        <f>F501+550</f>
        <v>16308.400000000001</v>
      </c>
      <c r="K501" s="357">
        <f t="shared" si="1201"/>
        <v>16308.400000000001</v>
      </c>
      <c r="L501" s="108">
        <f>F501+480</f>
        <v>16238.400000000001</v>
      </c>
      <c r="M501" s="357">
        <f t="shared" si="1202"/>
        <v>16238.400000000001</v>
      </c>
      <c r="N501" s="108">
        <f>F501+440</f>
        <v>16198.400000000001</v>
      </c>
      <c r="O501" s="357">
        <f t="shared" si="1203"/>
        <v>16198.400000000001</v>
      </c>
      <c r="P501" s="108">
        <f>F501+410</f>
        <v>16168.400000000001</v>
      </c>
      <c r="Q501" s="357">
        <f t="shared" si="1204"/>
        <v>16168.400000000001</v>
      </c>
      <c r="R501" s="108">
        <f>F501+390</f>
        <v>16148.400000000001</v>
      </c>
      <c r="S501" s="357">
        <f t="shared" si="1205"/>
        <v>16148.400000000001</v>
      </c>
      <c r="T501" s="108">
        <f>F501+350</f>
        <v>16108.400000000001</v>
      </c>
      <c r="U501" s="357">
        <f t="shared" si="1206"/>
        <v>16108.400000000001</v>
      </c>
      <c r="V501" s="108">
        <f>F501+320</f>
        <v>16078.400000000001</v>
      </c>
      <c r="W501" s="357">
        <f t="shared" si="1207"/>
        <v>16078.400000000001</v>
      </c>
      <c r="X501" s="150"/>
      <c r="Y501" s="145"/>
      <c r="Z501" s="151"/>
      <c r="AA501" s="152"/>
      <c r="AB501" s="507">
        <v>894</v>
      </c>
    </row>
    <row r="502" spans="1:28" ht="12.6" customHeight="1" x14ac:dyDescent="0.2">
      <c r="A502" s="4"/>
      <c r="B502" s="816" t="s">
        <v>779</v>
      </c>
      <c r="C502" s="695"/>
      <c r="D502" s="695"/>
      <c r="E502" s="695"/>
      <c r="F502" s="461">
        <f>16*X2</f>
        <v>15008</v>
      </c>
      <c r="G502" s="331">
        <f t="shared" ref="G502:G505" si="1211">+F502*$X$1</f>
        <v>15008</v>
      </c>
      <c r="H502" s="628">
        <f>F502+3000</f>
        <v>18008</v>
      </c>
      <c r="I502" s="331">
        <f t="shared" ref="I502:I503" si="1212">+H502*$X$1</f>
        <v>18008</v>
      </c>
      <c r="J502" s="628">
        <f>F502+900</f>
        <v>15908</v>
      </c>
      <c r="K502" s="331">
        <f t="shared" si="1201"/>
        <v>15908</v>
      </c>
      <c r="L502" s="628">
        <f>F502+840</f>
        <v>15848</v>
      </c>
      <c r="M502" s="331">
        <f t="shared" si="1202"/>
        <v>15848</v>
      </c>
      <c r="N502" s="628">
        <f>F502+800</f>
        <v>15808</v>
      </c>
      <c r="O502" s="331">
        <f t="shared" si="1203"/>
        <v>15808</v>
      </c>
      <c r="P502" s="628">
        <f>F502+760</f>
        <v>15768</v>
      </c>
      <c r="Q502" s="331">
        <f t="shared" si="1204"/>
        <v>15768</v>
      </c>
      <c r="R502" s="628">
        <f>F502+730</f>
        <v>15738</v>
      </c>
      <c r="S502" s="331">
        <f t="shared" si="1205"/>
        <v>15738</v>
      </c>
      <c r="T502" s="628">
        <f>F502+690</f>
        <v>15698</v>
      </c>
      <c r="U502" s="331">
        <f t="shared" si="1206"/>
        <v>15698</v>
      </c>
      <c r="V502" s="628">
        <f>F502+650</f>
        <v>15658</v>
      </c>
      <c r="W502" s="331">
        <f t="shared" si="1207"/>
        <v>15658</v>
      </c>
      <c r="X502" s="150"/>
      <c r="Y502" s="145"/>
      <c r="Z502" s="151"/>
      <c r="AA502" s="152"/>
      <c r="AB502" s="507">
        <v>896</v>
      </c>
    </row>
    <row r="503" spans="1:28" ht="12.6" customHeight="1" x14ac:dyDescent="0.2">
      <c r="A503" s="4"/>
      <c r="B503" s="703" t="s">
        <v>721</v>
      </c>
      <c r="C503" s="697"/>
      <c r="D503" s="697"/>
      <c r="E503" s="697"/>
      <c r="F503" s="460">
        <f>16*X2</f>
        <v>15008</v>
      </c>
      <c r="G503" s="330">
        <f t="shared" si="1211"/>
        <v>15008</v>
      </c>
      <c r="H503" s="108">
        <f>F503+2200</f>
        <v>17208</v>
      </c>
      <c r="I503" s="357">
        <f t="shared" si="1212"/>
        <v>17208</v>
      </c>
      <c r="J503" s="108">
        <f>F503+550</f>
        <v>15558</v>
      </c>
      <c r="K503" s="357">
        <f t="shared" si="1201"/>
        <v>15558</v>
      </c>
      <c r="L503" s="108">
        <f>F503+480</f>
        <v>15488</v>
      </c>
      <c r="M503" s="357">
        <f t="shared" si="1202"/>
        <v>15488</v>
      </c>
      <c r="N503" s="108">
        <f>F503+440</f>
        <v>15448</v>
      </c>
      <c r="O503" s="357">
        <f t="shared" si="1203"/>
        <v>15448</v>
      </c>
      <c r="P503" s="108">
        <f>F503+410</f>
        <v>15418</v>
      </c>
      <c r="Q503" s="357">
        <f t="shared" si="1204"/>
        <v>15418</v>
      </c>
      <c r="R503" s="108">
        <f>F503+390</f>
        <v>15398</v>
      </c>
      <c r="S503" s="357">
        <f t="shared" si="1205"/>
        <v>15398</v>
      </c>
      <c r="T503" s="108">
        <f>F503+350</f>
        <v>15358</v>
      </c>
      <c r="U503" s="357">
        <f t="shared" si="1206"/>
        <v>15358</v>
      </c>
      <c r="V503" s="108">
        <f>F503+320</f>
        <v>15328</v>
      </c>
      <c r="W503" s="357">
        <f t="shared" si="1207"/>
        <v>15328</v>
      </c>
      <c r="X503" s="150"/>
      <c r="Y503" s="145"/>
      <c r="Z503" s="151"/>
      <c r="AA503" s="152"/>
      <c r="AB503" s="507">
        <v>896</v>
      </c>
    </row>
    <row r="504" spans="1:28" ht="12.6" customHeight="1" x14ac:dyDescent="0.2">
      <c r="A504" s="4"/>
      <c r="B504" s="816" t="s">
        <v>724</v>
      </c>
      <c r="C504" s="680"/>
      <c r="D504" s="680"/>
      <c r="E504" s="680"/>
      <c r="F504" s="461">
        <f>21*X2</f>
        <v>19698</v>
      </c>
      <c r="G504" s="331">
        <f t="shared" si="1211"/>
        <v>19698</v>
      </c>
      <c r="H504" s="628">
        <f>F504+3000</f>
        <v>22698</v>
      </c>
      <c r="I504" s="331">
        <f t="shared" ref="I504:I508" si="1213">+H504*$X$1</f>
        <v>22698</v>
      </c>
      <c r="J504" s="628">
        <f>F504+900</f>
        <v>20598</v>
      </c>
      <c r="K504" s="331">
        <f t="shared" ref="K504:K505" si="1214">+J504*$X$1</f>
        <v>20598</v>
      </c>
      <c r="L504" s="628">
        <f>F504+840</f>
        <v>20538</v>
      </c>
      <c r="M504" s="331">
        <f t="shared" ref="M504:M505" si="1215">+L504*$X$1</f>
        <v>20538</v>
      </c>
      <c r="N504" s="628">
        <f>F504+800</f>
        <v>20498</v>
      </c>
      <c r="O504" s="331">
        <f t="shared" ref="O504:O505" si="1216">+N504*$X$1</f>
        <v>20498</v>
      </c>
      <c r="P504" s="628">
        <f>F504+760</f>
        <v>20458</v>
      </c>
      <c r="Q504" s="331">
        <f t="shared" ref="Q504:Q505" si="1217">+P504*$X$1</f>
        <v>20458</v>
      </c>
      <c r="R504" s="628">
        <f>F504+730</f>
        <v>20428</v>
      </c>
      <c r="S504" s="331">
        <f t="shared" ref="S504:S505" si="1218">+R504*$X$1</f>
        <v>20428</v>
      </c>
      <c r="T504" s="628">
        <f>F504+690</f>
        <v>20388</v>
      </c>
      <c r="U504" s="331">
        <f t="shared" ref="U504:U505" si="1219">+T504*$X$1</f>
        <v>20388</v>
      </c>
      <c r="V504" s="628">
        <f>F504+650</f>
        <v>20348</v>
      </c>
      <c r="W504" s="331">
        <f t="shared" ref="W504:W505" si="1220">+V504*$X$1</f>
        <v>20348</v>
      </c>
      <c r="X504" s="150"/>
      <c r="Y504" s="145"/>
      <c r="Z504" s="151"/>
      <c r="AA504" s="152"/>
      <c r="AB504" s="507">
        <v>899</v>
      </c>
    </row>
    <row r="505" spans="1:28" ht="12.6" customHeight="1" x14ac:dyDescent="0.2">
      <c r="A505" s="4"/>
      <c r="B505" s="703" t="s">
        <v>733</v>
      </c>
      <c r="C505" s="803"/>
      <c r="D505" s="803"/>
      <c r="E505" s="803"/>
      <c r="F505" s="460">
        <f>20.9*X2</f>
        <v>19604.199999999997</v>
      </c>
      <c r="G505" s="330">
        <f t="shared" si="1211"/>
        <v>19604.199999999997</v>
      </c>
      <c r="H505" s="108">
        <f>F505+2200</f>
        <v>21804.199999999997</v>
      </c>
      <c r="I505" s="357">
        <f t="shared" si="1213"/>
        <v>21804.199999999997</v>
      </c>
      <c r="J505" s="108">
        <f>F505+550</f>
        <v>20154.199999999997</v>
      </c>
      <c r="K505" s="357">
        <f t="shared" si="1214"/>
        <v>20154.199999999997</v>
      </c>
      <c r="L505" s="108">
        <f>F505+480</f>
        <v>20084.199999999997</v>
      </c>
      <c r="M505" s="357">
        <f t="shared" si="1215"/>
        <v>20084.199999999997</v>
      </c>
      <c r="N505" s="108">
        <f>F505+440</f>
        <v>20044.199999999997</v>
      </c>
      <c r="O505" s="357">
        <f t="shared" si="1216"/>
        <v>20044.199999999997</v>
      </c>
      <c r="P505" s="108">
        <f>F505+410</f>
        <v>20014.199999999997</v>
      </c>
      <c r="Q505" s="357">
        <f t="shared" si="1217"/>
        <v>20014.199999999997</v>
      </c>
      <c r="R505" s="108">
        <f>F505+390</f>
        <v>19994.199999999997</v>
      </c>
      <c r="S505" s="357">
        <f t="shared" si="1218"/>
        <v>19994.199999999997</v>
      </c>
      <c r="T505" s="108">
        <f>F505+350</f>
        <v>19954.199999999997</v>
      </c>
      <c r="U505" s="357">
        <f t="shared" si="1219"/>
        <v>19954.199999999997</v>
      </c>
      <c r="V505" s="108">
        <f>F505+320</f>
        <v>19924.199999999997</v>
      </c>
      <c r="W505" s="357">
        <f t="shared" si="1220"/>
        <v>19924.199999999997</v>
      </c>
      <c r="X505" s="150"/>
      <c r="Y505" s="145"/>
      <c r="Z505" s="151"/>
      <c r="AA505" s="152"/>
      <c r="AB505" s="507" t="s">
        <v>734</v>
      </c>
    </row>
    <row r="506" spans="1:28" ht="12.6" customHeight="1" x14ac:dyDescent="0.2">
      <c r="A506" s="4"/>
      <c r="B506" s="816" t="s">
        <v>566</v>
      </c>
      <c r="C506" s="866"/>
      <c r="D506" s="866"/>
      <c r="E506" s="866"/>
      <c r="F506" s="461">
        <f>22.9*X2</f>
        <v>21480.199999999997</v>
      </c>
      <c r="G506" s="331">
        <f t="shared" ref="G506" si="1221">+F506*$X$1</f>
        <v>21480.199999999997</v>
      </c>
      <c r="H506" s="628">
        <f>F506+3000</f>
        <v>24480.199999999997</v>
      </c>
      <c r="I506" s="331">
        <f t="shared" si="1213"/>
        <v>24480.199999999997</v>
      </c>
      <c r="J506" s="628">
        <f>F506+900</f>
        <v>22380.199999999997</v>
      </c>
      <c r="K506" s="331">
        <f t="shared" ref="K506:K510" si="1222">+J506*$X$1</f>
        <v>22380.199999999997</v>
      </c>
      <c r="L506" s="628">
        <f>F506+840</f>
        <v>22320.199999999997</v>
      </c>
      <c r="M506" s="331">
        <f t="shared" ref="M506:M510" si="1223">+L506*$X$1</f>
        <v>22320.199999999997</v>
      </c>
      <c r="N506" s="628">
        <f>F506+800</f>
        <v>22280.199999999997</v>
      </c>
      <c r="O506" s="331">
        <f t="shared" ref="O506:O510" si="1224">+N506*$X$1</f>
        <v>22280.199999999997</v>
      </c>
      <c r="P506" s="628">
        <f>F506+760</f>
        <v>22240.199999999997</v>
      </c>
      <c r="Q506" s="331">
        <f t="shared" ref="Q506:Q510" si="1225">+P506*$X$1</f>
        <v>22240.199999999997</v>
      </c>
      <c r="R506" s="628">
        <f>F506+730</f>
        <v>22210.199999999997</v>
      </c>
      <c r="S506" s="331">
        <f t="shared" ref="S506:S510" si="1226">+R506*$X$1</f>
        <v>22210.199999999997</v>
      </c>
      <c r="T506" s="628">
        <f>F506+690</f>
        <v>22170.199999999997</v>
      </c>
      <c r="U506" s="331">
        <f t="shared" ref="U506:U510" si="1227">+T506*$X$1</f>
        <v>22170.199999999997</v>
      </c>
      <c r="V506" s="628">
        <f>F506+650</f>
        <v>22130.199999999997</v>
      </c>
      <c r="W506" s="331">
        <f t="shared" ref="W506:W510" si="1228">+V506*$X$1</f>
        <v>22130.199999999997</v>
      </c>
      <c r="X506" s="150"/>
      <c r="Y506" s="145"/>
      <c r="Z506" s="151"/>
      <c r="AA506" s="152"/>
      <c r="AB506" s="507">
        <v>900</v>
      </c>
    </row>
    <row r="507" spans="1:28" ht="12.6" customHeight="1" x14ac:dyDescent="0.2">
      <c r="A507" s="4"/>
      <c r="B507" s="877" t="s">
        <v>489</v>
      </c>
      <c r="C507" s="737"/>
      <c r="D507" s="737"/>
      <c r="E507" s="738"/>
      <c r="F507" s="375">
        <v>15100</v>
      </c>
      <c r="G507" s="330">
        <f>+F507*$X$1</f>
        <v>15100</v>
      </c>
      <c r="H507" s="368">
        <f>F507+3000</f>
        <v>18100</v>
      </c>
      <c r="I507" s="330">
        <f t="shared" si="1213"/>
        <v>18100</v>
      </c>
      <c r="J507" s="368">
        <f>F507+900</f>
        <v>16000</v>
      </c>
      <c r="K507" s="330">
        <f t="shared" si="1222"/>
        <v>16000</v>
      </c>
      <c r="L507" s="368">
        <f>F507+840</f>
        <v>15940</v>
      </c>
      <c r="M507" s="330">
        <f t="shared" si="1223"/>
        <v>15940</v>
      </c>
      <c r="N507" s="368">
        <f>F507+800</f>
        <v>15900</v>
      </c>
      <c r="O507" s="330">
        <f t="shared" si="1224"/>
        <v>15900</v>
      </c>
      <c r="P507" s="368">
        <f>F507+760</f>
        <v>15860</v>
      </c>
      <c r="Q507" s="330">
        <f t="shared" si="1225"/>
        <v>15860</v>
      </c>
      <c r="R507" s="368">
        <f>F507+730</f>
        <v>15830</v>
      </c>
      <c r="S507" s="330">
        <f t="shared" si="1226"/>
        <v>15830</v>
      </c>
      <c r="T507" s="368">
        <f>F507+690</f>
        <v>15790</v>
      </c>
      <c r="U507" s="330">
        <f t="shared" si="1227"/>
        <v>15790</v>
      </c>
      <c r="V507" s="368"/>
      <c r="W507" s="330"/>
      <c r="X507" s="150"/>
      <c r="Y507" s="145"/>
      <c r="Z507" s="151"/>
      <c r="AA507" s="152"/>
      <c r="AB507" s="507">
        <v>902</v>
      </c>
    </row>
    <row r="508" spans="1:28" ht="12.6" customHeight="1" x14ac:dyDescent="0.2">
      <c r="A508" s="4"/>
      <c r="B508" s="816" t="s">
        <v>488</v>
      </c>
      <c r="C508" s="866"/>
      <c r="D508" s="866"/>
      <c r="E508" s="866"/>
      <c r="F508" s="331">
        <v>19495</v>
      </c>
      <c r="G508" s="331">
        <f>+F508*$X$1</f>
        <v>19495</v>
      </c>
      <c r="H508" s="107">
        <f>F508+2200</f>
        <v>21695</v>
      </c>
      <c r="I508" s="371">
        <f t="shared" si="1213"/>
        <v>21695</v>
      </c>
      <c r="J508" s="107">
        <f>F508+550</f>
        <v>20045</v>
      </c>
      <c r="K508" s="371">
        <f t="shared" si="1222"/>
        <v>20045</v>
      </c>
      <c r="L508" s="107">
        <f>F508+480</f>
        <v>19975</v>
      </c>
      <c r="M508" s="371">
        <f t="shared" si="1223"/>
        <v>19975</v>
      </c>
      <c r="N508" s="107">
        <f>F508+440</f>
        <v>19935</v>
      </c>
      <c r="O508" s="371">
        <f t="shared" si="1224"/>
        <v>19935</v>
      </c>
      <c r="P508" s="107">
        <f>F508+410</f>
        <v>19905</v>
      </c>
      <c r="Q508" s="371">
        <f t="shared" si="1225"/>
        <v>19905</v>
      </c>
      <c r="R508" s="107">
        <f>F508+390</f>
        <v>19885</v>
      </c>
      <c r="S508" s="371">
        <f t="shared" si="1226"/>
        <v>19885</v>
      </c>
      <c r="T508" s="107">
        <f>F508+350</f>
        <v>19845</v>
      </c>
      <c r="U508" s="371">
        <f t="shared" si="1227"/>
        <v>19845</v>
      </c>
      <c r="V508" s="107">
        <f>F508+320</f>
        <v>19815</v>
      </c>
      <c r="W508" s="371">
        <f t="shared" si="1228"/>
        <v>19815</v>
      </c>
      <c r="X508" s="150"/>
      <c r="Y508" s="145"/>
      <c r="Z508" s="151"/>
      <c r="AA508" s="152"/>
      <c r="AB508" s="507">
        <v>905</v>
      </c>
    </row>
    <row r="509" spans="1:28" ht="12.6" customHeight="1" x14ac:dyDescent="0.2">
      <c r="A509" s="4"/>
      <c r="B509" s="703" t="s">
        <v>790</v>
      </c>
      <c r="C509" s="704"/>
      <c r="D509" s="704"/>
      <c r="E509" s="704"/>
      <c r="F509" s="460">
        <f>21.3*X2</f>
        <v>19979.400000000001</v>
      </c>
      <c r="G509" s="330">
        <f>+F509*$X$1</f>
        <v>19979.400000000001</v>
      </c>
      <c r="H509" s="368">
        <f>F509+3000</f>
        <v>22979.4</v>
      </c>
      <c r="I509" s="330">
        <f t="shared" ref="I509:I512" si="1229">+H509*$X$1</f>
        <v>22979.4</v>
      </c>
      <c r="J509" s="368">
        <f>F509+900</f>
        <v>20879.400000000001</v>
      </c>
      <c r="K509" s="330">
        <f t="shared" si="1222"/>
        <v>20879.400000000001</v>
      </c>
      <c r="L509" s="368">
        <f>F509+840</f>
        <v>20819.400000000001</v>
      </c>
      <c r="M509" s="330">
        <f t="shared" si="1223"/>
        <v>20819.400000000001</v>
      </c>
      <c r="N509" s="368">
        <f>F509+800</f>
        <v>20779.400000000001</v>
      </c>
      <c r="O509" s="330">
        <f t="shared" si="1224"/>
        <v>20779.400000000001</v>
      </c>
      <c r="P509" s="368">
        <f>F509+760</f>
        <v>20739.400000000001</v>
      </c>
      <c r="Q509" s="330">
        <f t="shared" si="1225"/>
        <v>20739.400000000001</v>
      </c>
      <c r="R509" s="368">
        <f>F509+730</f>
        <v>20709.400000000001</v>
      </c>
      <c r="S509" s="330">
        <f t="shared" si="1226"/>
        <v>20709.400000000001</v>
      </c>
      <c r="T509" s="368">
        <f>F509+690</f>
        <v>20669.400000000001</v>
      </c>
      <c r="U509" s="330">
        <f t="shared" si="1227"/>
        <v>20669.400000000001</v>
      </c>
      <c r="V509" s="368">
        <f>F509+650</f>
        <v>20629.400000000001</v>
      </c>
      <c r="W509" s="330">
        <f t="shared" si="1228"/>
        <v>20629.400000000001</v>
      </c>
      <c r="X509" s="150"/>
      <c r="Y509" s="145"/>
      <c r="Z509" s="151"/>
      <c r="AA509" s="152"/>
      <c r="AB509" s="507">
        <v>906</v>
      </c>
    </row>
    <row r="510" spans="1:28" ht="12.6" customHeight="1" x14ac:dyDescent="0.2">
      <c r="A510" s="4"/>
      <c r="B510" s="816" t="s">
        <v>791</v>
      </c>
      <c r="C510" s="866"/>
      <c r="D510" s="866"/>
      <c r="E510" s="866"/>
      <c r="F510" s="461">
        <f>21.3*X2</f>
        <v>19979.400000000001</v>
      </c>
      <c r="G510" s="331">
        <f>+F510*$X$1</f>
        <v>19979.400000000001</v>
      </c>
      <c r="H510" s="107">
        <f>F510+2200</f>
        <v>22179.4</v>
      </c>
      <c r="I510" s="371">
        <f t="shared" si="1229"/>
        <v>22179.4</v>
      </c>
      <c r="J510" s="107">
        <f>F510+550</f>
        <v>20529.400000000001</v>
      </c>
      <c r="K510" s="371">
        <f t="shared" si="1222"/>
        <v>20529.400000000001</v>
      </c>
      <c r="L510" s="107">
        <f>F510+480</f>
        <v>20459.400000000001</v>
      </c>
      <c r="M510" s="371">
        <f t="shared" si="1223"/>
        <v>20459.400000000001</v>
      </c>
      <c r="N510" s="107">
        <f>F510+440</f>
        <v>20419.400000000001</v>
      </c>
      <c r="O510" s="371">
        <f t="shared" si="1224"/>
        <v>20419.400000000001</v>
      </c>
      <c r="P510" s="107">
        <f>F510+410</f>
        <v>20389.400000000001</v>
      </c>
      <c r="Q510" s="371">
        <f t="shared" si="1225"/>
        <v>20389.400000000001</v>
      </c>
      <c r="R510" s="107">
        <f>F510+390</f>
        <v>20369.400000000001</v>
      </c>
      <c r="S510" s="371">
        <f t="shared" si="1226"/>
        <v>20369.400000000001</v>
      </c>
      <c r="T510" s="107">
        <f>F510+350</f>
        <v>20329.400000000001</v>
      </c>
      <c r="U510" s="371">
        <f t="shared" si="1227"/>
        <v>20329.400000000001</v>
      </c>
      <c r="V510" s="107">
        <f>F510+320</f>
        <v>20299.400000000001</v>
      </c>
      <c r="W510" s="371">
        <f t="shared" si="1228"/>
        <v>20299.400000000001</v>
      </c>
      <c r="X510" s="150"/>
      <c r="Y510" s="145"/>
      <c r="Z510" s="151"/>
      <c r="AA510" s="152"/>
      <c r="AB510" s="507">
        <v>906</v>
      </c>
    </row>
    <row r="511" spans="1:28" ht="12.6" customHeight="1" x14ac:dyDescent="0.2">
      <c r="A511" s="4"/>
      <c r="B511" s="703" t="s">
        <v>720</v>
      </c>
      <c r="C511" s="697"/>
      <c r="D511" s="697"/>
      <c r="E511" s="697"/>
      <c r="F511" s="463">
        <f>21.6*X2</f>
        <v>20260.800000000003</v>
      </c>
      <c r="G511" s="330">
        <f t="shared" ref="G511" si="1230">+F511*$X$1</f>
        <v>20260.800000000003</v>
      </c>
      <c r="H511" s="368">
        <f>F511+3000</f>
        <v>23260.800000000003</v>
      </c>
      <c r="I511" s="330">
        <f t="shared" si="1229"/>
        <v>23260.800000000003</v>
      </c>
      <c r="J511" s="368">
        <f>F511+900</f>
        <v>21160.800000000003</v>
      </c>
      <c r="K511" s="330">
        <f t="shared" ref="K511:K512" si="1231">+J511*$X$1</f>
        <v>21160.800000000003</v>
      </c>
      <c r="L511" s="368">
        <f>F511+840</f>
        <v>21100.800000000003</v>
      </c>
      <c r="M511" s="330">
        <f t="shared" ref="M511:M512" si="1232">+L511*$X$1</f>
        <v>21100.800000000003</v>
      </c>
      <c r="N511" s="368">
        <f>F511+800</f>
        <v>21060.800000000003</v>
      </c>
      <c r="O511" s="330">
        <f t="shared" ref="O511:O512" si="1233">+N511*$X$1</f>
        <v>21060.800000000003</v>
      </c>
      <c r="P511" s="368">
        <f>F511+760</f>
        <v>21020.800000000003</v>
      </c>
      <c r="Q511" s="330">
        <f t="shared" ref="Q511" si="1234">+P511*$X$1</f>
        <v>21020.800000000003</v>
      </c>
      <c r="R511" s="368">
        <f>F511+730</f>
        <v>20990.800000000003</v>
      </c>
      <c r="S511" s="330">
        <f t="shared" ref="S511" si="1235">+R511*$X$1</f>
        <v>20990.800000000003</v>
      </c>
      <c r="T511" s="368">
        <f>F511+690</f>
        <v>20950.800000000003</v>
      </c>
      <c r="U511" s="330">
        <f t="shared" ref="U511" si="1236">+T511*$X$1</f>
        <v>20950.800000000003</v>
      </c>
      <c r="V511" s="368">
        <f>F511+650</f>
        <v>20910.800000000003</v>
      </c>
      <c r="W511" s="330">
        <f t="shared" ref="W511" si="1237">+V511*$X$1</f>
        <v>20910.800000000003</v>
      </c>
      <c r="X511" s="150"/>
      <c r="Y511" s="145"/>
      <c r="Z511" s="151"/>
      <c r="AA511" s="152"/>
      <c r="AB511" s="507" t="s">
        <v>735</v>
      </c>
    </row>
    <row r="512" spans="1:28" ht="12.6" customHeight="1" x14ac:dyDescent="0.2">
      <c r="A512" s="4"/>
      <c r="B512" s="816" t="s">
        <v>789</v>
      </c>
      <c r="C512" s="695"/>
      <c r="D512" s="695"/>
      <c r="E512" s="695"/>
      <c r="F512" s="462">
        <f>21.6*X2</f>
        <v>20260.800000000003</v>
      </c>
      <c r="G512" s="331">
        <f t="shared" ref="G512" si="1238">+F512*$X$1</f>
        <v>20260.800000000003</v>
      </c>
      <c r="H512" s="107">
        <f>F512+2200</f>
        <v>22460.800000000003</v>
      </c>
      <c r="I512" s="371">
        <f t="shared" si="1229"/>
        <v>22460.800000000003</v>
      </c>
      <c r="J512" s="107">
        <f>F512+550</f>
        <v>20810.800000000003</v>
      </c>
      <c r="K512" s="371">
        <f t="shared" si="1231"/>
        <v>20810.800000000003</v>
      </c>
      <c r="L512" s="107">
        <f>F512+480</f>
        <v>20740.800000000003</v>
      </c>
      <c r="M512" s="371">
        <f t="shared" si="1232"/>
        <v>20740.800000000003</v>
      </c>
      <c r="N512" s="107">
        <f>F512+440</f>
        <v>20700.800000000003</v>
      </c>
      <c r="O512" s="371">
        <f t="shared" si="1233"/>
        <v>20700.800000000003</v>
      </c>
      <c r="P512" s="107"/>
      <c r="Q512" s="371"/>
      <c r="R512" s="107"/>
      <c r="S512" s="371"/>
      <c r="T512" s="107"/>
      <c r="U512" s="371"/>
      <c r="V512" s="107"/>
      <c r="W512" s="371"/>
      <c r="X512" s="150"/>
      <c r="Y512" s="145"/>
      <c r="Z512" s="151"/>
      <c r="AA512" s="152"/>
      <c r="AB512" s="507">
        <v>907</v>
      </c>
    </row>
    <row r="513" spans="1:34" ht="12.6" customHeight="1" x14ac:dyDescent="0.2">
      <c r="A513" s="4"/>
      <c r="B513" s="974" t="s">
        <v>686</v>
      </c>
      <c r="C513" s="975"/>
      <c r="D513" s="975"/>
      <c r="E513" s="975"/>
      <c r="F513" s="330"/>
      <c r="G513" s="330"/>
      <c r="H513" s="368">
        <v>1900</v>
      </c>
      <c r="I513" s="330">
        <f t="shared" ref="I513" si="1239">+H513*$X$1</f>
        <v>1900</v>
      </c>
      <c r="J513" s="368">
        <v>770</v>
      </c>
      <c r="K513" s="330">
        <f t="shared" ref="K513" si="1240">+J513*$X$1</f>
        <v>770</v>
      </c>
      <c r="L513" s="368">
        <v>660</v>
      </c>
      <c r="M513" s="330">
        <f t="shared" ref="M513" si="1241">+L513*$X$1</f>
        <v>660</v>
      </c>
      <c r="N513" s="368">
        <v>600</v>
      </c>
      <c r="O513" s="330">
        <f t="shared" ref="O513" si="1242">+N513*$X$1</f>
        <v>600</v>
      </c>
      <c r="P513" s="368">
        <v>550</v>
      </c>
      <c r="Q513" s="330">
        <f t="shared" ref="Q513" si="1243">+P513*$X$1</f>
        <v>550</v>
      </c>
      <c r="R513" s="368">
        <v>510</v>
      </c>
      <c r="S513" s="330">
        <f t="shared" ref="S513" si="1244">+R513*$X$1</f>
        <v>510</v>
      </c>
      <c r="T513" s="368">
        <v>470</v>
      </c>
      <c r="U513" s="330">
        <f t="shared" ref="U513" si="1245">+T513*$X$1</f>
        <v>470</v>
      </c>
      <c r="V513" s="368">
        <v>420</v>
      </c>
      <c r="W513" s="330">
        <f t="shared" ref="W513" si="1246">+V513*$X$1</f>
        <v>420</v>
      </c>
      <c r="X513" s="150"/>
      <c r="Y513" s="145"/>
      <c r="Z513" s="151"/>
      <c r="AA513" s="152"/>
      <c r="AB513" s="34"/>
    </row>
    <row r="514" spans="1:34" ht="12.6" customHeight="1" x14ac:dyDescent="0.2">
      <c r="A514" s="4"/>
      <c r="B514" s="972" t="s">
        <v>687</v>
      </c>
      <c r="C514" s="973"/>
      <c r="D514" s="973"/>
      <c r="E514" s="973"/>
      <c r="F514" s="331"/>
      <c r="G514" s="331"/>
      <c r="H514" s="628">
        <v>900</v>
      </c>
      <c r="I514" s="331">
        <f t="shared" ref="I514" si="1247">+H514*$X$1</f>
        <v>900</v>
      </c>
      <c r="J514" s="628">
        <v>350</v>
      </c>
      <c r="K514" s="331">
        <f t="shared" ref="K514" si="1248">+J514*$X$1</f>
        <v>350</v>
      </c>
      <c r="L514" s="628">
        <v>310</v>
      </c>
      <c r="M514" s="331">
        <f t="shared" ref="M514" si="1249">+L514*$X$1</f>
        <v>310</v>
      </c>
      <c r="N514" s="628">
        <v>280</v>
      </c>
      <c r="O514" s="331">
        <f t="shared" ref="O514" si="1250">+N514*$X$1</f>
        <v>280</v>
      </c>
      <c r="P514" s="628">
        <v>250</v>
      </c>
      <c r="Q514" s="331">
        <f t="shared" ref="Q514" si="1251">+P514*$X$1</f>
        <v>250</v>
      </c>
      <c r="R514" s="628">
        <v>230</v>
      </c>
      <c r="S514" s="331">
        <f t="shared" ref="S514" si="1252">+R514*$X$1</f>
        <v>230</v>
      </c>
      <c r="T514" s="628">
        <v>220</v>
      </c>
      <c r="U514" s="331">
        <f t="shared" ref="U514" si="1253">+T514*$X$1</f>
        <v>220</v>
      </c>
      <c r="V514" s="628">
        <v>210</v>
      </c>
      <c r="W514" s="331">
        <f t="shared" ref="W514" si="1254">+V514*$X$1</f>
        <v>210</v>
      </c>
      <c r="X514" s="150"/>
      <c r="Y514" s="145"/>
      <c r="Z514" s="151"/>
      <c r="AA514" s="152"/>
      <c r="AB514" s="34"/>
    </row>
    <row r="515" spans="1:34" ht="9.75" customHeight="1" thickBot="1" x14ac:dyDescent="0.25">
      <c r="A515" s="101"/>
      <c r="B515" s="81"/>
      <c r="C515" s="82"/>
      <c r="D515" s="82"/>
      <c r="E515" s="82"/>
      <c r="F515" s="82"/>
      <c r="G515" s="82"/>
      <c r="H515" s="82"/>
      <c r="I515" s="82"/>
      <c r="J515" s="82"/>
      <c r="K515" s="82"/>
      <c r="L515" s="82"/>
      <c r="M515" s="82"/>
      <c r="N515" s="82"/>
      <c r="O515" s="82"/>
      <c r="P515" s="82"/>
      <c r="Q515" s="82"/>
      <c r="R515" s="82"/>
      <c r="S515" s="82"/>
      <c r="T515" s="82"/>
      <c r="U515" s="82"/>
      <c r="V515" s="83"/>
      <c r="W515" s="84"/>
      <c r="AB515" s="85"/>
    </row>
    <row r="516" spans="1:34" ht="14.25" customHeight="1" thickBot="1" x14ac:dyDescent="0.25">
      <c r="B516" s="1232" t="s">
        <v>658</v>
      </c>
      <c r="C516" s="1233"/>
      <c r="D516" s="1233"/>
      <c r="E516" s="1233"/>
      <c r="F516" s="1233"/>
      <c r="G516" s="1233"/>
      <c r="H516" s="1233"/>
      <c r="I516" s="1233"/>
      <c r="J516" s="1233"/>
      <c r="K516" s="1233"/>
      <c r="L516" s="1233"/>
      <c r="M516" s="1233"/>
      <c r="N516" s="1233"/>
      <c r="O516" s="1233"/>
      <c r="P516" s="1233"/>
      <c r="Q516" s="1233"/>
      <c r="R516" s="1233"/>
      <c r="S516" s="1233"/>
      <c r="T516" s="1233"/>
      <c r="U516" s="1233"/>
      <c r="V516" s="1233"/>
      <c r="W516" s="1234"/>
      <c r="AB516" s="4"/>
      <c r="AF516" s="727"/>
      <c r="AG516" s="728"/>
      <c r="AH516" s="728"/>
    </row>
    <row r="517" spans="1:34" ht="14.25" customHeight="1" x14ac:dyDescent="0.2">
      <c r="B517" s="1235" t="s">
        <v>11</v>
      </c>
      <c r="C517" s="976" t="s">
        <v>12</v>
      </c>
      <c r="D517" s="977"/>
      <c r="E517" s="977"/>
      <c r="F517" s="895" t="s">
        <v>304</v>
      </c>
      <c r="G517" s="895" t="s">
        <v>13</v>
      </c>
      <c r="H517" s="1219" t="s">
        <v>491</v>
      </c>
      <c r="I517" s="1219"/>
      <c r="J517" s="1220"/>
      <c r="K517" s="1220"/>
      <c r="L517" s="1220"/>
      <c r="M517" s="1220"/>
      <c r="N517" s="1220"/>
      <c r="O517" s="1220"/>
      <c r="P517" s="1220"/>
      <c r="Q517" s="1220"/>
      <c r="R517" s="1220"/>
      <c r="S517" s="1220"/>
      <c r="T517" s="1220"/>
      <c r="U517" s="1220"/>
      <c r="V517" s="1220"/>
      <c r="W517" s="1221"/>
      <c r="X517" s="731" t="s">
        <v>15</v>
      </c>
      <c r="Y517" s="732"/>
      <c r="Z517" s="732"/>
      <c r="AA517" s="732"/>
      <c r="AB517" s="729" t="s">
        <v>16</v>
      </c>
      <c r="AF517" s="727" t="s">
        <v>3</v>
      </c>
      <c r="AG517" s="728"/>
      <c r="AH517" s="728"/>
    </row>
    <row r="518" spans="1:34" ht="12" customHeight="1" thickBot="1" x14ac:dyDescent="0.25">
      <c r="B518" s="1236"/>
      <c r="C518" s="978"/>
      <c r="D518" s="978"/>
      <c r="E518" s="978"/>
      <c r="F518" s="896"/>
      <c r="G518" s="896"/>
      <c r="H518" s="284"/>
      <c r="I518" s="282" t="s">
        <v>642</v>
      </c>
      <c r="J518" s="284"/>
      <c r="K518" s="282" t="s">
        <v>306</v>
      </c>
      <c r="L518" s="284"/>
      <c r="M518" s="282" t="s">
        <v>307</v>
      </c>
      <c r="N518" s="284"/>
      <c r="O518" s="282" t="s">
        <v>644</v>
      </c>
      <c r="P518" s="284"/>
      <c r="Q518" s="282" t="s">
        <v>18</v>
      </c>
      <c r="R518" s="284"/>
      <c r="S518" s="282" t="s">
        <v>19</v>
      </c>
      <c r="T518" s="284"/>
      <c r="U518" s="282" t="s">
        <v>20</v>
      </c>
      <c r="V518" s="284"/>
      <c r="W518" s="283" t="s">
        <v>645</v>
      </c>
      <c r="X518" s="733"/>
      <c r="Y518" s="734"/>
      <c r="Z518" s="734"/>
      <c r="AA518" s="734"/>
      <c r="AB518" s="730"/>
    </row>
    <row r="519" spans="1:34" ht="12" customHeight="1" x14ac:dyDescent="0.2">
      <c r="A519" s="4"/>
      <c r="B519" s="785" t="s">
        <v>868</v>
      </c>
      <c r="C519" s="916"/>
      <c r="D519" s="916"/>
      <c r="E519" s="916"/>
      <c r="F519" s="465">
        <f>31.2*X2</f>
        <v>29265.599999999999</v>
      </c>
      <c r="G519" s="371">
        <f t="shared" ref="G519:K534" si="1255">+F519*$X$1</f>
        <v>29265.599999999999</v>
      </c>
      <c r="H519" s="107">
        <f>F519+2200</f>
        <v>31465.599999999999</v>
      </c>
      <c r="I519" s="371">
        <f t="shared" si="1255"/>
        <v>31465.599999999999</v>
      </c>
      <c r="J519" s="107">
        <f>F519+500</f>
        <v>29765.599999999999</v>
      </c>
      <c r="K519" s="371">
        <f t="shared" si="1255"/>
        <v>29765.599999999999</v>
      </c>
      <c r="L519" s="107">
        <f>F519+410</f>
        <v>29675.599999999999</v>
      </c>
      <c r="M519" s="371">
        <f t="shared" ref="M519" si="1256">+L519*$X$1</f>
        <v>29675.599999999999</v>
      </c>
      <c r="N519" s="107">
        <f>F519+370</f>
        <v>29635.599999999999</v>
      </c>
      <c r="O519" s="371">
        <f t="shared" ref="O519" si="1257">+N519*$X$1</f>
        <v>29635.599999999999</v>
      </c>
      <c r="P519" s="107">
        <f>F519+360</f>
        <v>29625.599999999999</v>
      </c>
      <c r="Q519" s="371">
        <f t="shared" ref="Q519" si="1258">+P519*$X$1</f>
        <v>29625.599999999999</v>
      </c>
      <c r="R519" s="107">
        <f>F519+330</f>
        <v>29595.599999999999</v>
      </c>
      <c r="S519" s="371">
        <f t="shared" ref="S519" si="1259">+R519*$X$1</f>
        <v>29595.599999999999</v>
      </c>
      <c r="T519" s="107">
        <f>F519+290</f>
        <v>29555.599999999999</v>
      </c>
      <c r="U519" s="371">
        <f t="shared" ref="U519" si="1260">+T519*$X$1</f>
        <v>29555.599999999999</v>
      </c>
      <c r="V519" s="107">
        <f>F519+240</f>
        <v>29505.599999999999</v>
      </c>
      <c r="W519" s="371">
        <f t="shared" ref="W519" si="1261">+V519*$X$1</f>
        <v>29505.599999999999</v>
      </c>
      <c r="X519" s="150"/>
      <c r="Y519" s="145"/>
      <c r="Z519" s="151"/>
      <c r="AA519" s="152"/>
      <c r="AB519" s="507">
        <v>570</v>
      </c>
    </row>
    <row r="520" spans="1:34" ht="12" customHeight="1" x14ac:dyDescent="0.2">
      <c r="A520" s="4"/>
      <c r="B520" s="814" t="s">
        <v>878</v>
      </c>
      <c r="C520" s="815"/>
      <c r="D520" s="815"/>
      <c r="E520" s="815"/>
      <c r="F520" s="466">
        <f>5.1*X2</f>
        <v>4783.7999999999993</v>
      </c>
      <c r="G520" s="357">
        <f t="shared" ref="G520" si="1262">+F520*$X$1</f>
        <v>4783.7999999999993</v>
      </c>
      <c r="H520" s="108"/>
      <c r="I520" s="357"/>
      <c r="J520" s="108"/>
      <c r="K520" s="357"/>
      <c r="L520" s="108">
        <f>F520+410</f>
        <v>5193.7999999999993</v>
      </c>
      <c r="M520" s="357">
        <f t="shared" ref="M520" si="1263">+L520*$X$1</f>
        <v>5193.7999999999993</v>
      </c>
      <c r="N520" s="108">
        <f>F520+370</f>
        <v>5153.7999999999993</v>
      </c>
      <c r="O520" s="357">
        <f t="shared" ref="O520" si="1264">+N520*$X$1</f>
        <v>5153.7999999999993</v>
      </c>
      <c r="P520" s="108">
        <f>F520+360</f>
        <v>5143.7999999999993</v>
      </c>
      <c r="Q520" s="357">
        <f t="shared" ref="Q520" si="1265">+P520*$X$1</f>
        <v>5143.7999999999993</v>
      </c>
      <c r="R520" s="108">
        <f>F520+330</f>
        <v>5113.7999999999993</v>
      </c>
      <c r="S520" s="357">
        <f t="shared" ref="S520" si="1266">+R520*$X$1</f>
        <v>5113.7999999999993</v>
      </c>
      <c r="T520" s="108">
        <f>F520+290</f>
        <v>5073.7999999999993</v>
      </c>
      <c r="U520" s="357">
        <f t="shared" ref="U520" si="1267">+T520*$X$1</f>
        <v>5073.7999999999993</v>
      </c>
      <c r="V520" s="108">
        <f>F520+240</f>
        <v>5023.7999999999993</v>
      </c>
      <c r="W520" s="357">
        <f t="shared" ref="W520" si="1268">+V520*$X$1</f>
        <v>5023.7999999999993</v>
      </c>
      <c r="X520" s="150"/>
      <c r="Y520" s="145"/>
      <c r="Z520" s="151"/>
      <c r="AA520" s="152"/>
      <c r="AB520" s="507" t="s">
        <v>918</v>
      </c>
    </row>
    <row r="521" spans="1:34" ht="12" customHeight="1" x14ac:dyDescent="0.2">
      <c r="A521" s="4"/>
      <c r="B521" s="785" t="s">
        <v>858</v>
      </c>
      <c r="C521" s="916"/>
      <c r="D521" s="916"/>
      <c r="E521" s="916"/>
      <c r="F521" s="371">
        <v>26810</v>
      </c>
      <c r="G521" s="371">
        <f t="shared" ref="G521" si="1269">+F521*$X$1</f>
        <v>26810</v>
      </c>
      <c r="H521" s="107">
        <f t="shared" ref="H521:H533" si="1270">F521+2200</f>
        <v>29010</v>
      </c>
      <c r="I521" s="371">
        <f t="shared" ref="I521:I533" si="1271">+H521*$X$1</f>
        <v>29010</v>
      </c>
      <c r="J521" s="107">
        <f t="shared" ref="J521:J533" si="1272">F521+500</f>
        <v>27310</v>
      </c>
      <c r="K521" s="371">
        <f t="shared" ref="K521:K533" si="1273">+J521*$X$1</f>
        <v>27310</v>
      </c>
      <c r="L521" s="107">
        <f t="shared" ref="L521:L533" si="1274">F521+410</f>
        <v>27220</v>
      </c>
      <c r="M521" s="371">
        <f t="shared" ref="M521:M533" si="1275">+L521*$X$1</f>
        <v>27220</v>
      </c>
      <c r="N521" s="107">
        <f t="shared" ref="N521:N533" si="1276">F521+370</f>
        <v>27180</v>
      </c>
      <c r="O521" s="371">
        <f t="shared" ref="O521:O533" si="1277">+N521*$X$1</f>
        <v>27180</v>
      </c>
      <c r="P521" s="107">
        <f t="shared" ref="P521:P533" si="1278">F521+360</f>
        <v>27170</v>
      </c>
      <c r="Q521" s="371">
        <f t="shared" ref="Q521:Q533" si="1279">+P521*$X$1</f>
        <v>27170</v>
      </c>
      <c r="R521" s="107">
        <f t="shared" ref="R521:R533" si="1280">F521+330</f>
        <v>27140</v>
      </c>
      <c r="S521" s="371">
        <f t="shared" ref="S521:S533" si="1281">+R521*$X$1</f>
        <v>27140</v>
      </c>
      <c r="T521" s="107">
        <f t="shared" ref="T521:T533" si="1282">F521+290</f>
        <v>27100</v>
      </c>
      <c r="U521" s="371">
        <f t="shared" ref="U521:U533" si="1283">+T521*$X$1</f>
        <v>27100</v>
      </c>
      <c r="V521" s="107">
        <f t="shared" ref="V521:V533" si="1284">F521+240</f>
        <v>27050</v>
      </c>
      <c r="W521" s="371">
        <f t="shared" ref="W521:W533" si="1285">+V521*$X$1</f>
        <v>27050</v>
      </c>
      <c r="X521" s="150"/>
      <c r="Y521" s="145"/>
      <c r="Z521" s="151"/>
      <c r="AA521" s="152"/>
      <c r="AB521" s="507">
        <v>577</v>
      </c>
    </row>
    <row r="522" spans="1:34" ht="12" customHeight="1" x14ac:dyDescent="0.2">
      <c r="A522" s="4"/>
      <c r="B522" s="696" t="s">
        <v>857</v>
      </c>
      <c r="C522" s="704"/>
      <c r="D522" s="704"/>
      <c r="E522" s="704"/>
      <c r="F522" s="466">
        <f>30*X2</f>
        <v>28140</v>
      </c>
      <c r="G522" s="357">
        <f t="shared" si="1255"/>
        <v>28140</v>
      </c>
      <c r="H522" s="108">
        <f t="shared" si="1270"/>
        <v>30340</v>
      </c>
      <c r="I522" s="357">
        <f t="shared" si="1271"/>
        <v>30340</v>
      </c>
      <c r="J522" s="108">
        <f t="shared" si="1272"/>
        <v>28640</v>
      </c>
      <c r="K522" s="357">
        <f t="shared" si="1273"/>
        <v>28640</v>
      </c>
      <c r="L522" s="108">
        <f t="shared" si="1274"/>
        <v>28550</v>
      </c>
      <c r="M522" s="357">
        <f t="shared" si="1275"/>
        <v>28550</v>
      </c>
      <c r="N522" s="108">
        <f t="shared" si="1276"/>
        <v>28510</v>
      </c>
      <c r="O522" s="357">
        <f t="shared" si="1277"/>
        <v>28510</v>
      </c>
      <c r="P522" s="108">
        <f t="shared" si="1278"/>
        <v>28500</v>
      </c>
      <c r="Q522" s="357">
        <f t="shared" si="1279"/>
        <v>28500</v>
      </c>
      <c r="R522" s="108">
        <f t="shared" si="1280"/>
        <v>28470</v>
      </c>
      <c r="S522" s="357">
        <f t="shared" si="1281"/>
        <v>28470</v>
      </c>
      <c r="T522" s="108">
        <f t="shared" si="1282"/>
        <v>28430</v>
      </c>
      <c r="U522" s="357">
        <f t="shared" si="1283"/>
        <v>28430</v>
      </c>
      <c r="V522" s="108">
        <f t="shared" si="1284"/>
        <v>28380</v>
      </c>
      <c r="W522" s="357">
        <f t="shared" si="1285"/>
        <v>28380</v>
      </c>
      <c r="X522" s="150"/>
      <c r="Y522" s="145"/>
      <c r="Z522" s="151"/>
      <c r="AA522" s="152"/>
      <c r="AB522" s="507">
        <v>580</v>
      </c>
    </row>
    <row r="523" spans="1:34" ht="12" customHeight="1" x14ac:dyDescent="0.2">
      <c r="A523" s="4"/>
      <c r="B523" s="679" t="s">
        <v>856</v>
      </c>
      <c r="C523" s="866"/>
      <c r="D523" s="866"/>
      <c r="E523" s="866"/>
      <c r="F523" s="462">
        <f>31.2*X2</f>
        <v>29265.599999999999</v>
      </c>
      <c r="G523" s="331">
        <f t="shared" si="1255"/>
        <v>29265.599999999999</v>
      </c>
      <c r="H523" s="107">
        <f t="shared" si="1270"/>
        <v>31465.599999999999</v>
      </c>
      <c r="I523" s="371">
        <f t="shared" si="1271"/>
        <v>31465.599999999999</v>
      </c>
      <c r="J523" s="107">
        <f t="shared" si="1272"/>
        <v>29765.599999999999</v>
      </c>
      <c r="K523" s="371">
        <f t="shared" si="1273"/>
        <v>29765.599999999999</v>
      </c>
      <c r="L523" s="107">
        <f t="shared" si="1274"/>
        <v>29675.599999999999</v>
      </c>
      <c r="M523" s="371">
        <f t="shared" si="1275"/>
        <v>29675.599999999999</v>
      </c>
      <c r="N523" s="107">
        <f t="shared" si="1276"/>
        <v>29635.599999999999</v>
      </c>
      <c r="O523" s="371">
        <f t="shared" si="1277"/>
        <v>29635.599999999999</v>
      </c>
      <c r="P523" s="107">
        <f t="shared" si="1278"/>
        <v>29625.599999999999</v>
      </c>
      <c r="Q523" s="371">
        <f t="shared" si="1279"/>
        <v>29625.599999999999</v>
      </c>
      <c r="R523" s="107">
        <f t="shared" si="1280"/>
        <v>29595.599999999999</v>
      </c>
      <c r="S523" s="371">
        <f t="shared" si="1281"/>
        <v>29595.599999999999</v>
      </c>
      <c r="T523" s="107">
        <f t="shared" si="1282"/>
        <v>29555.599999999999</v>
      </c>
      <c r="U523" s="371">
        <f t="shared" si="1283"/>
        <v>29555.599999999999</v>
      </c>
      <c r="V523" s="107">
        <f t="shared" si="1284"/>
        <v>29505.599999999999</v>
      </c>
      <c r="W523" s="371">
        <f t="shared" si="1285"/>
        <v>29505.599999999999</v>
      </c>
      <c r="X523" s="150"/>
      <c r="Y523" s="145"/>
      <c r="Z523" s="151"/>
      <c r="AA523" s="152"/>
      <c r="AB523" s="507">
        <v>582</v>
      </c>
    </row>
    <row r="524" spans="1:34" ht="12" customHeight="1" x14ac:dyDescent="0.2">
      <c r="A524" s="4"/>
      <c r="B524" s="696" t="s">
        <v>855</v>
      </c>
      <c r="C524" s="704"/>
      <c r="D524" s="704"/>
      <c r="E524" s="704"/>
      <c r="F524" s="357">
        <v>45720</v>
      </c>
      <c r="G524" s="357">
        <f t="shared" si="1255"/>
        <v>45720</v>
      </c>
      <c r="H524" s="108">
        <f t="shared" si="1270"/>
        <v>47920</v>
      </c>
      <c r="I524" s="357">
        <f t="shared" si="1271"/>
        <v>47920</v>
      </c>
      <c r="J524" s="108">
        <f t="shared" si="1272"/>
        <v>46220</v>
      </c>
      <c r="K524" s="357">
        <f t="shared" si="1273"/>
        <v>46220</v>
      </c>
      <c r="L524" s="108">
        <f t="shared" si="1274"/>
        <v>46130</v>
      </c>
      <c r="M524" s="357">
        <f t="shared" si="1275"/>
        <v>46130</v>
      </c>
      <c r="N524" s="108">
        <f t="shared" si="1276"/>
        <v>46090</v>
      </c>
      <c r="O524" s="357">
        <f t="shared" si="1277"/>
        <v>46090</v>
      </c>
      <c r="P524" s="108">
        <f t="shared" si="1278"/>
        <v>46080</v>
      </c>
      <c r="Q524" s="357">
        <f t="shared" si="1279"/>
        <v>46080</v>
      </c>
      <c r="R524" s="108">
        <f t="shared" si="1280"/>
        <v>46050</v>
      </c>
      <c r="S524" s="357">
        <f t="shared" si="1281"/>
        <v>46050</v>
      </c>
      <c r="T524" s="108">
        <f t="shared" si="1282"/>
        <v>46010</v>
      </c>
      <c r="U524" s="357">
        <f t="shared" si="1283"/>
        <v>46010</v>
      </c>
      <c r="V524" s="108">
        <f t="shared" si="1284"/>
        <v>45960</v>
      </c>
      <c r="W524" s="357">
        <f t="shared" si="1285"/>
        <v>45960</v>
      </c>
      <c r="X524" s="150"/>
      <c r="Y524" s="145"/>
      <c r="Z524" s="151"/>
      <c r="AA524" s="152"/>
      <c r="AB524" s="507">
        <v>584</v>
      </c>
    </row>
    <row r="525" spans="1:34" ht="12" customHeight="1" x14ac:dyDescent="0.2">
      <c r="A525" s="4"/>
      <c r="B525" s="809" t="s">
        <v>919</v>
      </c>
      <c r="C525" s="810"/>
      <c r="D525" s="810"/>
      <c r="E525" s="811"/>
      <c r="F525" s="462">
        <f>33*X2</f>
        <v>30954</v>
      </c>
      <c r="G525" s="331">
        <f>+F525*$X$1</f>
        <v>30954</v>
      </c>
      <c r="H525" s="107">
        <f>F525+2200</f>
        <v>33154</v>
      </c>
      <c r="I525" s="371">
        <f>+H525*$X$1</f>
        <v>33154</v>
      </c>
      <c r="J525" s="107">
        <f>F525+500</f>
        <v>31454</v>
      </c>
      <c r="K525" s="371">
        <f>+J525*$X$1</f>
        <v>31454</v>
      </c>
      <c r="L525" s="107">
        <f>F525+410</f>
        <v>31364</v>
      </c>
      <c r="M525" s="371">
        <f>+L525*$X$1</f>
        <v>31364</v>
      </c>
      <c r="N525" s="107">
        <f>F525+370</f>
        <v>31324</v>
      </c>
      <c r="O525" s="371">
        <f>+N525*$X$1</f>
        <v>31324</v>
      </c>
      <c r="P525" s="107">
        <f>F525+360</f>
        <v>31314</v>
      </c>
      <c r="Q525" s="371">
        <f>+P525*$X$1</f>
        <v>31314</v>
      </c>
      <c r="R525" s="107">
        <f>F525+330</f>
        <v>31284</v>
      </c>
      <c r="S525" s="371">
        <f>+R525*$X$1</f>
        <v>31284</v>
      </c>
      <c r="T525" s="107">
        <f>F525+290</f>
        <v>31244</v>
      </c>
      <c r="U525" s="371">
        <f>+T525*$X$1</f>
        <v>31244</v>
      </c>
      <c r="V525" s="107">
        <f>F525+240</f>
        <v>31194</v>
      </c>
      <c r="W525" s="371">
        <f>+V525*$X$1</f>
        <v>31194</v>
      </c>
      <c r="X525" s="150"/>
      <c r="Y525" s="145"/>
      <c r="Z525" s="151"/>
      <c r="AA525" s="152"/>
      <c r="AB525" s="507">
        <v>586</v>
      </c>
    </row>
    <row r="526" spans="1:34" ht="12" customHeight="1" x14ac:dyDescent="0.2">
      <c r="A526" s="4"/>
      <c r="B526" s="877" t="s">
        <v>867</v>
      </c>
      <c r="C526" s="967"/>
      <c r="D526" s="967"/>
      <c r="E526" s="968"/>
      <c r="F526" s="375">
        <v>37860</v>
      </c>
      <c r="G526" s="330">
        <f t="shared" si="1255"/>
        <v>37860</v>
      </c>
      <c r="H526" s="108"/>
      <c r="I526" s="357"/>
      <c r="J526" s="108">
        <f t="shared" si="1272"/>
        <v>38360</v>
      </c>
      <c r="K526" s="357">
        <f t="shared" si="1273"/>
        <v>38360</v>
      </c>
      <c r="L526" s="108">
        <f t="shared" si="1274"/>
        <v>38270</v>
      </c>
      <c r="M526" s="357">
        <f t="shared" si="1275"/>
        <v>38270</v>
      </c>
      <c r="N526" s="108">
        <f t="shared" si="1276"/>
        <v>38230</v>
      </c>
      <c r="O526" s="357">
        <f t="shared" si="1277"/>
        <v>38230</v>
      </c>
      <c r="P526" s="108">
        <f t="shared" si="1278"/>
        <v>38220</v>
      </c>
      <c r="Q526" s="357">
        <f t="shared" si="1279"/>
        <v>38220</v>
      </c>
      <c r="R526" s="108">
        <f t="shared" si="1280"/>
        <v>38190</v>
      </c>
      <c r="S526" s="357">
        <f t="shared" si="1281"/>
        <v>38190</v>
      </c>
      <c r="T526" s="108">
        <f t="shared" si="1282"/>
        <v>38150</v>
      </c>
      <c r="U526" s="357">
        <f t="shared" si="1283"/>
        <v>38150</v>
      </c>
      <c r="V526" s="108">
        <f t="shared" si="1284"/>
        <v>38100</v>
      </c>
      <c r="W526" s="357">
        <f t="shared" si="1285"/>
        <v>38100</v>
      </c>
      <c r="X526" s="150"/>
      <c r="Y526" s="145"/>
      <c r="Z526" s="151"/>
      <c r="AA526" s="152"/>
      <c r="AB526" s="507">
        <v>599</v>
      </c>
    </row>
    <row r="527" spans="1:34" ht="12" customHeight="1" x14ac:dyDescent="0.2">
      <c r="A527" s="4"/>
      <c r="B527" s="805" t="s">
        <v>854</v>
      </c>
      <c r="C527" s="812"/>
      <c r="D527" s="812"/>
      <c r="E527" s="813"/>
      <c r="F527" s="461">
        <f>24.6*X2</f>
        <v>23074.800000000003</v>
      </c>
      <c r="G527" s="331">
        <f t="shared" si="1255"/>
        <v>23074.800000000003</v>
      </c>
      <c r="H527" s="107">
        <f t="shared" si="1270"/>
        <v>25274.800000000003</v>
      </c>
      <c r="I527" s="371">
        <f t="shared" si="1271"/>
        <v>25274.800000000003</v>
      </c>
      <c r="J527" s="107">
        <f t="shared" si="1272"/>
        <v>23574.800000000003</v>
      </c>
      <c r="K527" s="371">
        <f t="shared" si="1273"/>
        <v>23574.800000000003</v>
      </c>
      <c r="L527" s="107">
        <f t="shared" si="1274"/>
        <v>23484.800000000003</v>
      </c>
      <c r="M527" s="371">
        <f t="shared" si="1275"/>
        <v>23484.800000000003</v>
      </c>
      <c r="N527" s="107">
        <f t="shared" si="1276"/>
        <v>23444.800000000003</v>
      </c>
      <c r="O527" s="371">
        <f t="shared" si="1277"/>
        <v>23444.800000000003</v>
      </c>
      <c r="P527" s="107">
        <f t="shared" si="1278"/>
        <v>23434.800000000003</v>
      </c>
      <c r="Q527" s="371">
        <f t="shared" si="1279"/>
        <v>23434.800000000003</v>
      </c>
      <c r="R527" s="107">
        <f t="shared" si="1280"/>
        <v>23404.800000000003</v>
      </c>
      <c r="S527" s="371">
        <f t="shared" si="1281"/>
        <v>23404.800000000003</v>
      </c>
      <c r="T527" s="107">
        <f t="shared" si="1282"/>
        <v>23364.800000000003</v>
      </c>
      <c r="U527" s="371">
        <f t="shared" si="1283"/>
        <v>23364.800000000003</v>
      </c>
      <c r="V527" s="107">
        <f t="shared" si="1284"/>
        <v>23314.800000000003</v>
      </c>
      <c r="W527" s="371">
        <f t="shared" si="1285"/>
        <v>23314.800000000003</v>
      </c>
      <c r="X527" s="150"/>
      <c r="Y527" s="145"/>
      <c r="Z527" s="151"/>
      <c r="AA527" s="152"/>
      <c r="AB527" s="507">
        <v>600</v>
      </c>
    </row>
    <row r="528" spans="1:34" ht="12" customHeight="1" x14ac:dyDescent="0.2">
      <c r="A528" s="4"/>
      <c r="B528" s="877" t="s">
        <v>877</v>
      </c>
      <c r="C528" s="967"/>
      <c r="D528" s="967"/>
      <c r="E528" s="968"/>
      <c r="F528" s="463">
        <f>53.4*X2</f>
        <v>50089.2</v>
      </c>
      <c r="G528" s="330">
        <f t="shared" ref="G528" si="1286">+F528*$X$1</f>
        <v>50089.2</v>
      </c>
      <c r="H528" s="108">
        <f t="shared" ref="H528" si="1287">F528+2200</f>
        <v>52289.2</v>
      </c>
      <c r="I528" s="357">
        <f t="shared" ref="I528" si="1288">+H528*$X$1</f>
        <v>52289.2</v>
      </c>
      <c r="J528" s="108">
        <f t="shared" ref="J528" si="1289">F528+500</f>
        <v>50589.2</v>
      </c>
      <c r="K528" s="357">
        <f t="shared" ref="K528" si="1290">+J528*$X$1</f>
        <v>50589.2</v>
      </c>
      <c r="L528" s="108">
        <f t="shared" ref="L528" si="1291">F528+410</f>
        <v>50499.199999999997</v>
      </c>
      <c r="M528" s="357">
        <f t="shared" ref="M528" si="1292">+L528*$X$1</f>
        <v>50499.199999999997</v>
      </c>
      <c r="N528" s="108">
        <f t="shared" ref="N528" si="1293">F528+370</f>
        <v>50459.199999999997</v>
      </c>
      <c r="O528" s="357">
        <f t="shared" ref="O528" si="1294">+N528*$X$1</f>
        <v>50459.199999999997</v>
      </c>
      <c r="P528" s="108">
        <f t="shared" ref="P528" si="1295">F528+360</f>
        <v>50449.2</v>
      </c>
      <c r="Q528" s="357">
        <f t="shared" ref="Q528" si="1296">+P528*$X$1</f>
        <v>50449.2</v>
      </c>
      <c r="R528" s="108">
        <f t="shared" ref="R528" si="1297">F528+330</f>
        <v>50419.199999999997</v>
      </c>
      <c r="S528" s="357">
        <f t="shared" ref="S528" si="1298">+R528*$X$1</f>
        <v>50419.199999999997</v>
      </c>
      <c r="T528" s="108">
        <f t="shared" ref="T528" si="1299">F528+290</f>
        <v>50379.199999999997</v>
      </c>
      <c r="U528" s="357">
        <f t="shared" ref="U528" si="1300">+T528*$X$1</f>
        <v>50379.199999999997</v>
      </c>
      <c r="V528" s="108">
        <f t="shared" ref="V528" si="1301">F528+240</f>
        <v>50329.2</v>
      </c>
      <c r="W528" s="357">
        <f t="shared" ref="W528" si="1302">+V528*$X$1</f>
        <v>50329.2</v>
      </c>
      <c r="X528" s="150"/>
      <c r="Y528" s="145"/>
      <c r="Z528" s="151"/>
      <c r="AA528" s="152"/>
      <c r="AB528" s="507">
        <v>608</v>
      </c>
    </row>
    <row r="529" spans="1:28" ht="12" customHeight="1" x14ac:dyDescent="0.2">
      <c r="A529" s="4"/>
      <c r="B529" s="809" t="s">
        <v>859</v>
      </c>
      <c r="C529" s="810"/>
      <c r="D529" s="810"/>
      <c r="E529" s="811"/>
      <c r="F529" s="462">
        <f>47.2*X2</f>
        <v>44273.600000000006</v>
      </c>
      <c r="G529" s="331">
        <f t="shared" ref="G529:G530" si="1303">+F529*$X$1</f>
        <v>44273.600000000006</v>
      </c>
      <c r="H529" s="107">
        <f t="shared" si="1270"/>
        <v>46473.600000000006</v>
      </c>
      <c r="I529" s="371">
        <f t="shared" si="1271"/>
        <v>46473.600000000006</v>
      </c>
      <c r="J529" s="107">
        <f t="shared" si="1272"/>
        <v>44773.600000000006</v>
      </c>
      <c r="K529" s="371">
        <f t="shared" si="1273"/>
        <v>44773.600000000006</v>
      </c>
      <c r="L529" s="107">
        <f t="shared" si="1274"/>
        <v>44683.600000000006</v>
      </c>
      <c r="M529" s="371">
        <f t="shared" si="1275"/>
        <v>44683.600000000006</v>
      </c>
      <c r="N529" s="107">
        <f t="shared" si="1276"/>
        <v>44643.600000000006</v>
      </c>
      <c r="O529" s="371">
        <f t="shared" si="1277"/>
        <v>44643.600000000006</v>
      </c>
      <c r="P529" s="107">
        <f t="shared" si="1278"/>
        <v>44633.600000000006</v>
      </c>
      <c r="Q529" s="371">
        <f t="shared" si="1279"/>
        <v>44633.600000000006</v>
      </c>
      <c r="R529" s="107">
        <f t="shared" si="1280"/>
        <v>44603.600000000006</v>
      </c>
      <c r="S529" s="371">
        <f t="shared" si="1281"/>
        <v>44603.600000000006</v>
      </c>
      <c r="T529" s="107">
        <f t="shared" si="1282"/>
        <v>44563.600000000006</v>
      </c>
      <c r="U529" s="371">
        <f t="shared" si="1283"/>
        <v>44563.600000000006</v>
      </c>
      <c r="V529" s="107">
        <f t="shared" si="1284"/>
        <v>44513.600000000006</v>
      </c>
      <c r="W529" s="371">
        <f t="shared" si="1285"/>
        <v>44513.600000000006</v>
      </c>
      <c r="X529" s="150"/>
      <c r="Y529" s="145"/>
      <c r="Z529" s="151"/>
      <c r="AA529" s="152"/>
      <c r="AB529" s="507">
        <v>609</v>
      </c>
    </row>
    <row r="530" spans="1:28" ht="12" customHeight="1" x14ac:dyDescent="0.2">
      <c r="A530" s="4"/>
      <c r="B530" s="877" t="s">
        <v>860</v>
      </c>
      <c r="C530" s="967"/>
      <c r="D530" s="967"/>
      <c r="E530" s="968"/>
      <c r="F530" s="463">
        <f>54.7*X2</f>
        <v>51308.600000000006</v>
      </c>
      <c r="G530" s="330">
        <f t="shared" si="1303"/>
        <v>51308.600000000006</v>
      </c>
      <c r="H530" s="108">
        <f t="shared" si="1270"/>
        <v>53508.600000000006</v>
      </c>
      <c r="I530" s="357">
        <f t="shared" si="1271"/>
        <v>53508.600000000006</v>
      </c>
      <c r="J530" s="108">
        <f t="shared" si="1272"/>
        <v>51808.600000000006</v>
      </c>
      <c r="K530" s="357">
        <f t="shared" si="1273"/>
        <v>51808.600000000006</v>
      </c>
      <c r="L530" s="108">
        <f t="shared" si="1274"/>
        <v>51718.600000000006</v>
      </c>
      <c r="M530" s="357">
        <f t="shared" si="1275"/>
        <v>51718.600000000006</v>
      </c>
      <c r="N530" s="108">
        <f t="shared" si="1276"/>
        <v>51678.600000000006</v>
      </c>
      <c r="O530" s="357">
        <f t="shared" si="1277"/>
        <v>51678.600000000006</v>
      </c>
      <c r="P530" s="108">
        <f t="shared" si="1278"/>
        <v>51668.600000000006</v>
      </c>
      <c r="Q530" s="357">
        <f t="shared" si="1279"/>
        <v>51668.600000000006</v>
      </c>
      <c r="R530" s="108">
        <f t="shared" si="1280"/>
        <v>51638.600000000006</v>
      </c>
      <c r="S530" s="357">
        <f t="shared" si="1281"/>
        <v>51638.600000000006</v>
      </c>
      <c r="T530" s="108">
        <f t="shared" si="1282"/>
        <v>51598.600000000006</v>
      </c>
      <c r="U530" s="357">
        <f t="shared" si="1283"/>
        <v>51598.600000000006</v>
      </c>
      <c r="V530" s="108">
        <f t="shared" si="1284"/>
        <v>51548.600000000006</v>
      </c>
      <c r="W530" s="357">
        <f t="shared" si="1285"/>
        <v>51548.600000000006</v>
      </c>
      <c r="X530" s="150"/>
      <c r="Y530" s="145"/>
      <c r="Z530" s="151"/>
      <c r="AA530" s="152"/>
      <c r="AB530" s="507">
        <v>611</v>
      </c>
    </row>
    <row r="531" spans="1:28" ht="12" customHeight="1" x14ac:dyDescent="0.2">
      <c r="A531" s="4"/>
      <c r="B531" s="809" t="s">
        <v>713</v>
      </c>
      <c r="C531" s="810"/>
      <c r="D531" s="810"/>
      <c r="E531" s="811"/>
      <c r="F531" s="331">
        <v>5170</v>
      </c>
      <c r="G531" s="331">
        <f>+F531*$X$1</f>
        <v>5170</v>
      </c>
      <c r="H531" s="107"/>
      <c r="I531" s="371"/>
      <c r="J531" s="107"/>
      <c r="K531" s="371"/>
      <c r="L531" s="107">
        <f t="shared" si="1274"/>
        <v>5580</v>
      </c>
      <c r="M531" s="371">
        <f t="shared" si="1275"/>
        <v>5580</v>
      </c>
      <c r="N531" s="107">
        <f t="shared" si="1276"/>
        <v>5540</v>
      </c>
      <c r="O531" s="371">
        <f t="shared" si="1277"/>
        <v>5540</v>
      </c>
      <c r="P531" s="107">
        <f t="shared" si="1278"/>
        <v>5530</v>
      </c>
      <c r="Q531" s="371">
        <f t="shared" si="1279"/>
        <v>5530</v>
      </c>
      <c r="R531" s="107">
        <f t="shared" si="1280"/>
        <v>5500</v>
      </c>
      <c r="S531" s="371">
        <f t="shared" si="1281"/>
        <v>5500</v>
      </c>
      <c r="T531" s="107">
        <f t="shared" si="1282"/>
        <v>5460</v>
      </c>
      <c r="U531" s="371">
        <f t="shared" si="1283"/>
        <v>5460</v>
      </c>
      <c r="V531" s="107">
        <f t="shared" si="1284"/>
        <v>5410</v>
      </c>
      <c r="W531" s="371">
        <f t="shared" si="1285"/>
        <v>5410</v>
      </c>
      <c r="X531" s="150"/>
      <c r="Y531" s="145"/>
      <c r="Z531" s="151"/>
      <c r="AA531" s="152"/>
      <c r="AB531" s="208">
        <v>641</v>
      </c>
    </row>
    <row r="532" spans="1:28" ht="12" customHeight="1" x14ac:dyDescent="0.2">
      <c r="A532" s="4"/>
      <c r="B532" s="877" t="s">
        <v>714</v>
      </c>
      <c r="C532" s="967"/>
      <c r="D532" s="967"/>
      <c r="E532" s="968"/>
      <c r="F532" s="463">
        <f>6*X2</f>
        <v>5628</v>
      </c>
      <c r="G532" s="330">
        <f t="shared" ref="G532" si="1304">+F532*$X$1</f>
        <v>5628</v>
      </c>
      <c r="H532" s="108">
        <f t="shared" si="1270"/>
        <v>7828</v>
      </c>
      <c r="I532" s="357">
        <f t="shared" si="1271"/>
        <v>7828</v>
      </c>
      <c r="J532" s="108">
        <f t="shared" si="1272"/>
        <v>6128</v>
      </c>
      <c r="K532" s="357">
        <f t="shared" si="1273"/>
        <v>6128</v>
      </c>
      <c r="L532" s="108">
        <f t="shared" si="1274"/>
        <v>6038</v>
      </c>
      <c r="M532" s="357">
        <f t="shared" si="1275"/>
        <v>6038</v>
      </c>
      <c r="N532" s="108">
        <f t="shared" si="1276"/>
        <v>5998</v>
      </c>
      <c r="O532" s="357">
        <f t="shared" si="1277"/>
        <v>5998</v>
      </c>
      <c r="P532" s="108">
        <f t="shared" si="1278"/>
        <v>5988</v>
      </c>
      <c r="Q532" s="357">
        <f t="shared" si="1279"/>
        <v>5988</v>
      </c>
      <c r="R532" s="108">
        <f t="shared" si="1280"/>
        <v>5958</v>
      </c>
      <c r="S532" s="357">
        <f t="shared" si="1281"/>
        <v>5958</v>
      </c>
      <c r="T532" s="108">
        <f t="shared" si="1282"/>
        <v>5918</v>
      </c>
      <c r="U532" s="357">
        <f t="shared" si="1283"/>
        <v>5918</v>
      </c>
      <c r="V532" s="108">
        <f t="shared" si="1284"/>
        <v>5868</v>
      </c>
      <c r="W532" s="357">
        <f t="shared" si="1285"/>
        <v>5868</v>
      </c>
      <c r="X532" s="150"/>
      <c r="Y532" s="145"/>
      <c r="Z532" s="151"/>
      <c r="AA532" s="152"/>
      <c r="AB532" s="208">
        <v>642</v>
      </c>
    </row>
    <row r="533" spans="1:28" ht="12" customHeight="1" x14ac:dyDescent="0.2">
      <c r="A533" s="4"/>
      <c r="B533" s="809" t="s">
        <v>715</v>
      </c>
      <c r="C533" s="810"/>
      <c r="D533" s="810"/>
      <c r="E533" s="811"/>
      <c r="F533" s="462">
        <f>26.55*X2</f>
        <v>24903.9</v>
      </c>
      <c r="G533" s="331">
        <f t="shared" ref="G533" si="1305">+F533*$X$1</f>
        <v>24903.9</v>
      </c>
      <c r="H533" s="107">
        <f t="shared" si="1270"/>
        <v>27103.9</v>
      </c>
      <c r="I533" s="371">
        <f t="shared" si="1271"/>
        <v>27103.9</v>
      </c>
      <c r="J533" s="107">
        <f t="shared" si="1272"/>
        <v>25403.9</v>
      </c>
      <c r="K533" s="371">
        <f t="shared" si="1273"/>
        <v>25403.9</v>
      </c>
      <c r="L533" s="107">
        <f t="shared" si="1274"/>
        <v>25313.9</v>
      </c>
      <c r="M533" s="371">
        <f t="shared" si="1275"/>
        <v>25313.9</v>
      </c>
      <c r="N533" s="107">
        <f t="shared" si="1276"/>
        <v>25273.9</v>
      </c>
      <c r="O533" s="371">
        <f t="shared" si="1277"/>
        <v>25273.9</v>
      </c>
      <c r="P533" s="107">
        <f t="shared" si="1278"/>
        <v>25263.9</v>
      </c>
      <c r="Q533" s="371">
        <f t="shared" si="1279"/>
        <v>25263.9</v>
      </c>
      <c r="R533" s="107">
        <f t="shared" si="1280"/>
        <v>25233.9</v>
      </c>
      <c r="S533" s="371">
        <f t="shared" si="1281"/>
        <v>25233.9</v>
      </c>
      <c r="T533" s="107">
        <f t="shared" si="1282"/>
        <v>25193.9</v>
      </c>
      <c r="U533" s="371">
        <f t="shared" si="1283"/>
        <v>25193.9</v>
      </c>
      <c r="V533" s="107">
        <f t="shared" si="1284"/>
        <v>25143.9</v>
      </c>
      <c r="W533" s="371">
        <f t="shared" si="1285"/>
        <v>25143.9</v>
      </c>
      <c r="X533" s="150"/>
      <c r="Y533" s="145"/>
      <c r="Z533" s="151"/>
      <c r="AA533" s="152"/>
      <c r="AB533" s="208">
        <v>643</v>
      </c>
    </row>
    <row r="534" spans="1:28" ht="12" customHeight="1" x14ac:dyDescent="0.2">
      <c r="A534" s="4"/>
      <c r="B534" s="877" t="s">
        <v>861</v>
      </c>
      <c r="C534" s="967"/>
      <c r="D534" s="967"/>
      <c r="E534" s="968"/>
      <c r="F534" s="460">
        <f>42.332*X2</f>
        <v>39707.415999999997</v>
      </c>
      <c r="G534" s="330">
        <f t="shared" si="1255"/>
        <v>39707.415999999997</v>
      </c>
      <c r="H534" s="108">
        <f t="shared" ref="H534" si="1306">F534+2200</f>
        <v>41907.415999999997</v>
      </c>
      <c r="I534" s="357">
        <f t="shared" ref="I534" si="1307">+H534*$X$1</f>
        <v>41907.415999999997</v>
      </c>
      <c r="J534" s="108">
        <f t="shared" ref="J534" si="1308">F534+500</f>
        <v>40207.415999999997</v>
      </c>
      <c r="K534" s="357">
        <f t="shared" ref="K534" si="1309">+J534*$X$1</f>
        <v>40207.415999999997</v>
      </c>
      <c r="L534" s="108">
        <f t="shared" ref="L534" si="1310">F534+410</f>
        <v>40117.415999999997</v>
      </c>
      <c r="M534" s="357">
        <f t="shared" ref="M534" si="1311">+L534*$X$1</f>
        <v>40117.415999999997</v>
      </c>
      <c r="N534" s="108">
        <f t="shared" ref="N534" si="1312">F534+370</f>
        <v>40077.415999999997</v>
      </c>
      <c r="O534" s="357">
        <f t="shared" ref="O534" si="1313">+N534*$X$1</f>
        <v>40077.415999999997</v>
      </c>
      <c r="P534" s="108">
        <f t="shared" ref="P534" si="1314">F534+360</f>
        <v>40067.415999999997</v>
      </c>
      <c r="Q534" s="357">
        <f t="shared" ref="Q534" si="1315">+P534*$X$1</f>
        <v>40067.415999999997</v>
      </c>
      <c r="R534" s="108">
        <f t="shared" ref="R534" si="1316">F534+330</f>
        <v>40037.415999999997</v>
      </c>
      <c r="S534" s="357">
        <f t="shared" ref="S534" si="1317">+R534*$X$1</f>
        <v>40037.415999999997</v>
      </c>
      <c r="T534" s="108">
        <f t="shared" ref="T534" si="1318">F534+290</f>
        <v>39997.415999999997</v>
      </c>
      <c r="U534" s="357">
        <f t="shared" ref="U534" si="1319">+T534*$X$1</f>
        <v>39997.415999999997</v>
      </c>
      <c r="V534" s="108">
        <f t="shared" ref="V534" si="1320">F534+240</f>
        <v>39947.415999999997</v>
      </c>
      <c r="W534" s="357">
        <f t="shared" ref="W534" si="1321">+V534*$X$1</f>
        <v>39947.415999999997</v>
      </c>
      <c r="X534" s="150"/>
      <c r="Y534" s="145"/>
      <c r="Z534" s="151"/>
      <c r="AA534" s="152"/>
      <c r="AB534" s="507">
        <v>657</v>
      </c>
    </row>
    <row r="535" spans="1:28" ht="12" customHeight="1" x14ac:dyDescent="0.2">
      <c r="A535" s="4"/>
      <c r="B535" s="809" t="s">
        <v>862</v>
      </c>
      <c r="C535" s="810"/>
      <c r="D535" s="810"/>
      <c r="E535" s="811"/>
      <c r="F535" s="461">
        <f>36.05*X2</f>
        <v>33814.899999999994</v>
      </c>
      <c r="G535" s="331">
        <f t="shared" ref="G535:G537" si="1322">+F535*$X$1</f>
        <v>33814.899999999994</v>
      </c>
      <c r="H535" s="107">
        <f t="shared" ref="H535:H552" si="1323">F535+2200</f>
        <v>36014.899999999994</v>
      </c>
      <c r="I535" s="371">
        <f t="shared" ref="I535:I552" si="1324">+H535*$X$1</f>
        <v>36014.899999999994</v>
      </c>
      <c r="J535" s="107">
        <f t="shared" ref="J535:J552" si="1325">F535+500</f>
        <v>34314.899999999994</v>
      </c>
      <c r="K535" s="371">
        <f t="shared" ref="K535:K552" si="1326">+J535*$X$1</f>
        <v>34314.899999999994</v>
      </c>
      <c r="L535" s="107">
        <f t="shared" ref="L535:L552" si="1327">F535+410</f>
        <v>34224.899999999994</v>
      </c>
      <c r="M535" s="371">
        <f t="shared" ref="M535:M552" si="1328">+L535*$X$1</f>
        <v>34224.899999999994</v>
      </c>
      <c r="N535" s="107">
        <f t="shared" ref="N535:N552" si="1329">F535+370</f>
        <v>34184.899999999994</v>
      </c>
      <c r="O535" s="371">
        <f t="shared" ref="O535:O552" si="1330">+N535*$X$1</f>
        <v>34184.899999999994</v>
      </c>
      <c r="P535" s="107">
        <f t="shared" ref="P535:P552" si="1331">F535+360</f>
        <v>34174.899999999994</v>
      </c>
      <c r="Q535" s="371">
        <f t="shared" ref="Q535:Q552" si="1332">+P535*$X$1</f>
        <v>34174.899999999994</v>
      </c>
      <c r="R535" s="107">
        <f t="shared" ref="R535:R552" si="1333">F535+330</f>
        <v>34144.899999999994</v>
      </c>
      <c r="S535" s="371">
        <f t="shared" ref="S535:S552" si="1334">+R535*$X$1</f>
        <v>34144.899999999994</v>
      </c>
      <c r="T535" s="107">
        <f t="shared" ref="T535:T552" si="1335">F535+290</f>
        <v>34104.899999999994</v>
      </c>
      <c r="U535" s="371">
        <f t="shared" ref="U535:U552" si="1336">+T535*$X$1</f>
        <v>34104.899999999994</v>
      </c>
      <c r="V535" s="107">
        <f t="shared" ref="V535:V552" si="1337">F535+240</f>
        <v>34054.899999999994</v>
      </c>
      <c r="W535" s="371">
        <f t="shared" ref="W535:W552" si="1338">+V535*$X$1</f>
        <v>34054.899999999994</v>
      </c>
      <c r="X535" s="150"/>
      <c r="Y535" s="145"/>
      <c r="Z535" s="151"/>
      <c r="AA535" s="152"/>
      <c r="AB535" s="507">
        <v>658</v>
      </c>
    </row>
    <row r="536" spans="1:28" ht="12" customHeight="1" x14ac:dyDescent="0.2">
      <c r="A536" s="4"/>
      <c r="B536" s="877" t="s">
        <v>863</v>
      </c>
      <c r="C536" s="967"/>
      <c r="D536" s="967"/>
      <c r="E536" s="968"/>
      <c r="F536" s="460">
        <f>28.5*X2</f>
        <v>26733</v>
      </c>
      <c r="G536" s="330">
        <f t="shared" si="1322"/>
        <v>26733</v>
      </c>
      <c r="H536" s="108">
        <f t="shared" si="1323"/>
        <v>28933</v>
      </c>
      <c r="I536" s="357">
        <f t="shared" si="1324"/>
        <v>28933</v>
      </c>
      <c r="J536" s="108">
        <f t="shared" si="1325"/>
        <v>27233</v>
      </c>
      <c r="K536" s="357">
        <f t="shared" si="1326"/>
        <v>27233</v>
      </c>
      <c r="L536" s="108">
        <f t="shared" si="1327"/>
        <v>27143</v>
      </c>
      <c r="M536" s="357">
        <f t="shared" si="1328"/>
        <v>27143</v>
      </c>
      <c r="N536" s="108">
        <f t="shared" si="1329"/>
        <v>27103</v>
      </c>
      <c r="O536" s="357">
        <f t="shared" si="1330"/>
        <v>27103</v>
      </c>
      <c r="P536" s="108">
        <f t="shared" si="1331"/>
        <v>27093</v>
      </c>
      <c r="Q536" s="357">
        <f t="shared" si="1332"/>
        <v>27093</v>
      </c>
      <c r="R536" s="108">
        <f t="shared" si="1333"/>
        <v>27063</v>
      </c>
      <c r="S536" s="357">
        <f t="shared" si="1334"/>
        <v>27063</v>
      </c>
      <c r="T536" s="108">
        <f t="shared" si="1335"/>
        <v>27023</v>
      </c>
      <c r="U536" s="357">
        <f t="shared" si="1336"/>
        <v>27023</v>
      </c>
      <c r="V536" s="108">
        <f t="shared" si="1337"/>
        <v>26973</v>
      </c>
      <c r="W536" s="357">
        <f t="shared" si="1338"/>
        <v>26973</v>
      </c>
      <c r="X536" s="150"/>
      <c r="Y536" s="145"/>
      <c r="Z536" s="151"/>
      <c r="AA536" s="152"/>
      <c r="AB536" s="507">
        <v>659</v>
      </c>
    </row>
    <row r="537" spans="1:28" ht="12" customHeight="1" x14ac:dyDescent="0.2">
      <c r="A537" s="4"/>
      <c r="B537" s="809" t="s">
        <v>864</v>
      </c>
      <c r="C537" s="810"/>
      <c r="D537" s="810"/>
      <c r="E537" s="811"/>
      <c r="F537" s="461">
        <f>13.1*X2</f>
        <v>12287.8</v>
      </c>
      <c r="G537" s="331">
        <f t="shared" si="1322"/>
        <v>12287.8</v>
      </c>
      <c r="H537" s="107">
        <f t="shared" si="1323"/>
        <v>14487.8</v>
      </c>
      <c r="I537" s="371">
        <f t="shared" si="1324"/>
        <v>14487.8</v>
      </c>
      <c r="J537" s="107">
        <f t="shared" si="1325"/>
        <v>12787.8</v>
      </c>
      <c r="K537" s="371">
        <f t="shared" si="1326"/>
        <v>12787.8</v>
      </c>
      <c r="L537" s="107">
        <f t="shared" si="1327"/>
        <v>12697.8</v>
      </c>
      <c r="M537" s="371">
        <f t="shared" si="1328"/>
        <v>12697.8</v>
      </c>
      <c r="N537" s="107">
        <f t="shared" si="1329"/>
        <v>12657.8</v>
      </c>
      <c r="O537" s="371">
        <f t="shared" si="1330"/>
        <v>12657.8</v>
      </c>
      <c r="P537" s="107">
        <f t="shared" si="1331"/>
        <v>12647.8</v>
      </c>
      <c r="Q537" s="371">
        <f t="shared" si="1332"/>
        <v>12647.8</v>
      </c>
      <c r="R537" s="107">
        <f t="shared" si="1333"/>
        <v>12617.8</v>
      </c>
      <c r="S537" s="371">
        <f t="shared" si="1334"/>
        <v>12617.8</v>
      </c>
      <c r="T537" s="107">
        <f t="shared" si="1335"/>
        <v>12577.8</v>
      </c>
      <c r="U537" s="371">
        <f t="shared" si="1336"/>
        <v>12577.8</v>
      </c>
      <c r="V537" s="107">
        <f t="shared" si="1337"/>
        <v>12527.8</v>
      </c>
      <c r="W537" s="371">
        <f t="shared" si="1338"/>
        <v>12527.8</v>
      </c>
      <c r="X537" s="150"/>
      <c r="Y537" s="145"/>
      <c r="Z537" s="151"/>
      <c r="AA537" s="152"/>
      <c r="AB537" s="507">
        <v>660</v>
      </c>
    </row>
    <row r="538" spans="1:28" ht="12" customHeight="1" x14ac:dyDescent="0.2">
      <c r="A538" s="4"/>
      <c r="B538" s="877" t="s">
        <v>690</v>
      </c>
      <c r="C538" s="967"/>
      <c r="D538" s="967"/>
      <c r="E538" s="968"/>
      <c r="F538" s="330">
        <v>8100</v>
      </c>
      <c r="G538" s="330">
        <f t="shared" ref="G538:G544" si="1339">+F538*$X$1</f>
        <v>8100</v>
      </c>
      <c r="H538" s="108"/>
      <c r="I538" s="357"/>
      <c r="J538" s="108">
        <f t="shared" si="1325"/>
        <v>8600</v>
      </c>
      <c r="K538" s="357">
        <f t="shared" si="1326"/>
        <v>8600</v>
      </c>
      <c r="L538" s="108">
        <f t="shared" si="1327"/>
        <v>8510</v>
      </c>
      <c r="M538" s="357">
        <f t="shared" si="1328"/>
        <v>8510</v>
      </c>
      <c r="N538" s="108">
        <f t="shared" si="1329"/>
        <v>8470</v>
      </c>
      <c r="O538" s="357">
        <f t="shared" si="1330"/>
        <v>8470</v>
      </c>
      <c r="P538" s="108">
        <f t="shared" si="1331"/>
        <v>8460</v>
      </c>
      <c r="Q538" s="357">
        <f t="shared" si="1332"/>
        <v>8460</v>
      </c>
      <c r="R538" s="108">
        <f t="shared" si="1333"/>
        <v>8430</v>
      </c>
      <c r="S538" s="357">
        <f t="shared" si="1334"/>
        <v>8430</v>
      </c>
      <c r="T538" s="108">
        <f t="shared" si="1335"/>
        <v>8390</v>
      </c>
      <c r="U538" s="357">
        <f t="shared" si="1336"/>
        <v>8390</v>
      </c>
      <c r="V538" s="108">
        <f t="shared" si="1337"/>
        <v>8340</v>
      </c>
      <c r="W538" s="357">
        <f t="shared" si="1338"/>
        <v>8340</v>
      </c>
      <c r="X538" s="150"/>
      <c r="Y538" s="145"/>
      <c r="Z538" s="151"/>
      <c r="AA538" s="152"/>
      <c r="AB538" s="507">
        <v>661</v>
      </c>
    </row>
    <row r="539" spans="1:28" ht="12" customHeight="1" x14ac:dyDescent="0.2">
      <c r="A539" s="4"/>
      <c r="B539" s="809" t="s">
        <v>691</v>
      </c>
      <c r="C539" s="810"/>
      <c r="D539" s="810"/>
      <c r="E539" s="811"/>
      <c r="F539" s="331">
        <v>31556</v>
      </c>
      <c r="G539" s="331">
        <f t="shared" si="1339"/>
        <v>31556</v>
      </c>
      <c r="H539" s="107"/>
      <c r="I539" s="371"/>
      <c r="J539" s="107">
        <f t="shared" si="1325"/>
        <v>32056</v>
      </c>
      <c r="K539" s="371">
        <f t="shared" si="1326"/>
        <v>32056</v>
      </c>
      <c r="L539" s="107">
        <f t="shared" si="1327"/>
        <v>31966</v>
      </c>
      <c r="M539" s="371">
        <f t="shared" si="1328"/>
        <v>31966</v>
      </c>
      <c r="N539" s="107">
        <f t="shared" si="1329"/>
        <v>31926</v>
      </c>
      <c r="O539" s="371">
        <f t="shared" si="1330"/>
        <v>31926</v>
      </c>
      <c r="P539" s="107">
        <f t="shared" si="1331"/>
        <v>31916</v>
      </c>
      <c r="Q539" s="371">
        <f t="shared" si="1332"/>
        <v>31916</v>
      </c>
      <c r="R539" s="107">
        <f t="shared" si="1333"/>
        <v>31886</v>
      </c>
      <c r="S539" s="371">
        <f t="shared" si="1334"/>
        <v>31886</v>
      </c>
      <c r="T539" s="107">
        <f t="shared" si="1335"/>
        <v>31846</v>
      </c>
      <c r="U539" s="371">
        <f t="shared" si="1336"/>
        <v>31846</v>
      </c>
      <c r="V539" s="107">
        <f t="shared" si="1337"/>
        <v>31796</v>
      </c>
      <c r="W539" s="371">
        <f t="shared" si="1338"/>
        <v>31796</v>
      </c>
      <c r="X539" s="150"/>
      <c r="Y539" s="145"/>
      <c r="Z539" s="151"/>
      <c r="AA539" s="152"/>
      <c r="AB539" s="507">
        <v>664</v>
      </c>
    </row>
    <row r="540" spans="1:28" ht="12" customHeight="1" x14ac:dyDescent="0.2">
      <c r="A540" s="4"/>
      <c r="B540" s="805" t="s">
        <v>888</v>
      </c>
      <c r="C540" s="812"/>
      <c r="D540" s="812"/>
      <c r="E540" s="813"/>
      <c r="F540" s="460">
        <f>18.36*X2</f>
        <v>17221.68</v>
      </c>
      <c r="G540" s="330">
        <f t="shared" si="1339"/>
        <v>17221.68</v>
      </c>
      <c r="H540" s="108">
        <f t="shared" si="1323"/>
        <v>19421.68</v>
      </c>
      <c r="I540" s="357">
        <f t="shared" si="1324"/>
        <v>19421.68</v>
      </c>
      <c r="J540" s="108">
        <f t="shared" si="1325"/>
        <v>17721.68</v>
      </c>
      <c r="K540" s="357">
        <f t="shared" si="1326"/>
        <v>17721.68</v>
      </c>
      <c r="L540" s="108">
        <f t="shared" si="1327"/>
        <v>17631.68</v>
      </c>
      <c r="M540" s="357">
        <f t="shared" si="1328"/>
        <v>17631.68</v>
      </c>
      <c r="N540" s="108">
        <f t="shared" si="1329"/>
        <v>17591.68</v>
      </c>
      <c r="O540" s="357">
        <f t="shared" si="1330"/>
        <v>17591.68</v>
      </c>
      <c r="P540" s="108">
        <f t="shared" si="1331"/>
        <v>17581.68</v>
      </c>
      <c r="Q540" s="357">
        <f t="shared" si="1332"/>
        <v>17581.68</v>
      </c>
      <c r="R540" s="108">
        <f t="shared" si="1333"/>
        <v>17551.68</v>
      </c>
      <c r="S540" s="357">
        <f t="shared" si="1334"/>
        <v>17551.68</v>
      </c>
      <c r="T540" s="108">
        <f t="shared" si="1335"/>
        <v>17511.68</v>
      </c>
      <c r="U540" s="357">
        <f t="shared" si="1336"/>
        <v>17511.68</v>
      </c>
      <c r="V540" s="108">
        <f t="shared" si="1337"/>
        <v>17461.68</v>
      </c>
      <c r="W540" s="357">
        <f t="shared" si="1338"/>
        <v>17461.68</v>
      </c>
      <c r="X540" s="150"/>
      <c r="Y540" s="145"/>
      <c r="Z540" s="151"/>
      <c r="AA540" s="152"/>
      <c r="AB540" s="507">
        <v>667</v>
      </c>
    </row>
    <row r="541" spans="1:28" ht="12" customHeight="1" x14ac:dyDescent="0.2">
      <c r="A541" s="4"/>
      <c r="B541" s="805" t="s">
        <v>887</v>
      </c>
      <c r="C541" s="812"/>
      <c r="D541" s="812"/>
      <c r="E541" s="813"/>
      <c r="F541" s="461">
        <f>15*X2</f>
        <v>14070</v>
      </c>
      <c r="G541" s="331">
        <f t="shared" ref="G541" si="1340">+F541*$X$1</f>
        <v>14070</v>
      </c>
      <c r="H541" s="107">
        <f t="shared" ref="H541" si="1341">F541+2200</f>
        <v>16270</v>
      </c>
      <c r="I541" s="371">
        <f t="shared" ref="I541" si="1342">+H541*$X$1</f>
        <v>16270</v>
      </c>
      <c r="J541" s="107">
        <f t="shared" ref="J541" si="1343">F541+500</f>
        <v>14570</v>
      </c>
      <c r="K541" s="371">
        <f t="shared" ref="K541" si="1344">+J541*$X$1</f>
        <v>14570</v>
      </c>
      <c r="L541" s="107">
        <f t="shared" ref="L541" si="1345">F541+410</f>
        <v>14480</v>
      </c>
      <c r="M541" s="371">
        <f t="shared" ref="M541" si="1346">+L541*$X$1</f>
        <v>14480</v>
      </c>
      <c r="N541" s="107">
        <f t="shared" ref="N541" si="1347">F541+370</f>
        <v>14440</v>
      </c>
      <c r="O541" s="371">
        <f t="shared" ref="O541" si="1348">+N541*$X$1</f>
        <v>14440</v>
      </c>
      <c r="P541" s="107">
        <f t="shared" ref="P541" si="1349">F541+360</f>
        <v>14430</v>
      </c>
      <c r="Q541" s="371">
        <f t="shared" ref="Q541" si="1350">+P541*$X$1</f>
        <v>14430</v>
      </c>
      <c r="R541" s="107">
        <f t="shared" ref="R541" si="1351">F541+330</f>
        <v>14400</v>
      </c>
      <c r="S541" s="371">
        <f t="shared" ref="S541" si="1352">+R541*$X$1</f>
        <v>14400</v>
      </c>
      <c r="T541" s="107">
        <f t="shared" ref="T541" si="1353">F541+290</f>
        <v>14360</v>
      </c>
      <c r="U541" s="371">
        <f t="shared" ref="U541" si="1354">+T541*$X$1</f>
        <v>14360</v>
      </c>
      <c r="V541" s="107">
        <f t="shared" ref="V541" si="1355">F541+240</f>
        <v>14310</v>
      </c>
      <c r="W541" s="371">
        <f t="shared" ref="W541" si="1356">+V541*$X$1</f>
        <v>14310</v>
      </c>
      <c r="X541" s="150"/>
      <c r="Y541" s="145"/>
      <c r="Z541" s="151"/>
      <c r="AA541" s="152"/>
      <c r="AB541" s="507">
        <v>668</v>
      </c>
    </row>
    <row r="542" spans="1:28" ht="12" customHeight="1" x14ac:dyDescent="0.2">
      <c r="A542" s="4"/>
      <c r="B542" s="877" t="s">
        <v>600</v>
      </c>
      <c r="C542" s="967"/>
      <c r="D542" s="967"/>
      <c r="E542" s="968"/>
      <c r="F542" s="460">
        <f>17.5*X2</f>
        <v>16415</v>
      </c>
      <c r="G542" s="330">
        <f t="shared" si="1339"/>
        <v>16415</v>
      </c>
      <c r="H542" s="108">
        <f t="shared" si="1323"/>
        <v>18615</v>
      </c>
      <c r="I542" s="357">
        <f t="shared" si="1324"/>
        <v>18615</v>
      </c>
      <c r="J542" s="108">
        <f t="shared" si="1325"/>
        <v>16915</v>
      </c>
      <c r="K542" s="357">
        <f t="shared" si="1326"/>
        <v>16915</v>
      </c>
      <c r="L542" s="108">
        <f t="shared" si="1327"/>
        <v>16825</v>
      </c>
      <c r="M542" s="357">
        <f t="shared" si="1328"/>
        <v>16825</v>
      </c>
      <c r="N542" s="108">
        <f t="shared" si="1329"/>
        <v>16785</v>
      </c>
      <c r="O542" s="357">
        <f t="shared" si="1330"/>
        <v>16785</v>
      </c>
      <c r="P542" s="108">
        <f t="shared" si="1331"/>
        <v>16775</v>
      </c>
      <c r="Q542" s="357">
        <f t="shared" si="1332"/>
        <v>16775</v>
      </c>
      <c r="R542" s="108">
        <f t="shared" si="1333"/>
        <v>16745</v>
      </c>
      <c r="S542" s="357">
        <f t="shared" si="1334"/>
        <v>16745</v>
      </c>
      <c r="T542" s="108">
        <f t="shared" si="1335"/>
        <v>16705</v>
      </c>
      <c r="U542" s="357">
        <f t="shared" si="1336"/>
        <v>16705</v>
      </c>
      <c r="V542" s="108">
        <f t="shared" si="1337"/>
        <v>16655</v>
      </c>
      <c r="W542" s="357">
        <f t="shared" si="1338"/>
        <v>16655</v>
      </c>
      <c r="X542" s="150"/>
      <c r="Y542" s="145"/>
      <c r="Z542" s="151"/>
      <c r="AA542" s="152"/>
      <c r="AB542" s="208">
        <v>686</v>
      </c>
    </row>
    <row r="543" spans="1:28" ht="12" customHeight="1" x14ac:dyDescent="0.2">
      <c r="A543" s="4"/>
      <c r="B543" s="809" t="s">
        <v>643</v>
      </c>
      <c r="C543" s="810"/>
      <c r="D543" s="810"/>
      <c r="E543" s="811"/>
      <c r="F543" s="462">
        <f>33.4*X2</f>
        <v>31329.199999999997</v>
      </c>
      <c r="G543" s="331">
        <f t="shared" si="1339"/>
        <v>31329.199999999997</v>
      </c>
      <c r="H543" s="107">
        <f t="shared" si="1323"/>
        <v>33529.199999999997</v>
      </c>
      <c r="I543" s="371">
        <f t="shared" si="1324"/>
        <v>33529.199999999997</v>
      </c>
      <c r="J543" s="107">
        <f t="shared" si="1325"/>
        <v>31829.199999999997</v>
      </c>
      <c r="K543" s="371">
        <f t="shared" si="1326"/>
        <v>31829.199999999997</v>
      </c>
      <c r="L543" s="107">
        <f t="shared" si="1327"/>
        <v>31739.199999999997</v>
      </c>
      <c r="M543" s="371">
        <f t="shared" si="1328"/>
        <v>31739.199999999997</v>
      </c>
      <c r="N543" s="107">
        <f t="shared" si="1329"/>
        <v>31699.199999999997</v>
      </c>
      <c r="O543" s="371">
        <f t="shared" si="1330"/>
        <v>31699.199999999997</v>
      </c>
      <c r="P543" s="107">
        <f t="shared" si="1331"/>
        <v>31689.199999999997</v>
      </c>
      <c r="Q543" s="371">
        <f t="shared" si="1332"/>
        <v>31689.199999999997</v>
      </c>
      <c r="R543" s="107">
        <f t="shared" si="1333"/>
        <v>31659.199999999997</v>
      </c>
      <c r="S543" s="371">
        <f t="shared" si="1334"/>
        <v>31659.199999999997</v>
      </c>
      <c r="T543" s="107">
        <f t="shared" si="1335"/>
        <v>31619.199999999997</v>
      </c>
      <c r="U543" s="371">
        <f t="shared" si="1336"/>
        <v>31619.199999999997</v>
      </c>
      <c r="V543" s="107">
        <f t="shared" si="1337"/>
        <v>31569.199999999997</v>
      </c>
      <c r="W543" s="371">
        <f t="shared" si="1338"/>
        <v>31569.199999999997</v>
      </c>
      <c r="X543" s="150"/>
      <c r="Y543" s="145"/>
      <c r="Z543" s="151"/>
      <c r="AA543" s="152"/>
      <c r="AB543" s="507">
        <v>687</v>
      </c>
    </row>
    <row r="544" spans="1:28" ht="12" customHeight="1" x14ac:dyDescent="0.2">
      <c r="A544" s="4"/>
      <c r="B544" s="877" t="s">
        <v>865</v>
      </c>
      <c r="C544" s="967"/>
      <c r="D544" s="967"/>
      <c r="E544" s="968"/>
      <c r="F544" s="463">
        <f>17.8*X2</f>
        <v>16696.400000000001</v>
      </c>
      <c r="G544" s="330">
        <f t="shared" si="1339"/>
        <v>16696.400000000001</v>
      </c>
      <c r="H544" s="108">
        <f t="shared" si="1323"/>
        <v>18896.400000000001</v>
      </c>
      <c r="I544" s="357">
        <f t="shared" si="1324"/>
        <v>18896.400000000001</v>
      </c>
      <c r="J544" s="108">
        <f t="shared" si="1325"/>
        <v>17196.400000000001</v>
      </c>
      <c r="K544" s="357">
        <f t="shared" si="1326"/>
        <v>17196.400000000001</v>
      </c>
      <c r="L544" s="108">
        <f t="shared" si="1327"/>
        <v>17106.400000000001</v>
      </c>
      <c r="M544" s="357">
        <f t="shared" si="1328"/>
        <v>17106.400000000001</v>
      </c>
      <c r="N544" s="108">
        <f t="shared" si="1329"/>
        <v>17066.400000000001</v>
      </c>
      <c r="O544" s="357">
        <f t="shared" si="1330"/>
        <v>17066.400000000001</v>
      </c>
      <c r="P544" s="108">
        <f t="shared" si="1331"/>
        <v>17056.400000000001</v>
      </c>
      <c r="Q544" s="357">
        <f t="shared" si="1332"/>
        <v>17056.400000000001</v>
      </c>
      <c r="R544" s="108">
        <f t="shared" si="1333"/>
        <v>17026.400000000001</v>
      </c>
      <c r="S544" s="357">
        <f t="shared" si="1334"/>
        <v>17026.400000000001</v>
      </c>
      <c r="T544" s="108">
        <f t="shared" si="1335"/>
        <v>16986.400000000001</v>
      </c>
      <c r="U544" s="357">
        <f t="shared" si="1336"/>
        <v>16986.400000000001</v>
      </c>
      <c r="V544" s="108">
        <f t="shared" si="1337"/>
        <v>16936.400000000001</v>
      </c>
      <c r="W544" s="357">
        <f t="shared" si="1338"/>
        <v>16936.400000000001</v>
      </c>
      <c r="X544" s="150"/>
      <c r="Y544" s="145"/>
      <c r="Z544" s="151"/>
      <c r="AA544" s="152"/>
      <c r="AB544" s="507">
        <v>694</v>
      </c>
    </row>
    <row r="545" spans="1:28" ht="12" customHeight="1" x14ac:dyDescent="0.2">
      <c r="A545" s="4"/>
      <c r="B545" s="809" t="s">
        <v>866</v>
      </c>
      <c r="C545" s="810"/>
      <c r="D545" s="810"/>
      <c r="E545" s="811"/>
      <c r="F545" s="461">
        <f>39.1*X2</f>
        <v>36675.800000000003</v>
      </c>
      <c r="G545" s="331">
        <f t="shared" ref="G545" si="1357">+F545*$X$1</f>
        <v>36675.800000000003</v>
      </c>
      <c r="H545" s="107">
        <f t="shared" si="1323"/>
        <v>38875.800000000003</v>
      </c>
      <c r="I545" s="371">
        <f t="shared" si="1324"/>
        <v>38875.800000000003</v>
      </c>
      <c r="J545" s="107">
        <f t="shared" si="1325"/>
        <v>37175.800000000003</v>
      </c>
      <c r="K545" s="371">
        <f t="shared" si="1326"/>
        <v>37175.800000000003</v>
      </c>
      <c r="L545" s="107">
        <f t="shared" si="1327"/>
        <v>37085.800000000003</v>
      </c>
      <c r="M545" s="371">
        <f t="shared" si="1328"/>
        <v>37085.800000000003</v>
      </c>
      <c r="N545" s="107">
        <f t="shared" si="1329"/>
        <v>37045.800000000003</v>
      </c>
      <c r="O545" s="371">
        <f t="shared" si="1330"/>
        <v>37045.800000000003</v>
      </c>
      <c r="P545" s="107">
        <f t="shared" si="1331"/>
        <v>37035.800000000003</v>
      </c>
      <c r="Q545" s="371">
        <f t="shared" si="1332"/>
        <v>37035.800000000003</v>
      </c>
      <c r="R545" s="107">
        <f t="shared" si="1333"/>
        <v>37005.800000000003</v>
      </c>
      <c r="S545" s="371">
        <f t="shared" si="1334"/>
        <v>37005.800000000003</v>
      </c>
      <c r="T545" s="107">
        <f t="shared" si="1335"/>
        <v>36965.800000000003</v>
      </c>
      <c r="U545" s="371">
        <f t="shared" si="1336"/>
        <v>36965.800000000003</v>
      </c>
      <c r="V545" s="107">
        <f t="shared" si="1337"/>
        <v>36915.800000000003</v>
      </c>
      <c r="W545" s="371">
        <f t="shared" si="1338"/>
        <v>36915.800000000003</v>
      </c>
      <c r="X545" s="150"/>
      <c r="Y545" s="145"/>
      <c r="Z545" s="151"/>
      <c r="AA545" s="152"/>
      <c r="AB545" s="507">
        <v>698</v>
      </c>
    </row>
    <row r="546" spans="1:28" ht="12" customHeight="1" x14ac:dyDescent="0.2">
      <c r="A546" s="4"/>
      <c r="B546" s="877" t="s">
        <v>682</v>
      </c>
      <c r="C546" s="967"/>
      <c r="D546" s="967"/>
      <c r="E546" s="968"/>
      <c r="F546" s="460">
        <f>56.84*X2</f>
        <v>53315.920000000006</v>
      </c>
      <c r="G546" s="330">
        <f>+F546*$X$1</f>
        <v>53315.920000000006</v>
      </c>
      <c r="H546" s="108">
        <f t="shared" si="1323"/>
        <v>55515.920000000006</v>
      </c>
      <c r="I546" s="357">
        <f t="shared" si="1324"/>
        <v>55515.920000000006</v>
      </c>
      <c r="J546" s="108">
        <f t="shared" si="1325"/>
        <v>53815.920000000006</v>
      </c>
      <c r="K546" s="357">
        <f t="shared" si="1326"/>
        <v>53815.920000000006</v>
      </c>
      <c r="L546" s="108">
        <f t="shared" si="1327"/>
        <v>53725.920000000006</v>
      </c>
      <c r="M546" s="357">
        <f t="shared" si="1328"/>
        <v>53725.920000000006</v>
      </c>
      <c r="N546" s="108">
        <f t="shared" si="1329"/>
        <v>53685.920000000006</v>
      </c>
      <c r="O546" s="357">
        <f t="shared" si="1330"/>
        <v>53685.920000000006</v>
      </c>
      <c r="P546" s="108">
        <f t="shared" si="1331"/>
        <v>53675.920000000006</v>
      </c>
      <c r="Q546" s="357">
        <f t="shared" si="1332"/>
        <v>53675.920000000006</v>
      </c>
      <c r="R546" s="108">
        <f t="shared" si="1333"/>
        <v>53645.920000000006</v>
      </c>
      <c r="S546" s="357">
        <f t="shared" si="1334"/>
        <v>53645.920000000006</v>
      </c>
      <c r="T546" s="108">
        <f t="shared" si="1335"/>
        <v>53605.920000000006</v>
      </c>
      <c r="U546" s="357">
        <f t="shared" si="1336"/>
        <v>53605.920000000006</v>
      </c>
      <c r="V546" s="108">
        <f t="shared" si="1337"/>
        <v>53555.920000000006</v>
      </c>
      <c r="W546" s="357">
        <f t="shared" si="1338"/>
        <v>53555.920000000006</v>
      </c>
      <c r="X546" s="150"/>
      <c r="Y546" s="145"/>
      <c r="Z546" s="151"/>
      <c r="AA546" s="152"/>
      <c r="AB546" s="507">
        <v>710</v>
      </c>
    </row>
    <row r="547" spans="1:28" ht="12" customHeight="1" x14ac:dyDescent="0.2">
      <c r="A547" s="4"/>
      <c r="B547" s="809" t="s">
        <v>651</v>
      </c>
      <c r="C547" s="810"/>
      <c r="D547" s="810"/>
      <c r="E547" s="811"/>
      <c r="F547" s="461">
        <f>65.703*X2</f>
        <v>61629.414000000004</v>
      </c>
      <c r="G547" s="331">
        <f t="shared" ref="G547" si="1358">+F547*$X$1</f>
        <v>61629.414000000004</v>
      </c>
      <c r="H547" s="107">
        <f t="shared" si="1323"/>
        <v>63829.414000000004</v>
      </c>
      <c r="I547" s="371">
        <f t="shared" si="1324"/>
        <v>63829.414000000004</v>
      </c>
      <c r="J547" s="107">
        <f t="shared" si="1325"/>
        <v>62129.414000000004</v>
      </c>
      <c r="K547" s="371">
        <f t="shared" si="1326"/>
        <v>62129.414000000004</v>
      </c>
      <c r="L547" s="107">
        <f t="shared" si="1327"/>
        <v>62039.414000000004</v>
      </c>
      <c r="M547" s="371">
        <f t="shared" si="1328"/>
        <v>62039.414000000004</v>
      </c>
      <c r="N547" s="107">
        <f t="shared" si="1329"/>
        <v>61999.414000000004</v>
      </c>
      <c r="O547" s="371">
        <f t="shared" si="1330"/>
        <v>61999.414000000004</v>
      </c>
      <c r="P547" s="107">
        <f t="shared" si="1331"/>
        <v>61989.414000000004</v>
      </c>
      <c r="Q547" s="371">
        <f t="shared" si="1332"/>
        <v>61989.414000000004</v>
      </c>
      <c r="R547" s="107">
        <f t="shared" si="1333"/>
        <v>61959.414000000004</v>
      </c>
      <c r="S547" s="371">
        <f t="shared" si="1334"/>
        <v>61959.414000000004</v>
      </c>
      <c r="T547" s="107">
        <f t="shared" si="1335"/>
        <v>61919.414000000004</v>
      </c>
      <c r="U547" s="371">
        <f t="shared" si="1336"/>
        <v>61919.414000000004</v>
      </c>
      <c r="V547" s="107">
        <f t="shared" si="1337"/>
        <v>61869.414000000004</v>
      </c>
      <c r="W547" s="371">
        <f t="shared" si="1338"/>
        <v>61869.414000000004</v>
      </c>
      <c r="X547" s="150"/>
      <c r="Y547" s="145"/>
      <c r="Z547" s="151"/>
      <c r="AA547" s="152"/>
      <c r="AB547" s="507">
        <v>711</v>
      </c>
    </row>
    <row r="548" spans="1:28" ht="12" customHeight="1" x14ac:dyDescent="0.2">
      <c r="A548" s="4"/>
      <c r="B548" s="877" t="s">
        <v>685</v>
      </c>
      <c r="C548" s="967"/>
      <c r="D548" s="967"/>
      <c r="E548" s="968"/>
      <c r="F548" s="460">
        <f>62.17*X2</f>
        <v>58315.46</v>
      </c>
      <c r="G548" s="330">
        <f t="shared" ref="G548:G556" si="1359">+F548*$X$1</f>
        <v>58315.46</v>
      </c>
      <c r="H548" s="108">
        <f t="shared" si="1323"/>
        <v>60515.46</v>
      </c>
      <c r="I548" s="357">
        <f t="shared" si="1324"/>
        <v>60515.46</v>
      </c>
      <c r="J548" s="108">
        <f t="shared" si="1325"/>
        <v>58815.46</v>
      </c>
      <c r="K548" s="357">
        <f t="shared" si="1326"/>
        <v>58815.46</v>
      </c>
      <c r="L548" s="108">
        <f t="shared" si="1327"/>
        <v>58725.46</v>
      </c>
      <c r="M548" s="357">
        <f t="shared" si="1328"/>
        <v>58725.46</v>
      </c>
      <c r="N548" s="108">
        <f t="shared" si="1329"/>
        <v>58685.46</v>
      </c>
      <c r="O548" s="357">
        <f t="shared" si="1330"/>
        <v>58685.46</v>
      </c>
      <c r="P548" s="108">
        <f t="shared" si="1331"/>
        <v>58675.46</v>
      </c>
      <c r="Q548" s="357">
        <f t="shared" si="1332"/>
        <v>58675.46</v>
      </c>
      <c r="R548" s="108">
        <f t="shared" si="1333"/>
        <v>58645.46</v>
      </c>
      <c r="S548" s="357">
        <f t="shared" si="1334"/>
        <v>58645.46</v>
      </c>
      <c r="T548" s="108">
        <f t="shared" si="1335"/>
        <v>58605.46</v>
      </c>
      <c r="U548" s="357">
        <f t="shared" si="1336"/>
        <v>58605.46</v>
      </c>
      <c r="V548" s="108">
        <f t="shared" si="1337"/>
        <v>58555.46</v>
      </c>
      <c r="W548" s="357">
        <f t="shared" si="1338"/>
        <v>58555.46</v>
      </c>
      <c r="X548" s="150"/>
      <c r="Y548" s="145"/>
      <c r="Z548" s="151"/>
      <c r="AA548" s="152"/>
      <c r="AB548" s="507">
        <v>714</v>
      </c>
    </row>
    <row r="549" spans="1:28" ht="12" customHeight="1" x14ac:dyDescent="0.2">
      <c r="A549" s="4"/>
      <c r="B549" s="805" t="s">
        <v>851</v>
      </c>
      <c r="C549" s="812"/>
      <c r="D549" s="812"/>
      <c r="E549" s="813"/>
      <c r="F549" s="461">
        <f>15.7*X2</f>
        <v>14726.599999999999</v>
      </c>
      <c r="G549" s="331">
        <f t="shared" ref="G549" si="1360">+F549*$X$1</f>
        <v>14726.599999999999</v>
      </c>
      <c r="H549" s="107">
        <f t="shared" ref="H549" si="1361">F549+2200</f>
        <v>16926.599999999999</v>
      </c>
      <c r="I549" s="371">
        <f t="shared" ref="I549" si="1362">+H549*$X$1</f>
        <v>16926.599999999999</v>
      </c>
      <c r="J549" s="107">
        <f t="shared" ref="J549" si="1363">F549+500</f>
        <v>15226.599999999999</v>
      </c>
      <c r="K549" s="371">
        <f t="shared" ref="K549" si="1364">+J549*$X$1</f>
        <v>15226.599999999999</v>
      </c>
      <c r="L549" s="107">
        <f t="shared" ref="L549" si="1365">F549+410</f>
        <v>15136.599999999999</v>
      </c>
      <c r="M549" s="371">
        <f t="shared" ref="M549" si="1366">+L549*$X$1</f>
        <v>15136.599999999999</v>
      </c>
      <c r="N549" s="107">
        <f t="shared" ref="N549" si="1367">F549+370</f>
        <v>15096.599999999999</v>
      </c>
      <c r="O549" s="371">
        <f t="shared" ref="O549" si="1368">+N549*$X$1</f>
        <v>15096.599999999999</v>
      </c>
      <c r="P549" s="107">
        <f t="shared" ref="P549" si="1369">F549+360</f>
        <v>15086.599999999999</v>
      </c>
      <c r="Q549" s="371">
        <f t="shared" ref="Q549" si="1370">+P549*$X$1</f>
        <v>15086.599999999999</v>
      </c>
      <c r="R549" s="107">
        <f t="shared" ref="R549" si="1371">F549+330</f>
        <v>15056.599999999999</v>
      </c>
      <c r="S549" s="371">
        <f t="shared" ref="S549" si="1372">+R549*$X$1</f>
        <v>15056.599999999999</v>
      </c>
      <c r="T549" s="107">
        <f t="shared" ref="T549" si="1373">F549+290</f>
        <v>15016.599999999999</v>
      </c>
      <c r="U549" s="371">
        <f t="shared" ref="U549" si="1374">+T549*$X$1</f>
        <v>15016.599999999999</v>
      </c>
      <c r="V549" s="107">
        <f t="shared" ref="V549" si="1375">F549+240</f>
        <v>14966.599999999999</v>
      </c>
      <c r="W549" s="371">
        <f t="shared" ref="W549" si="1376">+V549*$X$1</f>
        <v>14966.599999999999</v>
      </c>
      <c r="X549" s="150"/>
      <c r="Y549" s="145"/>
      <c r="Z549" s="151"/>
      <c r="AA549" s="152"/>
      <c r="AB549" s="507">
        <v>716</v>
      </c>
    </row>
    <row r="550" spans="1:28" ht="12" customHeight="1" x14ac:dyDescent="0.2">
      <c r="A550" s="4"/>
      <c r="B550" s="805" t="s">
        <v>853</v>
      </c>
      <c r="C550" s="812"/>
      <c r="D550" s="812"/>
      <c r="E550" s="813"/>
      <c r="F550" s="460">
        <f>83.8*X2</f>
        <v>78604.399999999994</v>
      </c>
      <c r="G550" s="330">
        <f t="shared" ref="G550" si="1377">+F550*$X$1</f>
        <v>78604.399999999994</v>
      </c>
      <c r="H550" s="108">
        <f t="shared" ref="H550" si="1378">F550+2200</f>
        <v>80804.399999999994</v>
      </c>
      <c r="I550" s="357">
        <f t="shared" ref="I550" si="1379">+H550*$X$1</f>
        <v>80804.399999999994</v>
      </c>
      <c r="J550" s="108">
        <f t="shared" ref="J550" si="1380">F550+500</f>
        <v>79104.399999999994</v>
      </c>
      <c r="K550" s="357">
        <f t="shared" ref="K550" si="1381">+J550*$X$1</f>
        <v>79104.399999999994</v>
      </c>
      <c r="L550" s="108">
        <f t="shared" ref="L550" si="1382">F550+410</f>
        <v>79014.399999999994</v>
      </c>
      <c r="M550" s="357">
        <f t="shared" ref="M550" si="1383">+L550*$X$1</f>
        <v>79014.399999999994</v>
      </c>
      <c r="N550" s="108">
        <f t="shared" ref="N550" si="1384">F550+370</f>
        <v>78974.399999999994</v>
      </c>
      <c r="O550" s="357">
        <f t="shared" ref="O550" si="1385">+N550*$X$1</f>
        <v>78974.399999999994</v>
      </c>
      <c r="P550" s="108">
        <f t="shared" ref="P550" si="1386">F550+360</f>
        <v>78964.399999999994</v>
      </c>
      <c r="Q550" s="357">
        <f t="shared" ref="Q550" si="1387">+P550*$X$1</f>
        <v>78964.399999999994</v>
      </c>
      <c r="R550" s="108">
        <f t="shared" ref="R550" si="1388">F550+330</f>
        <v>78934.399999999994</v>
      </c>
      <c r="S550" s="357">
        <f t="shared" ref="S550" si="1389">+R550*$X$1</f>
        <v>78934.399999999994</v>
      </c>
      <c r="T550" s="108">
        <f t="shared" ref="T550" si="1390">F550+290</f>
        <v>78894.399999999994</v>
      </c>
      <c r="U550" s="357">
        <f t="shared" ref="U550" si="1391">+T550*$X$1</f>
        <v>78894.399999999994</v>
      </c>
      <c r="V550" s="108">
        <f t="shared" ref="V550" si="1392">F550+240</f>
        <v>78844.399999999994</v>
      </c>
      <c r="W550" s="357">
        <f t="shared" ref="W550" si="1393">+V550*$X$1</f>
        <v>78844.399999999994</v>
      </c>
      <c r="X550" s="150"/>
      <c r="Y550" s="145"/>
      <c r="Z550" s="151"/>
      <c r="AA550" s="152"/>
      <c r="AB550" s="507">
        <v>717</v>
      </c>
    </row>
    <row r="551" spans="1:28" ht="12" customHeight="1" x14ac:dyDescent="0.2">
      <c r="A551" s="4"/>
      <c r="B551" s="805" t="s">
        <v>852</v>
      </c>
      <c r="C551" s="812"/>
      <c r="D551" s="812"/>
      <c r="E551" s="813"/>
      <c r="F551" s="461">
        <f>100.9*X2</f>
        <v>94644.200000000012</v>
      </c>
      <c r="G551" s="331">
        <f t="shared" ref="G551" si="1394">+F551*$X$1</f>
        <v>94644.200000000012</v>
      </c>
      <c r="H551" s="107">
        <f t="shared" ref="H551" si="1395">F551+2200</f>
        <v>96844.200000000012</v>
      </c>
      <c r="I551" s="371">
        <f t="shared" ref="I551" si="1396">+H551*$X$1</f>
        <v>96844.200000000012</v>
      </c>
      <c r="J551" s="107">
        <f t="shared" ref="J551" si="1397">F551+500</f>
        <v>95144.200000000012</v>
      </c>
      <c r="K551" s="371">
        <f t="shared" ref="K551" si="1398">+J551*$X$1</f>
        <v>95144.200000000012</v>
      </c>
      <c r="L551" s="107">
        <f t="shared" ref="L551" si="1399">F551+410</f>
        <v>95054.200000000012</v>
      </c>
      <c r="M551" s="371">
        <f t="shared" ref="M551" si="1400">+L551*$X$1</f>
        <v>95054.200000000012</v>
      </c>
      <c r="N551" s="107">
        <f t="shared" ref="N551" si="1401">F551+370</f>
        <v>95014.200000000012</v>
      </c>
      <c r="O551" s="371">
        <f t="shared" ref="O551" si="1402">+N551*$X$1</f>
        <v>95014.200000000012</v>
      </c>
      <c r="P551" s="107">
        <f t="shared" ref="P551" si="1403">F551+360</f>
        <v>95004.200000000012</v>
      </c>
      <c r="Q551" s="371">
        <f t="shared" ref="Q551" si="1404">+P551*$X$1</f>
        <v>95004.200000000012</v>
      </c>
      <c r="R551" s="107">
        <f t="shared" ref="R551" si="1405">F551+330</f>
        <v>94974.200000000012</v>
      </c>
      <c r="S551" s="371">
        <f t="shared" ref="S551" si="1406">+R551*$X$1</f>
        <v>94974.200000000012</v>
      </c>
      <c r="T551" s="107">
        <f t="shared" ref="T551" si="1407">F551+290</f>
        <v>94934.200000000012</v>
      </c>
      <c r="U551" s="371">
        <f t="shared" ref="U551" si="1408">+T551*$X$1</f>
        <v>94934.200000000012</v>
      </c>
      <c r="V551" s="107">
        <f t="shared" ref="V551" si="1409">F551+240</f>
        <v>94884.200000000012</v>
      </c>
      <c r="W551" s="371">
        <f t="shared" ref="W551" si="1410">+V551*$X$1</f>
        <v>94884.200000000012</v>
      </c>
      <c r="X551" s="150"/>
      <c r="Y551" s="145"/>
      <c r="Z551" s="151"/>
      <c r="AA551" s="152"/>
      <c r="AB551" s="507">
        <v>718</v>
      </c>
    </row>
    <row r="552" spans="1:28" ht="12" customHeight="1" x14ac:dyDescent="0.2">
      <c r="A552" s="4"/>
      <c r="B552" s="877" t="s">
        <v>850</v>
      </c>
      <c r="C552" s="967"/>
      <c r="D552" s="967"/>
      <c r="E552" s="968"/>
      <c r="F552" s="460">
        <f>14.4*X2</f>
        <v>13507.2</v>
      </c>
      <c r="G552" s="330">
        <f t="shared" ref="G552" si="1411">+F552*$X$1</f>
        <v>13507.2</v>
      </c>
      <c r="H552" s="108">
        <f t="shared" si="1323"/>
        <v>15707.2</v>
      </c>
      <c r="I552" s="357">
        <f t="shared" si="1324"/>
        <v>15707.2</v>
      </c>
      <c r="J552" s="108">
        <f t="shared" si="1325"/>
        <v>14007.2</v>
      </c>
      <c r="K552" s="357">
        <f t="shared" si="1326"/>
        <v>14007.2</v>
      </c>
      <c r="L552" s="108">
        <f t="shared" si="1327"/>
        <v>13917.2</v>
      </c>
      <c r="M552" s="357">
        <f t="shared" si="1328"/>
        <v>13917.2</v>
      </c>
      <c r="N552" s="108">
        <f t="shared" si="1329"/>
        <v>13877.2</v>
      </c>
      <c r="O552" s="357">
        <f t="shared" si="1330"/>
        <v>13877.2</v>
      </c>
      <c r="P552" s="108">
        <f t="shared" si="1331"/>
        <v>13867.2</v>
      </c>
      <c r="Q552" s="357">
        <f t="shared" si="1332"/>
        <v>13867.2</v>
      </c>
      <c r="R552" s="108">
        <f t="shared" si="1333"/>
        <v>13837.2</v>
      </c>
      <c r="S552" s="357">
        <f t="shared" si="1334"/>
        <v>13837.2</v>
      </c>
      <c r="T552" s="108">
        <f t="shared" si="1335"/>
        <v>13797.2</v>
      </c>
      <c r="U552" s="357">
        <f t="shared" si="1336"/>
        <v>13797.2</v>
      </c>
      <c r="V552" s="108">
        <f t="shared" si="1337"/>
        <v>13747.2</v>
      </c>
      <c r="W552" s="357">
        <f t="shared" si="1338"/>
        <v>13747.2</v>
      </c>
      <c r="X552" s="150"/>
      <c r="Y552" s="145"/>
      <c r="Z552" s="151"/>
      <c r="AA552" s="152"/>
      <c r="AB552" s="507">
        <v>720</v>
      </c>
    </row>
    <row r="553" spans="1:28" ht="12" customHeight="1" x14ac:dyDescent="0.2">
      <c r="A553" s="4"/>
      <c r="B553" s="809" t="s">
        <v>849</v>
      </c>
      <c r="C553" s="810"/>
      <c r="D553" s="810"/>
      <c r="E553" s="811"/>
      <c r="F553" s="461">
        <f>40.98*X2</f>
        <v>38439.24</v>
      </c>
      <c r="G553" s="331">
        <f t="shared" ref="G553" si="1412">+F553*$X$1</f>
        <v>38439.24</v>
      </c>
      <c r="H553" s="107">
        <f t="shared" ref="H553" si="1413">F553+2200</f>
        <v>40639.24</v>
      </c>
      <c r="I553" s="371">
        <f t="shared" ref="I553" si="1414">+H553*$X$1</f>
        <v>40639.24</v>
      </c>
      <c r="J553" s="107">
        <f t="shared" ref="J553" si="1415">F553+500</f>
        <v>38939.24</v>
      </c>
      <c r="K553" s="371">
        <f t="shared" ref="K553" si="1416">+J553*$X$1</f>
        <v>38939.24</v>
      </c>
      <c r="L553" s="107">
        <f t="shared" ref="L553" si="1417">F553+410</f>
        <v>38849.24</v>
      </c>
      <c r="M553" s="371">
        <f t="shared" ref="M553" si="1418">+L553*$X$1</f>
        <v>38849.24</v>
      </c>
      <c r="N553" s="107">
        <f t="shared" ref="N553" si="1419">F553+370</f>
        <v>38809.24</v>
      </c>
      <c r="O553" s="371">
        <f t="shared" ref="O553" si="1420">+N553*$X$1</f>
        <v>38809.24</v>
      </c>
      <c r="P553" s="107">
        <f t="shared" ref="P553" si="1421">F553+360</f>
        <v>38799.24</v>
      </c>
      <c r="Q553" s="371">
        <f t="shared" ref="Q553" si="1422">+P553*$X$1</f>
        <v>38799.24</v>
      </c>
      <c r="R553" s="107">
        <f t="shared" ref="R553" si="1423">F553+330</f>
        <v>38769.24</v>
      </c>
      <c r="S553" s="371">
        <f t="shared" ref="S553" si="1424">+R553*$X$1</f>
        <v>38769.24</v>
      </c>
      <c r="T553" s="107">
        <f t="shared" ref="T553" si="1425">F553+290</f>
        <v>38729.24</v>
      </c>
      <c r="U553" s="371">
        <f t="shared" ref="U553" si="1426">+T553*$X$1</f>
        <v>38729.24</v>
      </c>
      <c r="V553" s="107">
        <f t="shared" ref="V553" si="1427">F553+240</f>
        <v>38679.24</v>
      </c>
      <c r="W553" s="371">
        <f t="shared" ref="W553" si="1428">+V553*$X$1</f>
        <v>38679.24</v>
      </c>
      <c r="X553" s="150"/>
      <c r="Y553" s="145"/>
      <c r="Z553" s="151"/>
      <c r="AA553" s="152"/>
      <c r="AB553" s="507">
        <v>721</v>
      </c>
    </row>
    <row r="554" spans="1:28" ht="12" customHeight="1" x14ac:dyDescent="0.2">
      <c r="A554" s="4"/>
      <c r="B554" s="877" t="s">
        <v>708</v>
      </c>
      <c r="C554" s="967"/>
      <c r="D554" s="967"/>
      <c r="E554" s="968"/>
      <c r="F554" s="460">
        <f>5.1*X2</f>
        <v>4783.7999999999993</v>
      </c>
      <c r="G554" s="330">
        <f t="shared" si="1359"/>
        <v>4783.7999999999993</v>
      </c>
      <c r="H554" s="108">
        <f t="shared" ref="H554:H556" si="1429">F554+2200</f>
        <v>6983.7999999999993</v>
      </c>
      <c r="I554" s="357">
        <f t="shared" ref="I554:I556" si="1430">+H554*$X$1</f>
        <v>6983.7999999999993</v>
      </c>
      <c r="J554" s="108">
        <f t="shared" ref="J554:J556" si="1431">F554+500</f>
        <v>5283.7999999999993</v>
      </c>
      <c r="K554" s="357">
        <f t="shared" ref="K554:K556" si="1432">+J554*$X$1</f>
        <v>5283.7999999999993</v>
      </c>
      <c r="L554" s="108">
        <f t="shared" ref="L554:L556" si="1433">F554+410</f>
        <v>5193.7999999999993</v>
      </c>
      <c r="M554" s="357">
        <f t="shared" ref="M554:M556" si="1434">+L554*$X$1</f>
        <v>5193.7999999999993</v>
      </c>
      <c r="N554" s="108">
        <f t="shared" ref="N554:N556" si="1435">F554+370</f>
        <v>5153.7999999999993</v>
      </c>
      <c r="O554" s="357">
        <f t="shared" ref="O554:O556" si="1436">+N554*$X$1</f>
        <v>5153.7999999999993</v>
      </c>
      <c r="P554" s="108">
        <f t="shared" ref="P554:P556" si="1437">F554+360</f>
        <v>5143.7999999999993</v>
      </c>
      <c r="Q554" s="357">
        <f t="shared" ref="Q554:Q556" si="1438">+P554*$X$1</f>
        <v>5143.7999999999993</v>
      </c>
      <c r="R554" s="108">
        <f t="shared" ref="R554:R556" si="1439">F554+330</f>
        <v>5113.7999999999993</v>
      </c>
      <c r="S554" s="357">
        <f t="shared" ref="S554:S556" si="1440">+R554*$X$1</f>
        <v>5113.7999999999993</v>
      </c>
      <c r="T554" s="108">
        <f t="shared" ref="T554:T556" si="1441">F554+290</f>
        <v>5073.7999999999993</v>
      </c>
      <c r="U554" s="357">
        <f t="shared" ref="U554:U556" si="1442">+T554*$X$1</f>
        <v>5073.7999999999993</v>
      </c>
      <c r="V554" s="108">
        <f t="shared" ref="V554:V556" si="1443">F554+240</f>
        <v>5023.7999999999993</v>
      </c>
      <c r="W554" s="357">
        <f t="shared" ref="W554:W556" si="1444">+V554*$X$1</f>
        <v>5023.7999999999993</v>
      </c>
      <c r="X554" s="150"/>
      <c r="Y554" s="145"/>
      <c r="Z554" s="151"/>
      <c r="AA554" s="152"/>
      <c r="AB554" s="208">
        <v>741</v>
      </c>
    </row>
    <row r="555" spans="1:28" ht="12" customHeight="1" x14ac:dyDescent="0.2">
      <c r="A555" s="4"/>
      <c r="B555" s="809" t="s">
        <v>718</v>
      </c>
      <c r="C555" s="810"/>
      <c r="D555" s="810"/>
      <c r="E555" s="811"/>
      <c r="F555" s="461">
        <f>29.2*X2</f>
        <v>27389.599999999999</v>
      </c>
      <c r="G555" s="331">
        <f t="shared" si="1359"/>
        <v>27389.599999999999</v>
      </c>
      <c r="H555" s="107">
        <f t="shared" si="1429"/>
        <v>29589.599999999999</v>
      </c>
      <c r="I555" s="371">
        <f t="shared" si="1430"/>
        <v>29589.599999999999</v>
      </c>
      <c r="J555" s="107">
        <f t="shared" si="1431"/>
        <v>27889.599999999999</v>
      </c>
      <c r="K555" s="371">
        <f t="shared" si="1432"/>
        <v>27889.599999999999</v>
      </c>
      <c r="L555" s="107">
        <f t="shared" si="1433"/>
        <v>27799.599999999999</v>
      </c>
      <c r="M555" s="371">
        <f t="shared" si="1434"/>
        <v>27799.599999999999</v>
      </c>
      <c r="N555" s="107">
        <f t="shared" si="1435"/>
        <v>27759.599999999999</v>
      </c>
      <c r="O555" s="371">
        <f t="shared" si="1436"/>
        <v>27759.599999999999</v>
      </c>
      <c r="P555" s="107">
        <f t="shared" si="1437"/>
        <v>27749.599999999999</v>
      </c>
      <c r="Q555" s="371">
        <f t="shared" si="1438"/>
        <v>27749.599999999999</v>
      </c>
      <c r="R555" s="107">
        <f t="shared" si="1439"/>
        <v>27719.599999999999</v>
      </c>
      <c r="S555" s="371">
        <f t="shared" si="1440"/>
        <v>27719.599999999999</v>
      </c>
      <c r="T555" s="107">
        <f t="shared" si="1441"/>
        <v>27679.599999999999</v>
      </c>
      <c r="U555" s="371">
        <f t="shared" si="1442"/>
        <v>27679.599999999999</v>
      </c>
      <c r="V555" s="107">
        <f t="shared" si="1443"/>
        <v>27629.599999999999</v>
      </c>
      <c r="W555" s="371">
        <f t="shared" si="1444"/>
        <v>27629.599999999999</v>
      </c>
      <c r="X555" s="150"/>
      <c r="Y555" s="145"/>
      <c r="Z555" s="151"/>
      <c r="AA555" s="152"/>
      <c r="AB555" s="208">
        <v>742</v>
      </c>
    </row>
    <row r="556" spans="1:28" ht="12" customHeight="1" x14ac:dyDescent="0.2">
      <c r="A556" s="4"/>
      <c r="B556" s="877" t="s">
        <v>719</v>
      </c>
      <c r="C556" s="967"/>
      <c r="D556" s="967"/>
      <c r="E556" s="968"/>
      <c r="F556" s="460">
        <f>29.74*X2</f>
        <v>27896.12</v>
      </c>
      <c r="G556" s="330">
        <f t="shared" si="1359"/>
        <v>27896.12</v>
      </c>
      <c r="H556" s="108">
        <f t="shared" si="1429"/>
        <v>30096.12</v>
      </c>
      <c r="I556" s="357">
        <f t="shared" si="1430"/>
        <v>30096.12</v>
      </c>
      <c r="J556" s="108">
        <f t="shared" si="1431"/>
        <v>28396.12</v>
      </c>
      <c r="K556" s="357">
        <f t="shared" si="1432"/>
        <v>28396.12</v>
      </c>
      <c r="L556" s="108">
        <f t="shared" si="1433"/>
        <v>28306.12</v>
      </c>
      <c r="M556" s="357">
        <f t="shared" si="1434"/>
        <v>28306.12</v>
      </c>
      <c r="N556" s="108">
        <f t="shared" si="1435"/>
        <v>28266.12</v>
      </c>
      <c r="O556" s="357">
        <f t="shared" si="1436"/>
        <v>28266.12</v>
      </c>
      <c r="P556" s="108">
        <f t="shared" si="1437"/>
        <v>28256.12</v>
      </c>
      <c r="Q556" s="357">
        <f t="shared" si="1438"/>
        <v>28256.12</v>
      </c>
      <c r="R556" s="108">
        <f t="shared" si="1439"/>
        <v>28226.12</v>
      </c>
      <c r="S556" s="357">
        <f t="shared" si="1440"/>
        <v>28226.12</v>
      </c>
      <c r="T556" s="108">
        <f t="shared" si="1441"/>
        <v>28186.12</v>
      </c>
      <c r="U556" s="357">
        <f t="shared" si="1442"/>
        <v>28186.12</v>
      </c>
      <c r="V556" s="108">
        <f t="shared" si="1443"/>
        <v>28136.12</v>
      </c>
      <c r="W556" s="357">
        <f t="shared" si="1444"/>
        <v>28136.12</v>
      </c>
      <c r="X556" s="150"/>
      <c r="Y556" s="145"/>
      <c r="Z556" s="151"/>
      <c r="AA556" s="152"/>
      <c r="AB556" s="208">
        <v>743</v>
      </c>
    </row>
    <row r="557" spans="1:28" ht="12" customHeight="1" x14ac:dyDescent="0.2">
      <c r="A557" s="4"/>
      <c r="B557" s="805" t="s">
        <v>816</v>
      </c>
      <c r="C557" s="812"/>
      <c r="D557" s="812"/>
      <c r="E557" s="813"/>
      <c r="F557" s="461">
        <f>27.3*X2</f>
        <v>25607.4</v>
      </c>
      <c r="G557" s="331">
        <f t="shared" ref="G557" si="1445">+F557*$X$1</f>
        <v>25607.4</v>
      </c>
      <c r="H557" s="107">
        <f t="shared" ref="H557" si="1446">F557+2200</f>
        <v>27807.4</v>
      </c>
      <c r="I557" s="371">
        <f t="shared" ref="I557" si="1447">+H557*$X$1</f>
        <v>27807.4</v>
      </c>
      <c r="J557" s="107">
        <f t="shared" ref="J557" si="1448">F557+500</f>
        <v>26107.4</v>
      </c>
      <c r="K557" s="371">
        <f t="shared" ref="K557" si="1449">+J557*$X$1</f>
        <v>26107.4</v>
      </c>
      <c r="L557" s="107">
        <f t="shared" ref="L557" si="1450">F557+410</f>
        <v>26017.4</v>
      </c>
      <c r="M557" s="371">
        <f t="shared" ref="M557" si="1451">+L557*$X$1</f>
        <v>26017.4</v>
      </c>
      <c r="N557" s="107">
        <f t="shared" ref="N557" si="1452">F557+370</f>
        <v>25977.4</v>
      </c>
      <c r="O557" s="371">
        <f t="shared" ref="O557" si="1453">+N557*$X$1</f>
        <v>25977.4</v>
      </c>
      <c r="P557" s="107">
        <f t="shared" ref="P557" si="1454">F557+360</f>
        <v>25967.4</v>
      </c>
      <c r="Q557" s="371">
        <f t="shared" ref="Q557" si="1455">+P557*$X$1</f>
        <v>25967.4</v>
      </c>
      <c r="R557" s="107">
        <f t="shared" ref="R557" si="1456">F557+330</f>
        <v>25937.4</v>
      </c>
      <c r="S557" s="371">
        <f t="shared" ref="S557" si="1457">+R557*$X$1</f>
        <v>25937.4</v>
      </c>
      <c r="T557" s="107">
        <f t="shared" ref="T557" si="1458">F557+290</f>
        <v>25897.4</v>
      </c>
      <c r="U557" s="371">
        <f t="shared" ref="U557" si="1459">+T557*$X$1</f>
        <v>25897.4</v>
      </c>
      <c r="V557" s="107">
        <f t="shared" ref="V557" si="1460">F557+240</f>
        <v>25847.4</v>
      </c>
      <c r="W557" s="371">
        <f t="shared" ref="W557" si="1461">+V557*$X$1</f>
        <v>25847.4</v>
      </c>
      <c r="X557" s="150"/>
      <c r="Y557" s="145"/>
      <c r="Z557" s="151"/>
      <c r="AA557" s="152"/>
      <c r="AB557" s="208">
        <v>744</v>
      </c>
    </row>
    <row r="558" spans="1:28" ht="12" customHeight="1" x14ac:dyDescent="0.2">
      <c r="A558" s="4"/>
      <c r="B558" s="1237" t="s">
        <v>688</v>
      </c>
      <c r="C558" s="1238"/>
      <c r="D558" s="1238"/>
      <c r="E558" s="1238"/>
      <c r="F558" s="482"/>
      <c r="G558" s="482"/>
      <c r="H558" s="368">
        <v>1700</v>
      </c>
      <c r="I558" s="330">
        <f t="shared" ref="I558:K558" si="1462">+H558*$X$1</f>
        <v>1700</v>
      </c>
      <c r="J558" s="368">
        <v>700</v>
      </c>
      <c r="K558" s="330">
        <f t="shared" si="1462"/>
        <v>700</v>
      </c>
      <c r="L558" s="368">
        <v>600</v>
      </c>
      <c r="M558" s="330">
        <f t="shared" ref="M558" si="1463">+L558*$X$1</f>
        <v>600</v>
      </c>
      <c r="N558" s="368">
        <v>520</v>
      </c>
      <c r="O558" s="330">
        <f t="shared" ref="O558" si="1464">+N558*$X$1</f>
        <v>520</v>
      </c>
      <c r="P558" s="368">
        <v>480</v>
      </c>
      <c r="Q558" s="330">
        <f t="shared" ref="Q558" si="1465">+P558*$X$1</f>
        <v>480</v>
      </c>
      <c r="R558" s="368">
        <v>430</v>
      </c>
      <c r="S558" s="330">
        <f t="shared" ref="S558" si="1466">+R558*$X$1</f>
        <v>430</v>
      </c>
      <c r="T558" s="368">
        <v>390</v>
      </c>
      <c r="U558" s="330">
        <f t="shared" ref="U558" si="1467">+T558*$X$1</f>
        <v>390</v>
      </c>
      <c r="V558" s="368">
        <v>360</v>
      </c>
      <c r="W558" s="330">
        <f t="shared" ref="W558" si="1468">+V558*$X$1</f>
        <v>360</v>
      </c>
      <c r="X558" s="150"/>
      <c r="Y558" s="145"/>
      <c r="Z558" s="151"/>
      <c r="AA558" s="152"/>
      <c r="AB558" s="34"/>
    </row>
    <row r="559" spans="1:28" ht="10.5" customHeight="1" x14ac:dyDescent="0.2">
      <c r="A559" s="79"/>
      <c r="B559" s="115"/>
      <c r="C559" s="388"/>
      <c r="D559" s="388"/>
      <c r="E559" s="388"/>
      <c r="F559" s="389"/>
      <c r="G559" s="389"/>
      <c r="H559" s="127"/>
      <c r="I559" s="389"/>
      <c r="J559" s="127"/>
      <c r="K559" s="389"/>
      <c r="L559" s="127"/>
      <c r="M559" s="389"/>
      <c r="N559" s="127"/>
      <c r="O559" s="389"/>
      <c r="P559" s="127"/>
      <c r="Q559" s="389"/>
      <c r="R559" s="127"/>
      <c r="S559" s="389"/>
      <c r="T559" s="127"/>
      <c r="U559" s="389"/>
      <c r="V559" s="127"/>
      <c r="W559" s="389"/>
      <c r="X559" s="216"/>
      <c r="Y559" s="79"/>
      <c r="Z559" s="217"/>
      <c r="AA559" s="217"/>
      <c r="AB559" s="218"/>
    </row>
    <row r="560" spans="1:28" ht="10.5" customHeight="1" thickBot="1" x14ac:dyDescent="0.25">
      <c r="A560" s="79"/>
      <c r="B560" s="115"/>
      <c r="C560" s="662"/>
      <c r="D560" s="662"/>
      <c r="E560" s="662"/>
      <c r="F560" s="389"/>
      <c r="G560" s="389"/>
      <c r="H560" s="127"/>
      <c r="I560" s="389"/>
      <c r="J560" s="127"/>
      <c r="K560" s="389"/>
      <c r="L560" s="127"/>
      <c r="M560" s="389"/>
      <c r="N560" s="127"/>
      <c r="O560" s="389"/>
      <c r="P560" s="127"/>
      <c r="Q560" s="389"/>
      <c r="R560" s="127"/>
      <c r="S560" s="389"/>
      <c r="T560" s="127"/>
      <c r="U560" s="389"/>
      <c r="V560" s="127"/>
      <c r="W560" s="389"/>
      <c r="X560" s="216"/>
      <c r="Y560" s="79"/>
      <c r="Z560" s="217"/>
      <c r="AA560" s="217"/>
      <c r="AB560" s="218"/>
    </row>
    <row r="561" spans="1:34" ht="14.25" customHeight="1" thickBot="1" x14ac:dyDescent="0.25">
      <c r="B561" s="1232" t="s">
        <v>689</v>
      </c>
      <c r="C561" s="1233"/>
      <c r="D561" s="1233"/>
      <c r="E561" s="1233"/>
      <c r="F561" s="1233"/>
      <c r="G561" s="1233"/>
      <c r="H561" s="1233"/>
      <c r="I561" s="1233"/>
      <c r="J561" s="1233"/>
      <c r="K561" s="1233"/>
      <c r="L561" s="1233"/>
      <c r="M561" s="1233"/>
      <c r="N561" s="1233"/>
      <c r="O561" s="1233"/>
      <c r="P561" s="1233"/>
      <c r="Q561" s="1233"/>
      <c r="R561" s="1233"/>
      <c r="S561" s="1233"/>
      <c r="T561" s="1233"/>
      <c r="U561" s="1233"/>
      <c r="V561" s="1233"/>
      <c r="W561" s="1234"/>
      <c r="AB561" s="4"/>
      <c r="AF561" s="727" t="s">
        <v>3</v>
      </c>
      <c r="AG561" s="728"/>
      <c r="AH561" s="728"/>
    </row>
    <row r="562" spans="1:34" ht="12" customHeight="1" x14ac:dyDescent="0.2">
      <c r="B562" s="1206" t="s">
        <v>11</v>
      </c>
      <c r="C562" s="979" t="s">
        <v>12</v>
      </c>
      <c r="D562" s="980"/>
      <c r="E562" s="980"/>
      <c r="F562" s="895" t="s">
        <v>304</v>
      </c>
      <c r="G562" s="895" t="s">
        <v>13</v>
      </c>
      <c r="H562" s="1230" t="s">
        <v>305</v>
      </c>
      <c r="I562" s="1230"/>
      <c r="J562" s="747"/>
      <c r="K562" s="747"/>
      <c r="L562" s="747"/>
      <c r="M562" s="747"/>
      <c r="N562" s="747"/>
      <c r="O562" s="747"/>
      <c r="P562" s="747"/>
      <c r="Q562" s="747"/>
      <c r="R562" s="747"/>
      <c r="S562" s="747"/>
      <c r="T562" s="747"/>
      <c r="U562" s="747"/>
      <c r="V562" s="747"/>
      <c r="W562" s="748"/>
      <c r="X562" s="731" t="s">
        <v>15</v>
      </c>
      <c r="Y562" s="732"/>
      <c r="Z562" s="732"/>
      <c r="AA562" s="732"/>
      <c r="AB562" s="729" t="s">
        <v>16</v>
      </c>
      <c r="AF562" s="727"/>
      <c r="AG562" s="728"/>
      <c r="AH562" s="728"/>
    </row>
    <row r="563" spans="1:34" ht="11.25" customHeight="1" thickBot="1" x14ac:dyDescent="0.25">
      <c r="B563" s="1207"/>
      <c r="C563" s="981"/>
      <c r="D563" s="981"/>
      <c r="E563" s="981"/>
      <c r="F563" s="896"/>
      <c r="G563" s="896"/>
      <c r="H563" s="284"/>
      <c r="I563" s="282" t="s">
        <v>306</v>
      </c>
      <c r="J563" s="284"/>
      <c r="K563" s="282" t="s">
        <v>307</v>
      </c>
      <c r="L563" s="284"/>
      <c r="M563" s="282" t="s">
        <v>644</v>
      </c>
      <c r="N563" s="284"/>
      <c r="O563" s="282" t="s">
        <v>18</v>
      </c>
      <c r="P563" s="284"/>
      <c r="Q563" s="282" t="s">
        <v>19</v>
      </c>
      <c r="R563" s="284"/>
      <c r="S563" s="282" t="s">
        <v>20</v>
      </c>
      <c r="T563" s="284"/>
      <c r="U563" s="282" t="s">
        <v>309</v>
      </c>
      <c r="V563" s="284"/>
      <c r="W563" s="283" t="s">
        <v>21</v>
      </c>
      <c r="X563" s="733"/>
      <c r="Y563" s="734"/>
      <c r="Z563" s="734"/>
      <c r="AA563" s="734"/>
      <c r="AB563" s="730"/>
    </row>
    <row r="564" spans="1:34" ht="12.6" customHeight="1" x14ac:dyDescent="0.2">
      <c r="A564" s="20"/>
      <c r="B564" s="698" t="s">
        <v>622</v>
      </c>
      <c r="C564" s="693"/>
      <c r="D564" s="693"/>
      <c r="E564" s="694"/>
      <c r="F564" s="371">
        <v>2650</v>
      </c>
      <c r="G564" s="356"/>
      <c r="H564" s="568"/>
      <c r="I564" s="331"/>
      <c r="J564" s="568">
        <f>F564+290</f>
        <v>2940</v>
      </c>
      <c r="K564" s="331">
        <f t="shared" ref="K564" si="1469">+J564*$X$1</f>
        <v>2940</v>
      </c>
      <c r="L564" s="568">
        <f t="shared" ref="L564:L575" si="1470">F564+240</f>
        <v>2890</v>
      </c>
      <c r="M564" s="331">
        <f t="shared" ref="M564" si="1471">+L564*$X$1</f>
        <v>2890</v>
      </c>
      <c r="N564" s="568">
        <f t="shared" ref="N564:N575" si="1472">F564+190</f>
        <v>2840</v>
      </c>
      <c r="O564" s="331">
        <f t="shared" ref="O564" si="1473">+N564*$X$1</f>
        <v>2840</v>
      </c>
      <c r="P564" s="568">
        <f t="shared" ref="P564:P575" si="1474">F564+150</f>
        <v>2800</v>
      </c>
      <c r="Q564" s="331">
        <f t="shared" ref="Q564" si="1475">+P564*$X$1</f>
        <v>2800</v>
      </c>
      <c r="R564" s="568">
        <f t="shared" ref="R564:R575" si="1476">F564+130</f>
        <v>2780</v>
      </c>
      <c r="S564" s="331">
        <f t="shared" ref="S564" si="1477">+R564*$X$1</f>
        <v>2780</v>
      </c>
      <c r="T564" s="568">
        <f t="shared" ref="T564:T575" si="1478">F564+115</f>
        <v>2765</v>
      </c>
      <c r="U564" s="331">
        <f t="shared" ref="U564" si="1479">+T564*$X$1</f>
        <v>2765</v>
      </c>
      <c r="V564" s="568">
        <f t="shared" ref="V564:V575" si="1480">F564+105</f>
        <v>2755</v>
      </c>
      <c r="W564" s="331">
        <f t="shared" ref="W564" si="1481">+V564*$X$1</f>
        <v>2755</v>
      </c>
      <c r="X564" s="156"/>
      <c r="Y564" s="157"/>
      <c r="Z564" s="157"/>
      <c r="AA564" s="157"/>
      <c r="AB564" s="507" t="s">
        <v>910</v>
      </c>
    </row>
    <row r="565" spans="1:34" ht="12.6" customHeight="1" x14ac:dyDescent="0.2">
      <c r="A565" s="20"/>
      <c r="B565" s="736" t="s">
        <v>455</v>
      </c>
      <c r="C565" s="744"/>
      <c r="D565" s="744"/>
      <c r="E565" s="745"/>
      <c r="F565" s="330">
        <v>1260</v>
      </c>
      <c r="G565" s="293"/>
      <c r="H565" s="368"/>
      <c r="I565" s="330"/>
      <c r="J565" s="368"/>
      <c r="K565" s="330"/>
      <c r="L565" s="368">
        <f t="shared" si="1470"/>
        <v>1500</v>
      </c>
      <c r="M565" s="330">
        <f t="shared" ref="M565" si="1482">+L565*$X$1</f>
        <v>1500</v>
      </c>
      <c r="N565" s="368">
        <f t="shared" si="1472"/>
        <v>1450</v>
      </c>
      <c r="O565" s="330">
        <f t="shared" ref="O565" si="1483">+N565*$X$1</f>
        <v>1450</v>
      </c>
      <c r="P565" s="368">
        <f t="shared" si="1474"/>
        <v>1410</v>
      </c>
      <c r="Q565" s="330">
        <f t="shared" ref="Q565" si="1484">+P565*$X$1</f>
        <v>1410</v>
      </c>
      <c r="R565" s="368">
        <f t="shared" si="1476"/>
        <v>1390</v>
      </c>
      <c r="S565" s="330">
        <f t="shared" ref="S565" si="1485">+R565*$X$1</f>
        <v>1390</v>
      </c>
      <c r="T565" s="368">
        <f t="shared" si="1478"/>
        <v>1375</v>
      </c>
      <c r="U565" s="330">
        <f t="shared" ref="U565" si="1486">+T565*$X$1</f>
        <v>1375</v>
      </c>
      <c r="V565" s="368">
        <f t="shared" si="1480"/>
        <v>1365</v>
      </c>
      <c r="W565" s="330">
        <f t="shared" ref="W565" si="1487">+V565*$X$1</f>
        <v>1365</v>
      </c>
      <c r="X565" s="156"/>
      <c r="Y565" s="157"/>
      <c r="Z565" s="157"/>
      <c r="AA565" s="157"/>
      <c r="AB565" s="34"/>
    </row>
    <row r="566" spans="1:34" ht="12.6" customHeight="1" x14ac:dyDescent="0.2">
      <c r="A566" s="20"/>
      <c r="B566" s="698" t="s">
        <v>510</v>
      </c>
      <c r="C566" s="693"/>
      <c r="D566" s="693"/>
      <c r="E566" s="694"/>
      <c r="F566" s="371">
        <v>2544</v>
      </c>
      <c r="G566" s="356"/>
      <c r="H566" s="568">
        <f t="shared" ref="H566:H572" si="1488">F566+570</f>
        <v>3114</v>
      </c>
      <c r="I566" s="331">
        <f t="shared" ref="I566:I572" si="1489">+H566*$X$1</f>
        <v>3114</v>
      </c>
      <c r="J566" s="568">
        <f t="shared" ref="J566:J575" si="1490">F566+290</f>
        <v>2834</v>
      </c>
      <c r="K566" s="331">
        <f t="shared" ref="K566:K568" si="1491">+J566*$X$1</f>
        <v>2834</v>
      </c>
      <c r="L566" s="568">
        <f t="shared" si="1470"/>
        <v>2784</v>
      </c>
      <c r="M566" s="331">
        <f t="shared" ref="M566:M568" si="1492">+L566*$X$1</f>
        <v>2784</v>
      </c>
      <c r="N566" s="568">
        <f t="shared" si="1472"/>
        <v>2734</v>
      </c>
      <c r="O566" s="331">
        <f t="shared" ref="O566:O568" si="1493">+N566*$X$1</f>
        <v>2734</v>
      </c>
      <c r="P566" s="568">
        <f t="shared" si="1474"/>
        <v>2694</v>
      </c>
      <c r="Q566" s="331">
        <f t="shared" ref="Q566:Q568" si="1494">+P566*$X$1</f>
        <v>2694</v>
      </c>
      <c r="R566" s="568">
        <f t="shared" si="1476"/>
        <v>2674</v>
      </c>
      <c r="S566" s="331">
        <f t="shared" ref="S566:S568" si="1495">+R566*$X$1</f>
        <v>2674</v>
      </c>
      <c r="T566" s="568">
        <f t="shared" si="1478"/>
        <v>2659</v>
      </c>
      <c r="U566" s="331">
        <f t="shared" ref="U566:U568" si="1496">+T566*$X$1</f>
        <v>2659</v>
      </c>
      <c r="V566" s="568">
        <f t="shared" si="1480"/>
        <v>2649</v>
      </c>
      <c r="W566" s="331">
        <f t="shared" ref="W566:W568" si="1497">+V566*$X$1</f>
        <v>2649</v>
      </c>
      <c r="X566" s="156"/>
      <c r="Y566" s="157"/>
      <c r="Z566" s="157"/>
      <c r="AA566" s="157"/>
      <c r="AB566" s="507" t="s">
        <v>911</v>
      </c>
    </row>
    <row r="567" spans="1:34" ht="12.6" customHeight="1" x14ac:dyDescent="0.2">
      <c r="A567" s="20"/>
      <c r="B567" s="736" t="s">
        <v>310</v>
      </c>
      <c r="C567" s="739"/>
      <c r="D567" s="739"/>
      <c r="E567" s="740"/>
      <c r="F567" s="357">
        <v>5090</v>
      </c>
      <c r="G567" s="293"/>
      <c r="H567" s="368">
        <f t="shared" si="1488"/>
        <v>5660</v>
      </c>
      <c r="I567" s="330">
        <f t="shared" si="1489"/>
        <v>5660</v>
      </c>
      <c r="J567" s="368">
        <f t="shared" si="1490"/>
        <v>5380</v>
      </c>
      <c r="K567" s="330">
        <f t="shared" si="1491"/>
        <v>5380</v>
      </c>
      <c r="L567" s="368">
        <f t="shared" si="1470"/>
        <v>5330</v>
      </c>
      <c r="M567" s="330">
        <f t="shared" si="1492"/>
        <v>5330</v>
      </c>
      <c r="N567" s="368">
        <f t="shared" si="1472"/>
        <v>5280</v>
      </c>
      <c r="O567" s="330">
        <f t="shared" si="1493"/>
        <v>5280</v>
      </c>
      <c r="P567" s="368">
        <f t="shared" si="1474"/>
        <v>5240</v>
      </c>
      <c r="Q567" s="330">
        <f t="shared" si="1494"/>
        <v>5240</v>
      </c>
      <c r="R567" s="368">
        <f t="shared" si="1476"/>
        <v>5220</v>
      </c>
      <c r="S567" s="330">
        <f t="shared" si="1495"/>
        <v>5220</v>
      </c>
      <c r="T567" s="368">
        <f t="shared" si="1478"/>
        <v>5205</v>
      </c>
      <c r="U567" s="330">
        <f t="shared" si="1496"/>
        <v>5205</v>
      </c>
      <c r="V567" s="368">
        <f t="shared" si="1480"/>
        <v>5195</v>
      </c>
      <c r="W567" s="330">
        <f t="shared" si="1497"/>
        <v>5195</v>
      </c>
      <c r="X567" s="156"/>
      <c r="Y567" s="157"/>
      <c r="Z567" s="157"/>
      <c r="AA567" s="157"/>
      <c r="AB567" s="507" t="s">
        <v>912</v>
      </c>
    </row>
    <row r="568" spans="1:34" ht="12.6" customHeight="1" x14ac:dyDescent="0.2">
      <c r="A568" s="20"/>
      <c r="B568" s="1222" t="s">
        <v>311</v>
      </c>
      <c r="C568" s="1223"/>
      <c r="D568" s="1223"/>
      <c r="E568" s="1224"/>
      <c r="F568" s="506">
        <v>2565</v>
      </c>
      <c r="G568" s="356">
        <f>+F568*$X$1</f>
        <v>2565</v>
      </c>
      <c r="H568" s="589">
        <f t="shared" si="1488"/>
        <v>3135</v>
      </c>
      <c r="I568" s="331">
        <f t="shared" si="1489"/>
        <v>3135</v>
      </c>
      <c r="J568" s="589">
        <f t="shared" si="1490"/>
        <v>2855</v>
      </c>
      <c r="K568" s="331">
        <f t="shared" si="1491"/>
        <v>2855</v>
      </c>
      <c r="L568" s="589">
        <f t="shared" si="1470"/>
        <v>2805</v>
      </c>
      <c r="M568" s="331">
        <f t="shared" si="1492"/>
        <v>2805</v>
      </c>
      <c r="N568" s="589">
        <f t="shared" si="1472"/>
        <v>2755</v>
      </c>
      <c r="O568" s="331">
        <f t="shared" si="1493"/>
        <v>2755</v>
      </c>
      <c r="P568" s="589">
        <f t="shared" si="1474"/>
        <v>2715</v>
      </c>
      <c r="Q568" s="331">
        <f t="shared" si="1494"/>
        <v>2715</v>
      </c>
      <c r="R568" s="589">
        <f t="shared" si="1476"/>
        <v>2695</v>
      </c>
      <c r="S568" s="331">
        <f t="shared" si="1495"/>
        <v>2695</v>
      </c>
      <c r="T568" s="589">
        <f t="shared" si="1478"/>
        <v>2680</v>
      </c>
      <c r="U568" s="331">
        <f t="shared" si="1496"/>
        <v>2680</v>
      </c>
      <c r="V568" s="589">
        <f t="shared" si="1480"/>
        <v>2670</v>
      </c>
      <c r="W568" s="331">
        <f t="shared" si="1497"/>
        <v>2670</v>
      </c>
      <c r="X568" s="156"/>
      <c r="Y568" s="157"/>
      <c r="Z568" s="157"/>
      <c r="AA568" s="157"/>
      <c r="AB568" s="34"/>
    </row>
    <row r="569" spans="1:34" ht="12.6" customHeight="1" x14ac:dyDescent="0.2">
      <c r="A569" s="20"/>
      <c r="B569" s="773" t="s">
        <v>312</v>
      </c>
      <c r="C569" s="970"/>
      <c r="D569" s="970"/>
      <c r="E569" s="970"/>
      <c r="F569" s="330">
        <v>2330</v>
      </c>
      <c r="G569" s="293">
        <f>+F569*$X$1</f>
        <v>2330</v>
      </c>
      <c r="H569" s="368">
        <f t="shared" si="1488"/>
        <v>2900</v>
      </c>
      <c r="I569" s="330">
        <f t="shared" si="1489"/>
        <v>2900</v>
      </c>
      <c r="J569" s="368">
        <f t="shared" si="1490"/>
        <v>2620</v>
      </c>
      <c r="K569" s="330">
        <f t="shared" ref="K569:K570" si="1498">+J569*$X$1</f>
        <v>2620</v>
      </c>
      <c r="L569" s="368">
        <f t="shared" si="1470"/>
        <v>2570</v>
      </c>
      <c r="M569" s="330">
        <f t="shared" ref="M569:M570" si="1499">+L569*$X$1</f>
        <v>2570</v>
      </c>
      <c r="N569" s="368">
        <f t="shared" si="1472"/>
        <v>2520</v>
      </c>
      <c r="O569" s="330">
        <f t="shared" ref="O569:O570" si="1500">+N569*$X$1</f>
        <v>2520</v>
      </c>
      <c r="P569" s="368">
        <f t="shared" si="1474"/>
        <v>2480</v>
      </c>
      <c r="Q569" s="330">
        <f t="shared" ref="Q569:Q570" si="1501">+P569*$X$1</f>
        <v>2480</v>
      </c>
      <c r="R569" s="368">
        <f t="shared" si="1476"/>
        <v>2460</v>
      </c>
      <c r="S569" s="330">
        <f t="shared" ref="S569:S570" si="1502">+R569*$X$1</f>
        <v>2460</v>
      </c>
      <c r="T569" s="368">
        <f t="shared" si="1478"/>
        <v>2445</v>
      </c>
      <c r="U569" s="330">
        <f t="shared" ref="U569:U570" si="1503">+T569*$X$1</f>
        <v>2445</v>
      </c>
      <c r="V569" s="368">
        <f t="shared" si="1480"/>
        <v>2435</v>
      </c>
      <c r="W569" s="330">
        <f t="shared" ref="W569:W570" si="1504">+V569*$X$1</f>
        <v>2435</v>
      </c>
      <c r="X569" s="156"/>
      <c r="Y569" s="157"/>
      <c r="Z569" s="157"/>
      <c r="AA569" s="157"/>
      <c r="AB569" s="507" t="s">
        <v>914</v>
      </c>
    </row>
    <row r="570" spans="1:34" ht="12.6" customHeight="1" x14ac:dyDescent="0.2">
      <c r="A570" s="20"/>
      <c r="B570" s="749" t="s">
        <v>589</v>
      </c>
      <c r="C570" s="750"/>
      <c r="D570" s="750"/>
      <c r="E570" s="751"/>
      <c r="F570" s="371">
        <v>4166</v>
      </c>
      <c r="G570" s="356">
        <f>+F570*$X$1</f>
        <v>4166</v>
      </c>
      <c r="H570" s="589">
        <f t="shared" si="1488"/>
        <v>4736</v>
      </c>
      <c r="I570" s="331">
        <f t="shared" si="1489"/>
        <v>4736</v>
      </c>
      <c r="J570" s="589">
        <f t="shared" si="1490"/>
        <v>4456</v>
      </c>
      <c r="K570" s="331">
        <f t="shared" si="1498"/>
        <v>4456</v>
      </c>
      <c r="L570" s="589">
        <f t="shared" si="1470"/>
        <v>4406</v>
      </c>
      <c r="M570" s="331">
        <f t="shared" si="1499"/>
        <v>4406</v>
      </c>
      <c r="N570" s="589">
        <f t="shared" si="1472"/>
        <v>4356</v>
      </c>
      <c r="O570" s="331">
        <f t="shared" si="1500"/>
        <v>4356</v>
      </c>
      <c r="P570" s="589">
        <f t="shared" si="1474"/>
        <v>4316</v>
      </c>
      <c r="Q570" s="331">
        <f t="shared" si="1501"/>
        <v>4316</v>
      </c>
      <c r="R570" s="589">
        <f t="shared" si="1476"/>
        <v>4296</v>
      </c>
      <c r="S570" s="331">
        <f t="shared" si="1502"/>
        <v>4296</v>
      </c>
      <c r="T570" s="589">
        <f t="shared" si="1478"/>
        <v>4281</v>
      </c>
      <c r="U570" s="331">
        <f t="shared" si="1503"/>
        <v>4281</v>
      </c>
      <c r="V570" s="589">
        <f t="shared" si="1480"/>
        <v>4271</v>
      </c>
      <c r="W570" s="331">
        <f t="shared" si="1504"/>
        <v>4271</v>
      </c>
      <c r="X570" s="156"/>
      <c r="Y570" s="157"/>
      <c r="Z570" s="157"/>
      <c r="AA570" s="157"/>
      <c r="AB570" s="507" t="s">
        <v>913</v>
      </c>
    </row>
    <row r="571" spans="1:34" ht="12.6" customHeight="1" x14ac:dyDescent="0.2">
      <c r="A571" s="20"/>
      <c r="B571" s="1066" t="s">
        <v>895</v>
      </c>
      <c r="C571" s="1067"/>
      <c r="D571" s="1067"/>
      <c r="E571" s="1068"/>
      <c r="F571" s="357">
        <v>6466</v>
      </c>
      <c r="G571" s="293">
        <f>+F571*$X$1</f>
        <v>6466</v>
      </c>
      <c r="H571" s="368">
        <f t="shared" si="1488"/>
        <v>7036</v>
      </c>
      <c r="I571" s="330">
        <f t="shared" si="1489"/>
        <v>7036</v>
      </c>
      <c r="J571" s="368">
        <f t="shared" si="1490"/>
        <v>6756</v>
      </c>
      <c r="K571" s="330">
        <f t="shared" ref="K571:K575" si="1505">+J571*$X$1</f>
        <v>6756</v>
      </c>
      <c r="L571" s="368">
        <f t="shared" si="1470"/>
        <v>6706</v>
      </c>
      <c r="M571" s="330">
        <f t="shared" ref="M571:M575" si="1506">+L571*$X$1</f>
        <v>6706</v>
      </c>
      <c r="N571" s="368">
        <f t="shared" si="1472"/>
        <v>6656</v>
      </c>
      <c r="O571" s="330">
        <f t="shared" ref="O571:O575" si="1507">+N571*$X$1</f>
        <v>6656</v>
      </c>
      <c r="P571" s="368">
        <f t="shared" si="1474"/>
        <v>6616</v>
      </c>
      <c r="Q571" s="330">
        <f t="shared" ref="Q571:Q575" si="1508">+P571*$X$1</f>
        <v>6616</v>
      </c>
      <c r="R571" s="368">
        <f t="shared" si="1476"/>
        <v>6596</v>
      </c>
      <c r="S571" s="330">
        <f t="shared" ref="S571:S575" si="1509">+R571*$X$1</f>
        <v>6596</v>
      </c>
      <c r="T571" s="368">
        <f t="shared" si="1478"/>
        <v>6581</v>
      </c>
      <c r="U571" s="330">
        <f t="shared" ref="U571:U575" si="1510">+T571*$X$1</f>
        <v>6581</v>
      </c>
      <c r="V571" s="368">
        <f t="shared" si="1480"/>
        <v>6571</v>
      </c>
      <c r="W571" s="330">
        <f t="shared" ref="W571:W575" si="1511">+V571*$X$1</f>
        <v>6571</v>
      </c>
      <c r="X571" s="156"/>
      <c r="Y571" s="157"/>
      <c r="Z571" s="157"/>
      <c r="AA571" s="157"/>
      <c r="AB571" s="34"/>
    </row>
    <row r="572" spans="1:34" ht="12.6" customHeight="1" x14ac:dyDescent="0.2">
      <c r="A572" s="20"/>
      <c r="B572" s="698" t="s">
        <v>573</v>
      </c>
      <c r="C572" s="693"/>
      <c r="D572" s="693"/>
      <c r="E572" s="694"/>
      <c r="F572" s="371">
        <v>6254</v>
      </c>
      <c r="G572" s="356">
        <f>+F572*$X$1</f>
        <v>6254</v>
      </c>
      <c r="H572" s="568">
        <f t="shared" si="1488"/>
        <v>6824</v>
      </c>
      <c r="I572" s="331">
        <f t="shared" si="1489"/>
        <v>6824</v>
      </c>
      <c r="J572" s="568">
        <f t="shared" si="1490"/>
        <v>6544</v>
      </c>
      <c r="K572" s="331">
        <f t="shared" si="1505"/>
        <v>6544</v>
      </c>
      <c r="L572" s="568">
        <f t="shared" si="1470"/>
        <v>6494</v>
      </c>
      <c r="M572" s="331">
        <f t="shared" si="1506"/>
        <v>6494</v>
      </c>
      <c r="N572" s="568">
        <f t="shared" si="1472"/>
        <v>6444</v>
      </c>
      <c r="O572" s="331">
        <f t="shared" si="1507"/>
        <v>6444</v>
      </c>
      <c r="P572" s="568">
        <f t="shared" si="1474"/>
        <v>6404</v>
      </c>
      <c r="Q572" s="331">
        <f t="shared" si="1508"/>
        <v>6404</v>
      </c>
      <c r="R572" s="568">
        <f t="shared" si="1476"/>
        <v>6384</v>
      </c>
      <c r="S572" s="331">
        <f t="shared" si="1509"/>
        <v>6384</v>
      </c>
      <c r="T572" s="568">
        <f t="shared" si="1478"/>
        <v>6369</v>
      </c>
      <c r="U572" s="331">
        <f t="shared" si="1510"/>
        <v>6369</v>
      </c>
      <c r="V572" s="568">
        <f t="shared" si="1480"/>
        <v>6359</v>
      </c>
      <c r="W572" s="331">
        <f t="shared" si="1511"/>
        <v>6359</v>
      </c>
      <c r="X572" s="156"/>
      <c r="Y572" s="157"/>
      <c r="Z572" s="157"/>
      <c r="AA572" s="157"/>
      <c r="AB572" s="34"/>
    </row>
    <row r="573" spans="1:34" ht="12.6" customHeight="1" x14ac:dyDescent="0.2">
      <c r="A573" s="4"/>
      <c r="B573" s="877" t="s">
        <v>516</v>
      </c>
      <c r="C573" s="739"/>
      <c r="D573" s="739"/>
      <c r="E573" s="740"/>
      <c r="F573" s="330">
        <v>1785</v>
      </c>
      <c r="G573" s="293">
        <f t="shared" ref="G573:G575" si="1512">+F573*$X$1</f>
        <v>1785</v>
      </c>
      <c r="H573" s="368"/>
      <c r="I573" s="330"/>
      <c r="J573" s="368">
        <f t="shared" si="1490"/>
        <v>2075</v>
      </c>
      <c r="K573" s="330">
        <f t="shared" si="1505"/>
        <v>2075</v>
      </c>
      <c r="L573" s="368">
        <f t="shared" si="1470"/>
        <v>2025</v>
      </c>
      <c r="M573" s="330">
        <f t="shared" si="1506"/>
        <v>2025</v>
      </c>
      <c r="N573" s="368">
        <f t="shared" si="1472"/>
        <v>1975</v>
      </c>
      <c r="O573" s="330">
        <f t="shared" si="1507"/>
        <v>1975</v>
      </c>
      <c r="P573" s="368">
        <f t="shared" si="1474"/>
        <v>1935</v>
      </c>
      <c r="Q573" s="330">
        <f t="shared" si="1508"/>
        <v>1935</v>
      </c>
      <c r="R573" s="368">
        <f t="shared" si="1476"/>
        <v>1915</v>
      </c>
      <c r="S573" s="330">
        <f t="shared" si="1509"/>
        <v>1915</v>
      </c>
      <c r="T573" s="368">
        <f t="shared" si="1478"/>
        <v>1900</v>
      </c>
      <c r="U573" s="330">
        <f t="shared" si="1510"/>
        <v>1900</v>
      </c>
      <c r="V573" s="368">
        <f t="shared" si="1480"/>
        <v>1890</v>
      </c>
      <c r="W573" s="330">
        <f t="shared" si="1511"/>
        <v>1890</v>
      </c>
      <c r="X573" s="156"/>
      <c r="Y573" s="141"/>
      <c r="Z573" s="158"/>
      <c r="AA573" s="158"/>
      <c r="AB573" s="507" t="s">
        <v>515</v>
      </c>
    </row>
    <row r="574" spans="1:34" ht="12.6" customHeight="1" x14ac:dyDescent="0.2">
      <c r="A574" s="4"/>
      <c r="B574" s="809" t="s">
        <v>514</v>
      </c>
      <c r="C574" s="693"/>
      <c r="D574" s="693"/>
      <c r="E574" s="694"/>
      <c r="F574" s="331">
        <v>1785</v>
      </c>
      <c r="G574" s="356">
        <f t="shared" si="1512"/>
        <v>1785</v>
      </c>
      <c r="H574" s="568"/>
      <c r="I574" s="331"/>
      <c r="J574" s="568">
        <f t="shared" si="1490"/>
        <v>2075</v>
      </c>
      <c r="K574" s="331">
        <f t="shared" si="1505"/>
        <v>2075</v>
      </c>
      <c r="L574" s="568">
        <f t="shared" si="1470"/>
        <v>2025</v>
      </c>
      <c r="M574" s="331">
        <f t="shared" si="1506"/>
        <v>2025</v>
      </c>
      <c r="N574" s="568">
        <f t="shared" si="1472"/>
        <v>1975</v>
      </c>
      <c r="O574" s="331">
        <f t="shared" si="1507"/>
        <v>1975</v>
      </c>
      <c r="P574" s="568">
        <f t="shared" si="1474"/>
        <v>1935</v>
      </c>
      <c r="Q574" s="331">
        <f t="shared" si="1508"/>
        <v>1935</v>
      </c>
      <c r="R574" s="568">
        <f t="shared" si="1476"/>
        <v>1915</v>
      </c>
      <c r="S574" s="331">
        <f t="shared" si="1509"/>
        <v>1915</v>
      </c>
      <c r="T574" s="568">
        <f t="shared" si="1478"/>
        <v>1900</v>
      </c>
      <c r="U574" s="331">
        <f t="shared" si="1510"/>
        <v>1900</v>
      </c>
      <c r="V574" s="568">
        <f t="shared" si="1480"/>
        <v>1890</v>
      </c>
      <c r="W574" s="331">
        <f t="shared" si="1511"/>
        <v>1890</v>
      </c>
      <c r="X574" s="156"/>
      <c r="Y574" s="141"/>
      <c r="Z574" s="158"/>
      <c r="AA574" s="158"/>
      <c r="AB574" s="507" t="s">
        <v>511</v>
      </c>
    </row>
    <row r="575" spans="1:34" ht="12.6" customHeight="1" x14ac:dyDescent="0.2">
      <c r="A575" s="4"/>
      <c r="B575" s="877" t="s">
        <v>512</v>
      </c>
      <c r="C575" s="739"/>
      <c r="D575" s="739"/>
      <c r="E575" s="740"/>
      <c r="F575" s="330">
        <v>2625</v>
      </c>
      <c r="G575" s="293">
        <f t="shared" si="1512"/>
        <v>2625</v>
      </c>
      <c r="H575" s="368"/>
      <c r="I575" s="330"/>
      <c r="J575" s="368">
        <f t="shared" si="1490"/>
        <v>2915</v>
      </c>
      <c r="K575" s="330">
        <f t="shared" si="1505"/>
        <v>2915</v>
      </c>
      <c r="L575" s="368">
        <f t="shared" si="1470"/>
        <v>2865</v>
      </c>
      <c r="M575" s="330">
        <f t="shared" si="1506"/>
        <v>2865</v>
      </c>
      <c r="N575" s="368">
        <f t="shared" si="1472"/>
        <v>2815</v>
      </c>
      <c r="O575" s="330">
        <f t="shared" si="1507"/>
        <v>2815</v>
      </c>
      <c r="P575" s="368">
        <f t="shared" si="1474"/>
        <v>2775</v>
      </c>
      <c r="Q575" s="330">
        <f t="shared" si="1508"/>
        <v>2775</v>
      </c>
      <c r="R575" s="368">
        <f t="shared" si="1476"/>
        <v>2755</v>
      </c>
      <c r="S575" s="330">
        <f t="shared" si="1509"/>
        <v>2755</v>
      </c>
      <c r="T575" s="368">
        <f t="shared" si="1478"/>
        <v>2740</v>
      </c>
      <c r="U575" s="330">
        <f t="shared" si="1510"/>
        <v>2740</v>
      </c>
      <c r="V575" s="368">
        <f t="shared" si="1480"/>
        <v>2730</v>
      </c>
      <c r="W575" s="330">
        <f t="shared" si="1511"/>
        <v>2730</v>
      </c>
      <c r="X575" s="156"/>
      <c r="Y575" s="141"/>
      <c r="Z575" s="158"/>
      <c r="AA575" s="158"/>
      <c r="AB575" s="507" t="s">
        <v>513</v>
      </c>
    </row>
    <row r="576" spans="1:34" ht="12.6" customHeight="1" x14ac:dyDescent="0.2">
      <c r="A576" s="4"/>
      <c r="B576" s="809" t="s">
        <v>313</v>
      </c>
      <c r="C576" s="693"/>
      <c r="D576" s="693"/>
      <c r="E576" s="694"/>
      <c r="F576" s="372"/>
      <c r="G576" s="98"/>
      <c r="H576" s="97"/>
      <c r="I576" s="97"/>
      <c r="J576" s="97"/>
      <c r="K576" s="97"/>
      <c r="L576" s="97"/>
      <c r="M576" s="97"/>
      <c r="N576" s="97"/>
      <c r="O576" s="97"/>
      <c r="P576" s="97"/>
      <c r="Q576" s="97"/>
      <c r="R576" s="97"/>
      <c r="S576" s="97"/>
      <c r="T576" s="97"/>
      <c r="U576" s="97"/>
      <c r="V576" s="97"/>
      <c r="W576" s="97"/>
      <c r="X576" s="156"/>
      <c r="Y576" s="141"/>
      <c r="Z576" s="158"/>
      <c r="AA576" s="158"/>
      <c r="AB576" s="507" t="s">
        <v>314</v>
      </c>
    </row>
    <row r="577" spans="1:34" ht="12.6" customHeight="1" x14ac:dyDescent="0.2">
      <c r="A577" s="4"/>
      <c r="B577" s="877" t="s">
        <v>315</v>
      </c>
      <c r="C577" s="739"/>
      <c r="D577" s="739"/>
      <c r="E577" s="740"/>
      <c r="F577" s="258"/>
      <c r="G577" s="100"/>
      <c r="H577" s="258"/>
      <c r="I577" s="258"/>
      <c r="J577" s="258"/>
      <c r="K577" s="258"/>
      <c r="L577" s="258"/>
      <c r="M577" s="258"/>
      <c r="N577" s="258"/>
      <c r="O577" s="258"/>
      <c r="P577" s="258"/>
      <c r="Q577" s="258"/>
      <c r="R577" s="258"/>
      <c r="S577" s="258"/>
      <c r="T577" s="258"/>
      <c r="U577" s="258"/>
      <c r="V577" s="258"/>
      <c r="W577" s="258"/>
      <c r="X577" s="156"/>
      <c r="Y577" s="141"/>
      <c r="Z577" s="158"/>
      <c r="AA577" s="158"/>
      <c r="AB577" s="507"/>
    </row>
    <row r="578" spans="1:34" ht="12.6" customHeight="1" x14ac:dyDescent="0.2">
      <c r="A578" s="4"/>
      <c r="B578" s="816" t="s">
        <v>316</v>
      </c>
      <c r="C578" s="695"/>
      <c r="D578" s="695"/>
      <c r="E578" s="695"/>
      <c r="F578" s="97"/>
      <c r="G578" s="98"/>
      <c r="H578" s="97"/>
      <c r="I578" s="97"/>
      <c r="J578" s="97"/>
      <c r="K578" s="97"/>
      <c r="L578" s="97"/>
      <c r="M578" s="97"/>
      <c r="N578" s="97"/>
      <c r="O578" s="97"/>
      <c r="P578" s="97"/>
      <c r="Q578" s="97"/>
      <c r="R578" s="97"/>
      <c r="S578" s="97"/>
      <c r="T578" s="97"/>
      <c r="U578" s="97"/>
      <c r="V578" s="97"/>
      <c r="W578" s="97"/>
      <c r="X578" s="156"/>
      <c r="Y578" s="141"/>
      <c r="Z578" s="158"/>
      <c r="AA578" s="158"/>
      <c r="AB578" s="507">
        <v>730</v>
      </c>
    </row>
    <row r="579" spans="1:34" ht="12.6" customHeight="1" x14ac:dyDescent="0.2">
      <c r="A579" s="4"/>
      <c r="B579" s="703" t="s">
        <v>317</v>
      </c>
      <c r="C579" s="697"/>
      <c r="D579" s="697"/>
      <c r="E579" s="697"/>
      <c r="F579" s="258"/>
      <c r="G579" s="100"/>
      <c r="H579" s="258"/>
      <c r="I579" s="258"/>
      <c r="J579" s="258"/>
      <c r="K579" s="258"/>
      <c r="L579" s="258"/>
      <c r="M579" s="258"/>
      <c r="N579" s="258"/>
      <c r="O579" s="258"/>
      <c r="P579" s="258"/>
      <c r="Q579" s="258"/>
      <c r="R579" s="258"/>
      <c r="S579" s="258"/>
      <c r="T579" s="258"/>
      <c r="U579" s="258"/>
      <c r="V579" s="258"/>
      <c r="W579" s="258"/>
      <c r="X579" s="156"/>
      <c r="Y579" s="141"/>
      <c r="Z579" s="158"/>
      <c r="AA579" s="158"/>
      <c r="AB579" s="507">
        <v>731</v>
      </c>
    </row>
    <row r="580" spans="1:34" ht="12.6" customHeight="1" x14ac:dyDescent="0.2">
      <c r="A580" s="4"/>
      <c r="B580" s="816" t="s">
        <v>457</v>
      </c>
      <c r="C580" s="695"/>
      <c r="D580" s="695"/>
      <c r="E580" s="695"/>
      <c r="F580" s="97"/>
      <c r="G580" s="98"/>
      <c r="H580" s="97"/>
      <c r="I580" s="97"/>
      <c r="J580" s="97"/>
      <c r="K580" s="97"/>
      <c r="L580" s="97"/>
      <c r="M580" s="97"/>
      <c r="N580" s="97"/>
      <c r="O580" s="97"/>
      <c r="P580" s="97"/>
      <c r="Q580" s="97"/>
      <c r="R580" s="97"/>
      <c r="S580" s="97"/>
      <c r="T580" s="97"/>
      <c r="U580" s="97"/>
      <c r="V580" s="97"/>
      <c r="W580" s="97"/>
      <c r="X580" s="150"/>
      <c r="Y580" s="145"/>
      <c r="Z580" s="151"/>
      <c r="AA580" s="152"/>
      <c r="AB580" s="507">
        <v>735</v>
      </c>
    </row>
    <row r="581" spans="1:34" ht="12.6" customHeight="1" x14ac:dyDescent="0.2">
      <c r="A581" s="4"/>
      <c r="B581" s="703" t="s">
        <v>456</v>
      </c>
      <c r="C581" s="697"/>
      <c r="D581" s="697"/>
      <c r="E581" s="697"/>
      <c r="F581" s="258"/>
      <c r="G581" s="100"/>
      <c r="H581" s="258"/>
      <c r="I581" s="258"/>
      <c r="J581" s="258"/>
      <c r="K581" s="258"/>
      <c r="L581" s="258"/>
      <c r="M581" s="258"/>
      <c r="N581" s="258"/>
      <c r="O581" s="258"/>
      <c r="P581" s="258"/>
      <c r="Q581" s="258"/>
      <c r="R581" s="258"/>
      <c r="S581" s="258"/>
      <c r="T581" s="258"/>
      <c r="U581" s="258"/>
      <c r="V581" s="258"/>
      <c r="W581" s="258"/>
      <c r="X581" s="150"/>
      <c r="Y581" s="145"/>
      <c r="Z581" s="151"/>
      <c r="AA581" s="152"/>
      <c r="AB581" s="507">
        <v>736</v>
      </c>
    </row>
    <row r="582" spans="1:34" ht="12.6" customHeight="1" x14ac:dyDescent="0.2">
      <c r="A582" s="4"/>
      <c r="B582" s="816" t="s">
        <v>318</v>
      </c>
      <c r="C582" s="866"/>
      <c r="D582" s="866"/>
      <c r="E582" s="866"/>
      <c r="F582" s="105"/>
      <c r="G582" s="98"/>
      <c r="H582" s="97"/>
      <c r="I582" s="97"/>
      <c r="J582" s="97"/>
      <c r="K582" s="97"/>
      <c r="L582" s="97"/>
      <c r="M582" s="97"/>
      <c r="N582" s="97"/>
      <c r="O582" s="97"/>
      <c r="P582" s="97"/>
      <c r="Q582" s="97"/>
      <c r="R582" s="97"/>
      <c r="S582" s="97"/>
      <c r="T582" s="97"/>
      <c r="U582" s="97"/>
      <c r="V582" s="97"/>
      <c r="W582" s="97"/>
      <c r="X582" s="150"/>
      <c r="Y582" s="145"/>
      <c r="Z582" s="151"/>
      <c r="AA582" s="152"/>
      <c r="AB582" s="507">
        <v>986</v>
      </c>
    </row>
    <row r="583" spans="1:34" ht="12.6" customHeight="1" x14ac:dyDescent="0.2">
      <c r="A583" s="4"/>
      <c r="B583" s="703" t="s">
        <v>473</v>
      </c>
      <c r="C583" s="704"/>
      <c r="D583" s="704"/>
      <c r="E583" s="704"/>
      <c r="F583" s="258"/>
      <c r="G583" s="100"/>
      <c r="H583" s="258"/>
      <c r="I583" s="258"/>
      <c r="J583" s="258"/>
      <c r="K583" s="258"/>
      <c r="L583" s="258"/>
      <c r="M583" s="258"/>
      <c r="N583" s="258"/>
      <c r="O583" s="258"/>
      <c r="P583" s="258"/>
      <c r="Q583" s="258"/>
      <c r="R583" s="258"/>
      <c r="S583" s="258"/>
      <c r="T583" s="258"/>
      <c r="U583" s="258"/>
      <c r="V583" s="258"/>
      <c r="W583" s="258"/>
      <c r="X583" s="150"/>
      <c r="Y583" s="145"/>
      <c r="Z583" s="151"/>
      <c r="AA583" s="152"/>
      <c r="AB583" s="507"/>
    </row>
    <row r="584" spans="1:34" ht="12.6" customHeight="1" x14ac:dyDescent="0.2">
      <c r="A584" s="4"/>
      <c r="B584" s="816" t="s">
        <v>415</v>
      </c>
      <c r="C584" s="866"/>
      <c r="D584" s="866"/>
      <c r="E584" s="866"/>
      <c r="F584" s="105"/>
      <c r="G584" s="98"/>
      <c r="H584" s="97"/>
      <c r="I584" s="97"/>
      <c r="J584" s="97"/>
      <c r="K584" s="97"/>
      <c r="L584" s="97"/>
      <c r="M584" s="97"/>
      <c r="N584" s="97"/>
      <c r="O584" s="97"/>
      <c r="P584" s="97"/>
      <c r="Q584" s="97"/>
      <c r="R584" s="97"/>
      <c r="S584" s="97"/>
      <c r="T584" s="97"/>
      <c r="U584" s="97"/>
      <c r="V584" s="97"/>
      <c r="W584" s="97"/>
      <c r="X584" s="150"/>
      <c r="Y584" s="145"/>
      <c r="Z584" s="151"/>
      <c r="AA584" s="152"/>
      <c r="AB584" s="507">
        <v>987</v>
      </c>
    </row>
    <row r="585" spans="1:34" ht="12.6" customHeight="1" x14ac:dyDescent="0.2">
      <c r="A585" s="4"/>
      <c r="B585" s="703" t="s">
        <v>474</v>
      </c>
      <c r="C585" s="704"/>
      <c r="D585" s="704"/>
      <c r="E585" s="704"/>
      <c r="F585" s="258"/>
      <c r="G585" s="100"/>
      <c r="H585" s="258"/>
      <c r="I585" s="258"/>
      <c r="J585" s="258"/>
      <c r="K585" s="258"/>
      <c r="L585" s="258"/>
      <c r="M585" s="258"/>
      <c r="N585" s="258"/>
      <c r="O585" s="258"/>
      <c r="P585" s="258"/>
      <c r="Q585" s="258"/>
      <c r="R585" s="258"/>
      <c r="S585" s="258"/>
      <c r="T585" s="258"/>
      <c r="U585" s="258"/>
      <c r="V585" s="258"/>
      <c r="W585" s="258"/>
      <c r="X585" s="150"/>
      <c r="Y585" s="145"/>
      <c r="Z585" s="151"/>
      <c r="AA585" s="152"/>
      <c r="AB585" s="507"/>
    </row>
    <row r="586" spans="1:34" ht="12.6" customHeight="1" x14ac:dyDescent="0.2">
      <c r="A586" s="4"/>
      <c r="B586" s="816" t="s">
        <v>319</v>
      </c>
      <c r="C586" s="695"/>
      <c r="D586" s="695"/>
      <c r="E586" s="695"/>
      <c r="F586" s="97"/>
      <c r="G586" s="98"/>
      <c r="H586" s="97"/>
      <c r="I586" s="97"/>
      <c r="J586" s="97"/>
      <c r="K586" s="97"/>
      <c r="L586" s="97"/>
      <c r="M586" s="97"/>
      <c r="N586" s="97"/>
      <c r="O586" s="97"/>
      <c r="P586" s="97"/>
      <c r="Q586" s="97"/>
      <c r="R586" s="97"/>
      <c r="S586" s="97"/>
      <c r="T586" s="97"/>
      <c r="U586" s="97"/>
      <c r="V586" s="97"/>
      <c r="W586" s="97"/>
      <c r="X586" s="150"/>
      <c r="Y586" s="145"/>
      <c r="Z586" s="151"/>
      <c r="AA586" s="152"/>
      <c r="AB586" s="507">
        <v>989</v>
      </c>
    </row>
    <row r="587" spans="1:34" ht="12.6" customHeight="1" x14ac:dyDescent="0.2">
      <c r="A587" s="4"/>
      <c r="B587" s="703" t="s">
        <v>320</v>
      </c>
      <c r="C587" s="697"/>
      <c r="D587" s="697"/>
      <c r="E587" s="697"/>
      <c r="F587" s="258"/>
      <c r="G587" s="100"/>
      <c r="H587" s="258"/>
      <c r="I587" s="258"/>
      <c r="J587" s="258"/>
      <c r="K587" s="258"/>
      <c r="L587" s="258"/>
      <c r="M587" s="258"/>
      <c r="N587" s="258"/>
      <c r="O587" s="258"/>
      <c r="P587" s="258"/>
      <c r="Q587" s="258"/>
      <c r="R587" s="258"/>
      <c r="S587" s="258"/>
      <c r="T587" s="258"/>
      <c r="U587" s="258"/>
      <c r="V587" s="258"/>
      <c r="W587" s="258"/>
      <c r="X587" s="150"/>
      <c r="Y587" s="145"/>
      <c r="Z587" s="151"/>
      <c r="AA587" s="152"/>
      <c r="AB587" s="529" t="s">
        <v>321</v>
      </c>
    </row>
    <row r="588" spans="1:34" ht="12.6" customHeight="1" x14ac:dyDescent="0.2">
      <c r="A588" s="4"/>
      <c r="B588" s="816" t="s">
        <v>322</v>
      </c>
      <c r="C588" s="866"/>
      <c r="D588" s="866"/>
      <c r="E588" s="866"/>
      <c r="F588" s="97"/>
      <c r="G588" s="98"/>
      <c r="H588" s="97"/>
      <c r="I588" s="97"/>
      <c r="J588" s="97"/>
      <c r="K588" s="97"/>
      <c r="L588" s="97"/>
      <c r="M588" s="97"/>
      <c r="N588" s="97"/>
      <c r="O588" s="97"/>
      <c r="P588" s="97"/>
      <c r="Q588" s="97"/>
      <c r="R588" s="97"/>
      <c r="S588" s="97"/>
      <c r="T588" s="97"/>
      <c r="U588" s="97"/>
      <c r="V588" s="97"/>
      <c r="W588" s="97"/>
      <c r="X588" s="153"/>
      <c r="Y588" s="143"/>
      <c r="Z588" s="154"/>
      <c r="AA588" s="155"/>
      <c r="AB588" s="34"/>
    </row>
    <row r="589" spans="1:34" ht="9" customHeight="1" thickBot="1" x14ac:dyDescent="0.25">
      <c r="A589" s="79"/>
      <c r="B589" s="115"/>
      <c r="C589" s="215"/>
      <c r="D589" s="215"/>
      <c r="E589" s="215"/>
      <c r="F589" s="139"/>
      <c r="G589" s="127"/>
      <c r="H589" s="127"/>
      <c r="I589" s="127"/>
      <c r="J589" s="127"/>
      <c r="K589" s="127"/>
      <c r="L589" s="127"/>
      <c r="M589" s="127"/>
      <c r="N589" s="127"/>
      <c r="O589" s="127"/>
      <c r="P589" s="127"/>
      <c r="Q589" s="127"/>
      <c r="R589" s="127"/>
      <c r="S589" s="127"/>
      <c r="T589" s="127"/>
      <c r="U589" s="127"/>
      <c r="V589" s="127"/>
      <c r="W589" s="127"/>
      <c r="X589" s="216"/>
      <c r="Y589" s="79"/>
      <c r="Z589" s="217"/>
      <c r="AA589" s="217"/>
      <c r="AB589" s="218"/>
    </row>
    <row r="590" spans="1:34" ht="13.5" customHeight="1" thickBot="1" x14ac:dyDescent="0.25">
      <c r="B590" s="1283" t="s">
        <v>323</v>
      </c>
      <c r="C590" s="1284"/>
      <c r="D590" s="1284"/>
      <c r="E590" s="1284"/>
      <c r="F590" s="1284"/>
      <c r="G590" s="1284"/>
      <c r="H590" s="1284"/>
      <c r="I590" s="1284"/>
      <c r="J590" s="1284"/>
      <c r="K590" s="1284"/>
      <c r="L590" s="1284"/>
      <c r="M590" s="1284"/>
      <c r="N590" s="1284"/>
      <c r="O590" s="1284"/>
      <c r="P590" s="1284"/>
      <c r="Q590" s="1284"/>
      <c r="R590" s="1284"/>
      <c r="S590" s="1284"/>
      <c r="T590" s="1285"/>
      <c r="U590" s="1285"/>
      <c r="V590" s="1286"/>
      <c r="W590" s="1287"/>
      <c r="AB590" s="4"/>
    </row>
    <row r="591" spans="1:34" ht="12" customHeight="1" x14ac:dyDescent="0.2">
      <c r="B591" s="1206" t="s">
        <v>11</v>
      </c>
      <c r="C591" s="979" t="s">
        <v>12</v>
      </c>
      <c r="D591" s="980"/>
      <c r="E591" s="980"/>
      <c r="F591" s="895" t="s">
        <v>304</v>
      </c>
      <c r="G591" s="895" t="s">
        <v>13</v>
      </c>
      <c r="H591" s="1213" t="s">
        <v>324</v>
      </c>
      <c r="I591" s="1214"/>
      <c r="J591" s="1215"/>
      <c r="K591" s="1215"/>
      <c r="L591" s="1215"/>
      <c r="M591" s="1215"/>
      <c r="N591" s="1215"/>
      <c r="O591" s="1215"/>
      <c r="P591" s="1215"/>
      <c r="Q591" s="1215"/>
      <c r="R591" s="1215"/>
      <c r="S591" s="1215"/>
      <c r="T591" s="1216"/>
      <c r="U591" s="1216"/>
      <c r="V591" s="1217"/>
      <c r="W591" s="1218"/>
      <c r="X591" s="732" t="s">
        <v>15</v>
      </c>
      <c r="Y591" s="860"/>
      <c r="Z591" s="860"/>
      <c r="AA591" s="861"/>
      <c r="AB591" s="729" t="s">
        <v>16</v>
      </c>
      <c r="AF591" s="727" t="s">
        <v>3</v>
      </c>
      <c r="AG591" s="728"/>
      <c r="AH591" s="728"/>
    </row>
    <row r="592" spans="1:34" ht="12" customHeight="1" thickBot="1" x14ac:dyDescent="0.25">
      <c r="B592" s="1207"/>
      <c r="C592" s="981"/>
      <c r="D592" s="981"/>
      <c r="E592" s="981"/>
      <c r="F592" s="896"/>
      <c r="G592" s="896"/>
      <c r="H592" s="281"/>
      <c r="I592" s="282" t="s">
        <v>642</v>
      </c>
      <c r="J592" s="281"/>
      <c r="K592" s="282" t="s">
        <v>306</v>
      </c>
      <c r="L592" s="282"/>
      <c r="M592" s="282" t="s">
        <v>307</v>
      </c>
      <c r="N592" s="282"/>
      <c r="O592" s="282" t="s">
        <v>308</v>
      </c>
      <c r="P592" s="282"/>
      <c r="Q592" s="282" t="s">
        <v>19</v>
      </c>
      <c r="R592" s="282"/>
      <c r="S592" s="282" t="s">
        <v>20</v>
      </c>
      <c r="T592" s="282"/>
      <c r="U592" s="282" t="s">
        <v>309</v>
      </c>
      <c r="V592" s="282"/>
      <c r="W592" s="283" t="s">
        <v>21</v>
      </c>
      <c r="X592" s="863"/>
      <c r="Y592" s="863"/>
      <c r="Z592" s="863"/>
      <c r="AA592" s="864"/>
      <c r="AB592" s="730"/>
    </row>
    <row r="593" spans="2:36" ht="12.6" customHeight="1" x14ac:dyDescent="0.2">
      <c r="B593" s="1212" t="s">
        <v>874</v>
      </c>
      <c r="C593" s="1212"/>
      <c r="D593" s="1212"/>
      <c r="E593" s="1212"/>
      <c r="F593" s="608">
        <f>21.73*X2</f>
        <v>20382.740000000002</v>
      </c>
      <c r="G593" s="331">
        <f>+F593*$X$1</f>
        <v>20382.740000000002</v>
      </c>
      <c r="H593" s="627">
        <f>F593+2400</f>
        <v>22782.74</v>
      </c>
      <c r="I593" s="331">
        <f t="shared" ref="I593" si="1513">+H593*$X$1</f>
        <v>22782.74</v>
      </c>
      <c r="J593" s="627">
        <f>F593+600</f>
        <v>20982.74</v>
      </c>
      <c r="K593" s="331">
        <f t="shared" ref="K593" si="1514">+J593*$X$1</f>
        <v>20982.74</v>
      </c>
      <c r="L593" s="627">
        <f>F593+350</f>
        <v>20732.740000000002</v>
      </c>
      <c r="M593" s="331">
        <f t="shared" ref="M593" si="1515">+L593*$X$1</f>
        <v>20732.740000000002</v>
      </c>
      <c r="N593" s="627">
        <f>F593+170</f>
        <v>20552.740000000002</v>
      </c>
      <c r="O593" s="331">
        <f t="shared" ref="O593" si="1516">+N593*$X$1</f>
        <v>20552.740000000002</v>
      </c>
      <c r="P593" s="627">
        <f>F593+130</f>
        <v>20512.740000000002</v>
      </c>
      <c r="Q593" s="331">
        <f t="shared" ref="Q593" si="1517">+P593*$X$1</f>
        <v>20512.740000000002</v>
      </c>
      <c r="R593" s="627">
        <f>F593+90</f>
        <v>20472.740000000002</v>
      </c>
      <c r="S593" s="331">
        <f t="shared" ref="S593" si="1518">+R593*$X$1</f>
        <v>20472.740000000002</v>
      </c>
      <c r="T593" s="627">
        <f>F593+75</f>
        <v>20457.740000000002</v>
      </c>
      <c r="U593" s="331">
        <f t="shared" ref="U593" si="1519">+T593*$X$1</f>
        <v>20457.740000000002</v>
      </c>
      <c r="V593" s="627">
        <f>F593+64</f>
        <v>20446.740000000002</v>
      </c>
      <c r="W593" s="331">
        <f t="shared" ref="W593" si="1520">+V593*$X$1</f>
        <v>20446.740000000002</v>
      </c>
      <c r="X593" s="626"/>
      <c r="Y593" s="147"/>
      <c r="Z593" s="145"/>
      <c r="AA593" s="148"/>
      <c r="AB593" s="529" t="s">
        <v>875</v>
      </c>
    </row>
    <row r="594" spans="2:36" ht="12.6" customHeight="1" x14ac:dyDescent="0.2">
      <c r="B594" s="789" t="s">
        <v>325</v>
      </c>
      <c r="C594" s="789"/>
      <c r="D594" s="789"/>
      <c r="E594" s="789"/>
      <c r="F594" s="603"/>
      <c r="G594" s="108"/>
      <c r="H594" s="108"/>
      <c r="I594" s="108"/>
      <c r="J594" s="108"/>
      <c r="K594" s="108"/>
      <c r="L594" s="108"/>
      <c r="M594" s="108"/>
      <c r="N594" s="108"/>
      <c r="O594" s="108"/>
      <c r="P594" s="108"/>
      <c r="Q594" s="108"/>
      <c r="R594" s="108"/>
      <c r="S594" s="108"/>
      <c r="T594" s="108"/>
      <c r="U594" s="108"/>
      <c r="V594" s="620"/>
      <c r="W594" s="621"/>
      <c r="X594" s="147"/>
      <c r="Y594" s="147"/>
      <c r="Z594" s="145"/>
      <c r="AA594" s="148"/>
      <c r="AB594" s="530" t="s">
        <v>326</v>
      </c>
    </row>
    <row r="595" spans="2:36" ht="12.6" customHeight="1" x14ac:dyDescent="0.2">
      <c r="B595" s="809" t="s">
        <v>327</v>
      </c>
      <c r="C595" s="810"/>
      <c r="D595" s="810"/>
      <c r="E595" s="811"/>
      <c r="F595" s="604"/>
      <c r="G595" s="594"/>
      <c r="H595" s="594"/>
      <c r="I595" s="594"/>
      <c r="J595" s="594"/>
      <c r="K595" s="594"/>
      <c r="L595" s="594"/>
      <c r="M595" s="594"/>
      <c r="N595" s="594"/>
      <c r="O595" s="594"/>
      <c r="P595" s="594"/>
      <c r="Q595" s="594"/>
      <c r="R595" s="594"/>
      <c r="S595" s="594"/>
      <c r="T595" s="594"/>
      <c r="U595" s="594"/>
      <c r="V595" s="298"/>
      <c r="W595" s="615"/>
      <c r="X595" s="147"/>
      <c r="Y595" s="147"/>
      <c r="Z595" s="145"/>
      <c r="AA595" s="148"/>
      <c r="AB595" s="529" t="s">
        <v>328</v>
      </c>
    </row>
    <row r="596" spans="2:36" ht="12.6" customHeight="1" x14ac:dyDescent="0.2">
      <c r="B596" s="703" t="s">
        <v>329</v>
      </c>
      <c r="C596" s="703"/>
      <c r="D596" s="703"/>
      <c r="E596" s="703"/>
      <c r="F596" s="126"/>
      <c r="G596" s="368"/>
      <c r="H596" s="106"/>
      <c r="I596" s="106"/>
      <c r="J596" s="368"/>
      <c r="K596" s="368"/>
      <c r="L596" s="368"/>
      <c r="M596" s="368"/>
      <c r="N596" s="368"/>
      <c r="O596" s="368"/>
      <c r="P596" s="368"/>
      <c r="Q596" s="368"/>
      <c r="R596" s="368"/>
      <c r="S596" s="368"/>
      <c r="T596" s="368"/>
      <c r="U596" s="368"/>
      <c r="V596" s="609"/>
      <c r="W596" s="610"/>
      <c r="X596" s="147"/>
      <c r="Y596" s="147"/>
      <c r="Z596" s="145"/>
      <c r="AA596" s="148"/>
      <c r="AB596" s="529" t="s">
        <v>330</v>
      </c>
      <c r="AF596" s="1201"/>
      <c r="AG596" s="1201"/>
      <c r="AH596" s="1201"/>
      <c r="AI596" s="1201"/>
      <c r="AJ596" s="1202"/>
    </row>
    <row r="597" spans="2:36" ht="12.6" customHeight="1" x14ac:dyDescent="0.2">
      <c r="B597" s="816" t="s">
        <v>331</v>
      </c>
      <c r="C597" s="816"/>
      <c r="D597" s="816"/>
      <c r="E597" s="816"/>
      <c r="F597" s="605"/>
      <c r="G597" s="594"/>
      <c r="H597" s="594"/>
      <c r="I597" s="594"/>
      <c r="J597" s="594"/>
      <c r="K597" s="594"/>
      <c r="L597" s="594"/>
      <c r="M597" s="594"/>
      <c r="N597" s="594"/>
      <c r="O597" s="594"/>
      <c r="P597" s="594"/>
      <c r="Q597" s="594"/>
      <c r="R597" s="594"/>
      <c r="S597" s="594"/>
      <c r="T597" s="594"/>
      <c r="U597" s="594"/>
      <c r="V597" s="298"/>
      <c r="W597" s="615"/>
      <c r="X597" s="147"/>
      <c r="Y597" s="147"/>
      <c r="Z597" s="145"/>
      <c r="AA597" s="148"/>
      <c r="AB597" s="529" t="s">
        <v>332</v>
      </c>
    </row>
    <row r="598" spans="2:36" ht="12.6" customHeight="1" x14ac:dyDescent="0.2">
      <c r="B598" s="703" t="s">
        <v>333</v>
      </c>
      <c r="C598" s="703"/>
      <c r="D598" s="703"/>
      <c r="E598" s="703"/>
      <c r="F598" s="606"/>
      <c r="G598" s="368"/>
      <c r="H598" s="106"/>
      <c r="I598" s="106"/>
      <c r="J598" s="368"/>
      <c r="K598" s="368"/>
      <c r="L598" s="368"/>
      <c r="M598" s="368"/>
      <c r="N598" s="368"/>
      <c r="O598" s="368"/>
      <c r="P598" s="368"/>
      <c r="Q598" s="368"/>
      <c r="R598" s="368"/>
      <c r="S598" s="368"/>
      <c r="T598" s="368"/>
      <c r="U598" s="368"/>
      <c r="V598" s="609"/>
      <c r="W598" s="610"/>
      <c r="X598" s="147"/>
      <c r="Y598" s="147"/>
      <c r="Z598" s="145"/>
      <c r="AA598" s="148"/>
      <c r="AB598" s="529" t="s">
        <v>334</v>
      </c>
    </row>
    <row r="599" spans="2:36" ht="12.6" customHeight="1" x14ac:dyDescent="0.2">
      <c r="B599" s="809" t="s">
        <v>335</v>
      </c>
      <c r="C599" s="810"/>
      <c r="D599" s="810"/>
      <c r="E599" s="811"/>
      <c r="F599" s="605"/>
      <c r="G599" s="594"/>
      <c r="H599" s="112"/>
      <c r="I599" s="112"/>
      <c r="J599" s="594"/>
      <c r="K599" s="594"/>
      <c r="L599" s="594"/>
      <c r="M599" s="594"/>
      <c r="N599" s="594"/>
      <c r="O599" s="594"/>
      <c r="P599" s="594"/>
      <c r="Q599" s="594"/>
      <c r="R599" s="594"/>
      <c r="S599" s="594"/>
      <c r="T599" s="594"/>
      <c r="U599" s="594"/>
      <c r="V599" s="298"/>
      <c r="W599" s="615"/>
      <c r="X599" s="147"/>
      <c r="Y599" s="147"/>
      <c r="Z599" s="145"/>
      <c r="AA599" s="148"/>
      <c r="AB599" s="529" t="s">
        <v>837</v>
      </c>
    </row>
    <row r="600" spans="2:36" ht="12.6" customHeight="1" x14ac:dyDescent="0.2">
      <c r="B600" s="703" t="s">
        <v>336</v>
      </c>
      <c r="C600" s="703"/>
      <c r="D600" s="703"/>
      <c r="E600" s="703"/>
      <c r="F600" s="126"/>
      <c r="G600" s="368"/>
      <c r="H600" s="106"/>
      <c r="I600" s="106"/>
      <c r="J600" s="368"/>
      <c r="K600" s="368"/>
      <c r="L600" s="368"/>
      <c r="M600" s="368"/>
      <c r="N600" s="124"/>
      <c r="O600" s="368"/>
      <c r="P600" s="368"/>
      <c r="Q600" s="368"/>
      <c r="R600" s="368"/>
      <c r="S600" s="368"/>
      <c r="T600" s="368"/>
      <c r="U600" s="368"/>
      <c r="V600" s="609"/>
      <c r="W600" s="611"/>
      <c r="X600" s="145"/>
      <c r="Y600" s="145"/>
      <c r="Z600" s="145"/>
      <c r="AA600" s="148"/>
      <c r="AB600" s="529" t="s">
        <v>337</v>
      </c>
    </row>
    <row r="601" spans="2:36" ht="12.6" customHeight="1" x14ac:dyDescent="0.2">
      <c r="B601" s="816" t="s">
        <v>338</v>
      </c>
      <c r="C601" s="816"/>
      <c r="D601" s="816"/>
      <c r="E601" s="816"/>
      <c r="F601" s="605"/>
      <c r="G601" s="594"/>
      <c r="H601" s="112"/>
      <c r="I601" s="112"/>
      <c r="J601" s="594"/>
      <c r="K601" s="594"/>
      <c r="L601" s="594"/>
      <c r="M601" s="594"/>
      <c r="N601" s="125"/>
      <c r="O601" s="594"/>
      <c r="P601" s="594"/>
      <c r="Q601" s="594"/>
      <c r="R601" s="594"/>
      <c r="S601" s="594"/>
      <c r="T601" s="594"/>
      <c r="U601" s="594"/>
      <c r="V601" s="618"/>
      <c r="W601" s="619"/>
      <c r="X601" s="145"/>
      <c r="Y601" s="145"/>
      <c r="Z601" s="145"/>
      <c r="AA601" s="148"/>
      <c r="AB601" s="529" t="s">
        <v>339</v>
      </c>
    </row>
    <row r="602" spans="2:36" ht="12.6" customHeight="1" x14ac:dyDescent="0.2">
      <c r="B602" s="1212" t="s">
        <v>833</v>
      </c>
      <c r="C602" s="1212"/>
      <c r="D602" s="1212"/>
      <c r="E602" s="1212"/>
      <c r="F602" s="607">
        <f>20.583*X2</f>
        <v>19306.853999999999</v>
      </c>
      <c r="G602" s="330">
        <f>+F602*$X$1</f>
        <v>19306.853999999999</v>
      </c>
      <c r="H602" s="368">
        <f>F602+2400</f>
        <v>21706.853999999999</v>
      </c>
      <c r="I602" s="330">
        <f t="shared" ref="I602" si="1521">+H602*$X$1</f>
        <v>21706.853999999999</v>
      </c>
      <c r="J602" s="368">
        <f>F602+600</f>
        <v>19906.853999999999</v>
      </c>
      <c r="K602" s="330">
        <f t="shared" ref="K602" si="1522">+J602*$X$1</f>
        <v>19906.853999999999</v>
      </c>
      <c r="L602" s="368">
        <f>F602+350</f>
        <v>19656.853999999999</v>
      </c>
      <c r="M602" s="330">
        <f t="shared" ref="M602" si="1523">+L602*$X$1</f>
        <v>19656.853999999999</v>
      </c>
      <c r="N602" s="368">
        <f>F602+170</f>
        <v>19476.853999999999</v>
      </c>
      <c r="O602" s="330">
        <f t="shared" ref="O602" si="1524">+N602*$X$1</f>
        <v>19476.853999999999</v>
      </c>
      <c r="P602" s="368">
        <f>F602+130</f>
        <v>19436.853999999999</v>
      </c>
      <c r="Q602" s="330">
        <f t="shared" ref="Q602" si="1525">+P602*$X$1</f>
        <v>19436.853999999999</v>
      </c>
      <c r="R602" s="368">
        <f>F602+90</f>
        <v>19396.853999999999</v>
      </c>
      <c r="S602" s="330">
        <f t="shared" ref="S602" si="1526">+R602*$X$1</f>
        <v>19396.853999999999</v>
      </c>
      <c r="T602" s="368">
        <f>F602+75</f>
        <v>19381.853999999999</v>
      </c>
      <c r="U602" s="330">
        <f t="shared" ref="U602" si="1527">+T602*$X$1</f>
        <v>19381.853999999999</v>
      </c>
      <c r="V602" s="368">
        <f>F602+64</f>
        <v>19370.853999999999</v>
      </c>
      <c r="W602" s="330">
        <f t="shared" ref="W602" si="1528">+V602*$X$1</f>
        <v>19370.853999999999</v>
      </c>
      <c r="X602" s="588"/>
      <c r="Y602" s="147"/>
      <c r="Z602" s="145"/>
      <c r="AA602" s="148"/>
      <c r="AB602" s="529" t="s">
        <v>834</v>
      </c>
    </row>
    <row r="603" spans="2:36" ht="12.6" customHeight="1" x14ac:dyDescent="0.2">
      <c r="B603" s="1212" t="s">
        <v>836</v>
      </c>
      <c r="C603" s="1212"/>
      <c r="D603" s="1212"/>
      <c r="E603" s="1212"/>
      <c r="F603" s="608">
        <f>22.35*X2</f>
        <v>20964.300000000003</v>
      </c>
      <c r="G603" s="331">
        <f>+F603*$X$1</f>
        <v>20964.300000000003</v>
      </c>
      <c r="H603" s="622">
        <f>F603+2200</f>
        <v>23164.300000000003</v>
      </c>
      <c r="I603" s="331">
        <f t="shared" ref="I603:I604" si="1529">+H603*$X$1</f>
        <v>23164.300000000003</v>
      </c>
      <c r="J603" s="622">
        <f>F603+500</f>
        <v>21464.300000000003</v>
      </c>
      <c r="K603" s="331">
        <f t="shared" ref="K603" si="1530">+J603*$X$1</f>
        <v>21464.300000000003</v>
      </c>
      <c r="L603" s="594">
        <f>F603+250</f>
        <v>21214.300000000003</v>
      </c>
      <c r="M603" s="331">
        <f t="shared" ref="M603" si="1531">+L603*$X$1</f>
        <v>21214.300000000003</v>
      </c>
      <c r="N603" s="594">
        <f>F603+100</f>
        <v>21064.300000000003</v>
      </c>
      <c r="O603" s="331">
        <f t="shared" ref="O603" si="1532">+N603*$X$1</f>
        <v>21064.300000000003</v>
      </c>
      <c r="P603" s="594">
        <f>F603+80</f>
        <v>21044.300000000003</v>
      </c>
      <c r="Q603" s="331">
        <f t="shared" ref="Q603" si="1533">+P603*$X$1</f>
        <v>21044.300000000003</v>
      </c>
      <c r="R603" s="594">
        <f>F603+60</f>
        <v>21024.300000000003</v>
      </c>
      <c r="S603" s="331">
        <f t="shared" ref="S603" si="1534">+R603*$X$1</f>
        <v>21024.300000000003</v>
      </c>
      <c r="T603" s="594">
        <f>F603+50</f>
        <v>21014.300000000003</v>
      </c>
      <c r="U603" s="331">
        <f t="shared" ref="U603" si="1535">+T603*$X$1</f>
        <v>21014.300000000003</v>
      </c>
      <c r="V603" s="594">
        <f>F603+44</f>
        <v>21008.300000000003</v>
      </c>
      <c r="W603" s="331">
        <f t="shared" ref="W603" si="1536">+V603*$X$1</f>
        <v>21008.300000000003</v>
      </c>
      <c r="X603" s="588"/>
      <c r="Y603" s="147"/>
      <c r="Z603" s="145"/>
      <c r="AA603" s="148"/>
      <c r="AB603" s="529" t="s">
        <v>835</v>
      </c>
    </row>
    <row r="604" spans="2:36" ht="12.6" customHeight="1" x14ac:dyDescent="0.2">
      <c r="B604" s="1212" t="s">
        <v>838</v>
      </c>
      <c r="C604" s="1212"/>
      <c r="D604" s="1212"/>
      <c r="E604" s="1212"/>
      <c r="F604" s="607">
        <f>40.975*X2</f>
        <v>38434.550000000003</v>
      </c>
      <c r="G604" s="330">
        <f>+F604*$X$1</f>
        <v>38434.550000000003</v>
      </c>
      <c r="H604" s="368">
        <f>F604+2400</f>
        <v>40834.550000000003</v>
      </c>
      <c r="I604" s="330">
        <f t="shared" si="1529"/>
        <v>40834.550000000003</v>
      </c>
      <c r="J604" s="368">
        <f>F604+600</f>
        <v>39034.550000000003</v>
      </c>
      <c r="K604" s="330">
        <f t="shared" ref="K604" si="1537">+J604*$X$1</f>
        <v>39034.550000000003</v>
      </c>
      <c r="L604" s="368">
        <f>F604+350</f>
        <v>38784.550000000003</v>
      </c>
      <c r="M604" s="330">
        <f t="shared" ref="M604" si="1538">+L604*$X$1</f>
        <v>38784.550000000003</v>
      </c>
      <c r="N604" s="368">
        <f>F604+170</f>
        <v>38604.550000000003</v>
      </c>
      <c r="O604" s="330">
        <f t="shared" ref="O604" si="1539">+N604*$X$1</f>
        <v>38604.550000000003</v>
      </c>
      <c r="P604" s="368">
        <f>F604+130</f>
        <v>38564.550000000003</v>
      </c>
      <c r="Q604" s="330">
        <f t="shared" ref="Q604" si="1540">+P604*$X$1</f>
        <v>38564.550000000003</v>
      </c>
      <c r="R604" s="368">
        <f>F604+90</f>
        <v>38524.550000000003</v>
      </c>
      <c r="S604" s="330">
        <f t="shared" ref="S604" si="1541">+R604*$X$1</f>
        <v>38524.550000000003</v>
      </c>
      <c r="T604" s="368">
        <f>F604+75</f>
        <v>38509.550000000003</v>
      </c>
      <c r="U604" s="330">
        <f t="shared" ref="U604" si="1542">+T604*$X$1</f>
        <v>38509.550000000003</v>
      </c>
      <c r="V604" s="368">
        <f>F604+64</f>
        <v>38498.550000000003</v>
      </c>
      <c r="W604" s="330">
        <f t="shared" ref="W604" si="1543">+V604*$X$1</f>
        <v>38498.550000000003</v>
      </c>
      <c r="X604" s="588"/>
      <c r="Y604" s="147"/>
      <c r="Z604" s="145"/>
      <c r="AA604" s="148"/>
      <c r="AB604" s="529" t="s">
        <v>839</v>
      </c>
    </row>
    <row r="605" spans="2:36" ht="12.6" customHeight="1" x14ac:dyDescent="0.2">
      <c r="B605" s="816" t="s">
        <v>340</v>
      </c>
      <c r="C605" s="816"/>
      <c r="D605" s="816"/>
      <c r="E605" s="816"/>
      <c r="F605" s="605"/>
      <c r="G605" s="594"/>
      <c r="H605" s="112"/>
      <c r="I605" s="112"/>
      <c r="J605" s="594"/>
      <c r="K605" s="594"/>
      <c r="L605" s="594"/>
      <c r="M605" s="594"/>
      <c r="N605" s="594"/>
      <c r="O605" s="594"/>
      <c r="P605" s="125"/>
      <c r="Q605" s="594"/>
      <c r="R605" s="125"/>
      <c r="S605" s="594"/>
      <c r="T605" s="125"/>
      <c r="U605" s="594"/>
      <c r="V605" s="298"/>
      <c r="W605" s="617"/>
      <c r="X605" s="178"/>
      <c r="Y605" s="178"/>
      <c r="Z605" s="178"/>
      <c r="AA605" s="179"/>
      <c r="AB605" s="529" t="s">
        <v>341</v>
      </c>
    </row>
    <row r="606" spans="2:36" ht="12.6" customHeight="1" x14ac:dyDescent="0.2">
      <c r="B606" s="703" t="s">
        <v>342</v>
      </c>
      <c r="C606" s="703"/>
      <c r="D606" s="703"/>
      <c r="E606" s="703"/>
      <c r="F606" s="126"/>
      <c r="G606" s="368"/>
      <c r="H606" s="106"/>
      <c r="I606" s="106"/>
      <c r="J606" s="368"/>
      <c r="K606" s="368"/>
      <c r="L606" s="368"/>
      <c r="M606" s="368"/>
      <c r="N606" s="368"/>
      <c r="O606" s="368"/>
      <c r="P606" s="124"/>
      <c r="Q606" s="368"/>
      <c r="R606" s="124"/>
      <c r="S606" s="368"/>
      <c r="T606" s="124"/>
      <c r="U606" s="368"/>
      <c r="V606" s="609"/>
      <c r="W606" s="612"/>
      <c r="X606" s="178"/>
      <c r="Y606" s="178"/>
      <c r="Z606" s="178"/>
      <c r="AA606" s="179"/>
      <c r="AB606" s="529" t="s">
        <v>343</v>
      </c>
    </row>
    <row r="607" spans="2:36" ht="12.6" customHeight="1" x14ac:dyDescent="0.2">
      <c r="B607" s="816" t="s">
        <v>344</v>
      </c>
      <c r="C607" s="816"/>
      <c r="D607" s="816"/>
      <c r="E607" s="816"/>
      <c r="F607" s="605"/>
      <c r="G607" s="594"/>
      <c r="H607" s="112"/>
      <c r="I607" s="112"/>
      <c r="J607" s="594"/>
      <c r="K607" s="594"/>
      <c r="L607" s="594"/>
      <c r="M607" s="594"/>
      <c r="N607" s="594"/>
      <c r="O607" s="594"/>
      <c r="P607" s="125"/>
      <c r="Q607" s="594"/>
      <c r="R607" s="125"/>
      <c r="S607" s="594"/>
      <c r="T607" s="125"/>
      <c r="U607" s="594"/>
      <c r="V607" s="298"/>
      <c r="W607" s="617"/>
      <c r="X607" s="147"/>
      <c r="Y607" s="147"/>
      <c r="Z607" s="147"/>
      <c r="AA607" s="147"/>
      <c r="AB607" s="529" t="s">
        <v>494</v>
      </c>
    </row>
    <row r="608" spans="2:36" ht="12.6" customHeight="1" x14ac:dyDescent="0.2">
      <c r="B608" s="703" t="s">
        <v>427</v>
      </c>
      <c r="C608" s="703"/>
      <c r="D608" s="703"/>
      <c r="E608" s="703"/>
      <c r="F608" s="358"/>
      <c r="G608" s="330"/>
      <c r="H608" s="106"/>
      <c r="I608" s="106"/>
      <c r="J608" s="368"/>
      <c r="K608" s="330"/>
      <c r="L608" s="368"/>
      <c r="M608" s="330"/>
      <c r="N608" s="368"/>
      <c r="O608" s="330"/>
      <c r="P608" s="368"/>
      <c r="Q608" s="330"/>
      <c r="R608" s="368"/>
      <c r="S608" s="330"/>
      <c r="T608" s="368"/>
      <c r="U608" s="330"/>
      <c r="V608" s="609"/>
      <c r="W608" s="610"/>
      <c r="X608" s="190"/>
      <c r="Y608" s="147"/>
      <c r="Z608" s="145"/>
      <c r="AA608" s="148"/>
      <c r="AB608" s="529" t="s">
        <v>345</v>
      </c>
    </row>
    <row r="609" spans="1:121" ht="12.6" customHeight="1" x14ac:dyDescent="0.2">
      <c r="B609" s="816" t="s">
        <v>346</v>
      </c>
      <c r="C609" s="816"/>
      <c r="D609" s="816"/>
      <c r="E609" s="816"/>
      <c r="F609" s="396"/>
      <c r="G609" s="331"/>
      <c r="H609" s="112"/>
      <c r="I609" s="112"/>
      <c r="J609" s="594"/>
      <c r="K609" s="331"/>
      <c r="L609" s="594"/>
      <c r="M609" s="331"/>
      <c r="N609" s="594"/>
      <c r="O609" s="331"/>
      <c r="P609" s="594"/>
      <c r="Q609" s="331"/>
      <c r="R609" s="594"/>
      <c r="S609" s="331"/>
      <c r="T609" s="594"/>
      <c r="U609" s="331"/>
      <c r="V609" s="298"/>
      <c r="W609" s="615"/>
      <c r="X609" s="190"/>
      <c r="Y609" s="147"/>
      <c r="Z609" s="145"/>
      <c r="AA609" s="148"/>
      <c r="AB609" s="530" t="s">
        <v>347</v>
      </c>
    </row>
    <row r="610" spans="1:121" s="7" customFormat="1" ht="12.6" customHeight="1" x14ac:dyDescent="0.2">
      <c r="A610" s="11"/>
      <c r="B610" s="703" t="s">
        <v>348</v>
      </c>
      <c r="C610" s="703"/>
      <c r="D610" s="703"/>
      <c r="E610" s="703"/>
      <c r="F610" s="358"/>
      <c r="G610" s="330"/>
      <c r="H610" s="106"/>
      <c r="I610" s="106"/>
      <c r="J610" s="368"/>
      <c r="K610" s="330"/>
      <c r="L610" s="368"/>
      <c r="M610" s="330"/>
      <c r="N610" s="368"/>
      <c r="O610" s="330"/>
      <c r="P610" s="368"/>
      <c r="Q610" s="330"/>
      <c r="R610" s="368"/>
      <c r="S610" s="330"/>
      <c r="T610" s="368"/>
      <c r="U610" s="330"/>
      <c r="V610" s="609"/>
      <c r="W610" s="610"/>
      <c r="X610" s="190"/>
      <c r="Y610" s="147"/>
      <c r="Z610" s="145"/>
      <c r="AA610" s="148"/>
      <c r="AB610" s="529" t="s">
        <v>349</v>
      </c>
      <c r="AC610" s="4"/>
      <c r="AD610" s="4"/>
      <c r="AE610" s="4"/>
      <c r="AF610" s="4"/>
      <c r="AG610" s="4"/>
      <c r="AH610" s="4"/>
      <c r="AI610" s="4"/>
      <c r="AJ610" s="4"/>
      <c r="AK610" s="4"/>
      <c r="AL610" s="4"/>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row>
    <row r="611" spans="1:121" ht="12.6" customHeight="1" x14ac:dyDescent="0.2">
      <c r="B611" s="816" t="s">
        <v>350</v>
      </c>
      <c r="C611" s="816"/>
      <c r="D611" s="816"/>
      <c r="E611" s="816"/>
      <c r="F611" s="363"/>
      <c r="G611" s="331"/>
      <c r="H611" s="112"/>
      <c r="I611" s="112"/>
      <c r="J611" s="594"/>
      <c r="K611" s="331"/>
      <c r="L611" s="594"/>
      <c r="M611" s="331"/>
      <c r="N611" s="594"/>
      <c r="O611" s="331"/>
      <c r="P611" s="594"/>
      <c r="Q611" s="331"/>
      <c r="R611" s="594"/>
      <c r="S611" s="331"/>
      <c r="T611" s="594"/>
      <c r="U611" s="331"/>
      <c r="V611" s="298"/>
      <c r="W611" s="615"/>
      <c r="X611" s="190"/>
      <c r="Y611" s="147"/>
      <c r="Z611" s="145"/>
      <c r="AA611" s="148"/>
      <c r="AB611" s="529" t="s">
        <v>351</v>
      </c>
    </row>
    <row r="612" spans="1:121" ht="12.6" customHeight="1" x14ac:dyDescent="0.2">
      <c r="B612" s="1212" t="s">
        <v>847</v>
      </c>
      <c r="C612" s="1212"/>
      <c r="D612" s="1212"/>
      <c r="E612" s="1212"/>
      <c r="F612" s="607">
        <f>33.53*X2</f>
        <v>31451.14</v>
      </c>
      <c r="G612" s="330">
        <f t="shared" ref="G612:G617" si="1544">+F612*$X$1</f>
        <v>31451.14</v>
      </c>
      <c r="H612" s="368">
        <f>F612+2200</f>
        <v>33651.14</v>
      </c>
      <c r="I612" s="330">
        <f t="shared" ref="I612" si="1545">+H612*$X$1</f>
        <v>33651.14</v>
      </c>
      <c r="J612" s="368">
        <f>F612+500</f>
        <v>31951.14</v>
      </c>
      <c r="K612" s="330">
        <f t="shared" ref="K612" si="1546">+J612*$X$1</f>
        <v>31951.14</v>
      </c>
      <c r="L612" s="108">
        <f>F612+410</f>
        <v>31861.14</v>
      </c>
      <c r="M612" s="357">
        <f>+L612*$X$1</f>
        <v>31861.14</v>
      </c>
      <c r="N612" s="108">
        <f>F612+370</f>
        <v>31821.14</v>
      </c>
      <c r="O612" s="357">
        <f>+N612*$X$1</f>
        <v>31821.14</v>
      </c>
      <c r="P612" s="108">
        <f>F612+330</f>
        <v>31781.14</v>
      </c>
      <c r="Q612" s="357">
        <f>+P612*$X$1</f>
        <v>31781.14</v>
      </c>
      <c r="R612" s="108">
        <f>F612+290</f>
        <v>31741.14</v>
      </c>
      <c r="S612" s="357">
        <f>+R612*$X$1</f>
        <v>31741.14</v>
      </c>
      <c r="T612" s="368">
        <f>F612+240</f>
        <v>31691.14</v>
      </c>
      <c r="U612" s="330">
        <f t="shared" ref="U612" si="1547">+T612*$X$1</f>
        <v>31691.14</v>
      </c>
      <c r="V612" s="368">
        <f>F612+220</f>
        <v>31671.14</v>
      </c>
      <c r="W612" s="330">
        <f t="shared" ref="W612" si="1548">+V612*$X$1</f>
        <v>31671.14</v>
      </c>
      <c r="X612" s="593"/>
      <c r="Y612" s="147"/>
      <c r="Z612" s="145"/>
      <c r="AA612" s="148"/>
      <c r="AB612" s="529" t="s">
        <v>848</v>
      </c>
    </row>
    <row r="613" spans="1:121" ht="12.6" customHeight="1" x14ac:dyDescent="0.2">
      <c r="B613" s="1212" t="s">
        <v>843</v>
      </c>
      <c r="C613" s="1212"/>
      <c r="D613" s="1212"/>
      <c r="E613" s="1212"/>
      <c r="F613" s="608">
        <f>29.5*X2</f>
        <v>27671</v>
      </c>
      <c r="G613" s="331">
        <f t="shared" si="1544"/>
        <v>27671</v>
      </c>
      <c r="H613" s="298"/>
      <c r="I613" s="298"/>
      <c r="J613" s="594">
        <f>F613+600</f>
        <v>28271</v>
      </c>
      <c r="K613" s="331">
        <f t="shared" ref="K613" si="1549">+J613*$X$1</f>
        <v>28271</v>
      </c>
      <c r="L613" s="594">
        <f>F613+350</f>
        <v>28021</v>
      </c>
      <c r="M613" s="331">
        <f t="shared" ref="M613" si="1550">+L613*$X$1</f>
        <v>28021</v>
      </c>
      <c r="N613" s="594">
        <f>F613+170</f>
        <v>27841</v>
      </c>
      <c r="O613" s="331">
        <f t="shared" ref="O613" si="1551">+N613*$X$1</f>
        <v>27841</v>
      </c>
      <c r="P613" s="594">
        <f>F613+130</f>
        <v>27801</v>
      </c>
      <c r="Q613" s="331">
        <f t="shared" ref="Q613" si="1552">+P613*$X$1</f>
        <v>27801</v>
      </c>
      <c r="R613" s="594">
        <f>F613+90</f>
        <v>27761</v>
      </c>
      <c r="S613" s="331">
        <f t="shared" ref="S613" si="1553">+R613*$X$1</f>
        <v>27761</v>
      </c>
      <c r="T613" s="594">
        <f>F613+75</f>
        <v>27746</v>
      </c>
      <c r="U613" s="331">
        <f t="shared" ref="U613" si="1554">+T613*$X$1</f>
        <v>27746</v>
      </c>
      <c r="V613" s="594">
        <f>F613+64</f>
        <v>27735</v>
      </c>
      <c r="W613" s="331">
        <f t="shared" ref="W613" si="1555">+V613*$X$1</f>
        <v>27735</v>
      </c>
      <c r="X613" s="593"/>
      <c r="Y613" s="147"/>
      <c r="Z613" s="145"/>
      <c r="AA613" s="148"/>
      <c r="AB613" s="529" t="s">
        <v>841</v>
      </c>
    </row>
    <row r="614" spans="1:121" ht="12.6" customHeight="1" x14ac:dyDescent="0.2">
      <c r="B614" s="1212" t="s">
        <v>842</v>
      </c>
      <c r="C614" s="1212"/>
      <c r="D614" s="1212"/>
      <c r="E614" s="1212"/>
      <c r="F614" s="607">
        <f>23.85*X2</f>
        <v>22371.300000000003</v>
      </c>
      <c r="G614" s="330">
        <f t="shared" si="1544"/>
        <v>22371.300000000003</v>
      </c>
      <c r="H614" s="301"/>
      <c r="I614" s="301"/>
      <c r="J614" s="368">
        <f>F614+600</f>
        <v>22971.300000000003</v>
      </c>
      <c r="K614" s="330">
        <f t="shared" ref="K614" si="1556">+J614*$X$1</f>
        <v>22971.300000000003</v>
      </c>
      <c r="L614" s="368">
        <f>F614+350</f>
        <v>22721.300000000003</v>
      </c>
      <c r="M614" s="330">
        <f t="shared" ref="M614" si="1557">+L614*$X$1</f>
        <v>22721.300000000003</v>
      </c>
      <c r="N614" s="368">
        <f>F614+170</f>
        <v>22541.300000000003</v>
      </c>
      <c r="O614" s="330">
        <f t="shared" ref="O614" si="1558">+N614*$X$1</f>
        <v>22541.300000000003</v>
      </c>
      <c r="P614" s="368">
        <f>F614+130</f>
        <v>22501.300000000003</v>
      </c>
      <c r="Q614" s="330">
        <f t="shared" ref="Q614" si="1559">+P614*$X$1</f>
        <v>22501.300000000003</v>
      </c>
      <c r="R614" s="368">
        <f>F614+90</f>
        <v>22461.300000000003</v>
      </c>
      <c r="S614" s="330">
        <f t="shared" ref="S614" si="1560">+R614*$X$1</f>
        <v>22461.300000000003</v>
      </c>
      <c r="T614" s="368">
        <f>F614+75</f>
        <v>22446.300000000003</v>
      </c>
      <c r="U614" s="330">
        <f t="shared" ref="U614" si="1561">+T614*$X$1</f>
        <v>22446.300000000003</v>
      </c>
      <c r="V614" s="368">
        <f>F614+64</f>
        <v>22435.300000000003</v>
      </c>
      <c r="W614" s="330">
        <f t="shared" ref="W614" si="1562">+V614*$X$1</f>
        <v>22435.300000000003</v>
      </c>
      <c r="X614" s="593"/>
      <c r="Y614" s="147"/>
      <c r="Z614" s="145"/>
      <c r="AA614" s="148"/>
      <c r="AB614" s="529" t="s">
        <v>844</v>
      </c>
    </row>
    <row r="615" spans="1:121" ht="12.6" customHeight="1" x14ac:dyDescent="0.2">
      <c r="B615" s="1212" t="s">
        <v>845</v>
      </c>
      <c r="C615" s="1212"/>
      <c r="D615" s="1212"/>
      <c r="E615" s="1212"/>
      <c r="F615" s="608">
        <f>36.3*X2</f>
        <v>34049.399999999994</v>
      </c>
      <c r="G615" s="331">
        <f t="shared" si="1544"/>
        <v>34049.399999999994</v>
      </c>
      <c r="H615" s="298"/>
      <c r="I615" s="298"/>
      <c r="J615" s="594">
        <f>F615+600</f>
        <v>34649.399999999994</v>
      </c>
      <c r="K615" s="331">
        <f t="shared" ref="K615" si="1563">+J615*$X$1</f>
        <v>34649.399999999994</v>
      </c>
      <c r="L615" s="594">
        <f>F615+350</f>
        <v>34399.399999999994</v>
      </c>
      <c r="M615" s="331">
        <f t="shared" ref="M615:M616" si="1564">+L615*$X$1</f>
        <v>34399.399999999994</v>
      </c>
      <c r="N615" s="594">
        <f>F615+170</f>
        <v>34219.399999999994</v>
      </c>
      <c r="O615" s="331">
        <f t="shared" ref="O615:O616" si="1565">+N615*$X$1</f>
        <v>34219.399999999994</v>
      </c>
      <c r="P615" s="594">
        <f>F615+130</f>
        <v>34179.399999999994</v>
      </c>
      <c r="Q615" s="331">
        <f t="shared" ref="Q615:Q616" si="1566">+P615*$X$1</f>
        <v>34179.399999999994</v>
      </c>
      <c r="R615" s="594">
        <f>F615+90</f>
        <v>34139.399999999994</v>
      </c>
      <c r="S615" s="331">
        <f t="shared" ref="S615:S616" si="1567">+R615*$X$1</f>
        <v>34139.399999999994</v>
      </c>
      <c r="T615" s="594">
        <f>F615+75</f>
        <v>34124.399999999994</v>
      </c>
      <c r="U615" s="331">
        <f t="shared" ref="U615:U616" si="1568">+T615*$X$1</f>
        <v>34124.399999999994</v>
      </c>
      <c r="V615" s="594">
        <f>F615+64</f>
        <v>34113.399999999994</v>
      </c>
      <c r="W615" s="331">
        <f t="shared" ref="W615:W616" si="1569">+V615*$X$1</f>
        <v>34113.399999999994</v>
      </c>
      <c r="X615" s="593"/>
      <c r="Y615" s="147"/>
      <c r="Z615" s="145"/>
      <c r="AA615" s="148"/>
      <c r="AB615" s="529" t="s">
        <v>846</v>
      </c>
    </row>
    <row r="616" spans="1:121" s="1" customFormat="1" ht="12.6" customHeight="1" x14ac:dyDescent="0.2">
      <c r="A616" s="21"/>
      <c r="B616" s="736" t="s">
        <v>634</v>
      </c>
      <c r="C616" s="739"/>
      <c r="D616" s="739"/>
      <c r="E616" s="740"/>
      <c r="F616" s="623">
        <v>8330</v>
      </c>
      <c r="G616" s="332">
        <f t="shared" si="1544"/>
        <v>8330</v>
      </c>
      <c r="H616" s="368">
        <f>F616+2200</f>
        <v>10530</v>
      </c>
      <c r="I616" s="330">
        <f t="shared" ref="I616" si="1570">+H616*$X$1</f>
        <v>10530</v>
      </c>
      <c r="J616" s="75">
        <f>F616+500</f>
        <v>8830</v>
      </c>
      <c r="K616" s="330">
        <f>+J616*$X$1</f>
        <v>8830</v>
      </c>
      <c r="L616" s="368">
        <f>F616+250</f>
        <v>8580</v>
      </c>
      <c r="M616" s="330">
        <f t="shared" si="1564"/>
        <v>8580</v>
      </c>
      <c r="N616" s="368">
        <f>F616+100</f>
        <v>8430</v>
      </c>
      <c r="O616" s="330">
        <f t="shared" si="1565"/>
        <v>8430</v>
      </c>
      <c r="P616" s="368">
        <f>F616+80</f>
        <v>8410</v>
      </c>
      <c r="Q616" s="330">
        <f t="shared" si="1566"/>
        <v>8410</v>
      </c>
      <c r="R616" s="368">
        <f>F616+60</f>
        <v>8390</v>
      </c>
      <c r="S616" s="330">
        <f t="shared" si="1567"/>
        <v>8390</v>
      </c>
      <c r="T616" s="368">
        <f>F616+50</f>
        <v>8380</v>
      </c>
      <c r="U616" s="330">
        <f t="shared" si="1568"/>
        <v>8380</v>
      </c>
      <c r="V616" s="368">
        <f>F616+44</f>
        <v>8374</v>
      </c>
      <c r="W616" s="330">
        <f t="shared" si="1569"/>
        <v>8374</v>
      </c>
      <c r="X616" s="735"/>
      <c r="Y616" s="710"/>
      <c r="Z616" s="710"/>
      <c r="AA616" s="712"/>
      <c r="AB616" s="208">
        <v>1010</v>
      </c>
      <c r="AC616" s="4"/>
      <c r="AD616" s="4"/>
      <c r="AE616" s="4"/>
      <c r="AF616" s="4"/>
      <c r="AG616" s="4"/>
      <c r="AH616" s="138"/>
      <c r="AI616" s="4"/>
      <c r="AJ616" s="4"/>
      <c r="AK616" s="4"/>
      <c r="AL616" s="4"/>
    </row>
    <row r="617" spans="1:121" s="1" customFormat="1" ht="12.6" customHeight="1" x14ac:dyDescent="0.2">
      <c r="A617" s="21"/>
      <c r="B617" s="698" t="s">
        <v>635</v>
      </c>
      <c r="C617" s="693"/>
      <c r="D617" s="693"/>
      <c r="E617" s="694"/>
      <c r="F617" s="383">
        <v>20824</v>
      </c>
      <c r="G617" s="331">
        <f t="shared" si="1544"/>
        <v>20824</v>
      </c>
      <c r="H617" s="622">
        <f>F617+2200</f>
        <v>23024</v>
      </c>
      <c r="I617" s="331">
        <f t="shared" ref="I617" si="1571">+H617*$X$1</f>
        <v>23024</v>
      </c>
      <c r="J617" s="93">
        <f>F617+500</f>
        <v>21324</v>
      </c>
      <c r="K617" s="331">
        <f>+J617*$X$1</f>
        <v>21324</v>
      </c>
      <c r="L617" s="622">
        <f>F617+250</f>
        <v>21074</v>
      </c>
      <c r="M617" s="331">
        <f t="shared" ref="M617" si="1572">+L617*$X$1</f>
        <v>21074</v>
      </c>
      <c r="N617" s="622">
        <f>F617+100</f>
        <v>20924</v>
      </c>
      <c r="O617" s="331">
        <f t="shared" ref="O617" si="1573">+N617*$X$1</f>
        <v>20924</v>
      </c>
      <c r="P617" s="622">
        <f>F617+80</f>
        <v>20904</v>
      </c>
      <c r="Q617" s="331">
        <f t="shared" ref="Q617" si="1574">+P617*$X$1</f>
        <v>20904</v>
      </c>
      <c r="R617" s="622">
        <f>F617+60</f>
        <v>20884</v>
      </c>
      <c r="S617" s="331">
        <f t="shared" ref="S617" si="1575">+R617*$X$1</f>
        <v>20884</v>
      </c>
      <c r="T617" s="622">
        <f>F617+50</f>
        <v>20874</v>
      </c>
      <c r="U617" s="331">
        <f t="shared" ref="U617" si="1576">+T617*$X$1</f>
        <v>20874</v>
      </c>
      <c r="V617" s="622">
        <f>F617+44</f>
        <v>20868</v>
      </c>
      <c r="W617" s="331">
        <f t="shared" ref="W617" si="1577">+V617*$X$1</f>
        <v>20868</v>
      </c>
      <c r="X617" s="735"/>
      <c r="Y617" s="710"/>
      <c r="Z617" s="710"/>
      <c r="AA617" s="712"/>
      <c r="AB617" s="208">
        <v>1011</v>
      </c>
      <c r="AC617" s="4"/>
      <c r="AD617" s="4"/>
      <c r="AE617" s="4"/>
      <c r="AF617" s="4"/>
      <c r="AG617" s="4"/>
      <c r="AH617" s="138"/>
      <c r="AI617" s="4"/>
      <c r="AJ617" s="4"/>
      <c r="AK617" s="4"/>
      <c r="AL617" s="4"/>
    </row>
    <row r="618" spans="1:121" ht="12.6" customHeight="1" x14ac:dyDescent="0.2">
      <c r="A618" s="219"/>
      <c r="B618" s="789" t="s">
        <v>405</v>
      </c>
      <c r="C618" s="790"/>
      <c r="D618" s="790"/>
      <c r="E618" s="790"/>
      <c r="F618" s="330"/>
      <c r="G618" s="400"/>
      <c r="H618" s="599"/>
      <c r="I618" s="600"/>
      <c r="J618" s="105"/>
      <c r="K618" s="400"/>
      <c r="L618" s="599"/>
      <c r="M618" s="400"/>
      <c r="N618" s="599"/>
      <c r="O618" s="400"/>
      <c r="P618" s="599"/>
      <c r="Q618" s="400"/>
      <c r="R618" s="601"/>
      <c r="S618" s="400"/>
      <c r="T618" s="601"/>
      <c r="U618" s="400"/>
      <c r="V618" s="301"/>
      <c r="W618" s="613"/>
      <c r="X618" s="165"/>
      <c r="Y618" s="165"/>
      <c r="Z618" s="165"/>
      <c r="AA618" s="165"/>
      <c r="AB618" s="248"/>
    </row>
    <row r="619" spans="1:121" ht="12.6" customHeight="1" x14ac:dyDescent="0.2">
      <c r="A619" s="219"/>
      <c r="B619" s="957" t="s">
        <v>406</v>
      </c>
      <c r="C619" s="786"/>
      <c r="D619" s="786"/>
      <c r="E619" s="786"/>
      <c r="F619" s="331"/>
      <c r="G619" s="398"/>
      <c r="H619" s="599"/>
      <c r="I619" s="599"/>
      <c r="J619" s="105"/>
      <c r="K619" s="398"/>
      <c r="L619" s="599"/>
      <c r="M619" s="398"/>
      <c r="N619" s="599"/>
      <c r="O619" s="398"/>
      <c r="P619" s="599"/>
      <c r="Q619" s="398"/>
      <c r="R619" s="602"/>
      <c r="S619" s="398"/>
      <c r="T619" s="602"/>
      <c r="U619" s="398"/>
      <c r="V619" s="298"/>
      <c r="W619" s="616"/>
      <c r="X619" s="165"/>
      <c r="Y619" s="165"/>
      <c r="Z619" s="165"/>
      <c r="AA619" s="165"/>
      <c r="AB619" s="225"/>
    </row>
    <row r="620" spans="1:121" ht="12.6" customHeight="1" x14ac:dyDescent="0.2">
      <c r="A620" s="219"/>
      <c r="B620" s="789" t="s">
        <v>407</v>
      </c>
      <c r="C620" s="790"/>
      <c r="D620" s="790"/>
      <c r="E620" s="790"/>
      <c r="F620" s="330"/>
      <c r="G620" s="400"/>
      <c r="H620" s="599"/>
      <c r="I620" s="600"/>
      <c r="J620" s="105"/>
      <c r="K620" s="400"/>
      <c r="L620" s="599"/>
      <c r="M620" s="400"/>
      <c r="N620" s="599"/>
      <c r="O620" s="400"/>
      <c r="P620" s="599"/>
      <c r="Q620" s="400"/>
      <c r="R620" s="601"/>
      <c r="S620" s="400"/>
      <c r="T620" s="601"/>
      <c r="U620" s="400"/>
      <c r="V620" s="301"/>
      <c r="W620" s="613"/>
      <c r="X620" s="165"/>
      <c r="Y620" s="165"/>
      <c r="Z620" s="165"/>
      <c r="AA620" s="165"/>
      <c r="AB620" s="225"/>
    </row>
    <row r="621" spans="1:121" ht="12.6" customHeight="1" x14ac:dyDescent="0.2">
      <c r="A621" s="219"/>
      <c r="B621" s="957" t="s">
        <v>404</v>
      </c>
      <c r="C621" s="786"/>
      <c r="D621" s="786"/>
      <c r="E621" s="786"/>
      <c r="F621" s="331"/>
      <c r="G621" s="398"/>
      <c r="H621" s="599"/>
      <c r="I621" s="599"/>
      <c r="J621" s="105"/>
      <c r="K621" s="398"/>
      <c r="L621" s="599"/>
      <c r="M621" s="398"/>
      <c r="N621" s="599"/>
      <c r="O621" s="398"/>
      <c r="P621" s="599"/>
      <c r="Q621" s="398"/>
      <c r="R621" s="602"/>
      <c r="S621" s="398"/>
      <c r="T621" s="602"/>
      <c r="U621" s="398"/>
      <c r="V621" s="298"/>
      <c r="W621" s="616"/>
      <c r="X621" s="165"/>
      <c r="Y621" s="165"/>
      <c r="Z621" s="165"/>
      <c r="AA621" s="165"/>
      <c r="AB621" s="225"/>
    </row>
    <row r="622" spans="1:121" ht="12.6" customHeight="1" x14ac:dyDescent="0.2">
      <c r="B622" s="1212" t="s">
        <v>755</v>
      </c>
      <c r="C622" s="1212"/>
      <c r="D622" s="1212"/>
      <c r="E622" s="1212"/>
      <c r="F622" s="460">
        <f>3.054*X2</f>
        <v>2864.652</v>
      </c>
      <c r="G622" s="330">
        <f>+F622*$X$1</f>
        <v>2864.652</v>
      </c>
      <c r="H622" s="106"/>
      <c r="I622" s="106"/>
      <c r="J622" s="19"/>
      <c r="K622" s="19"/>
      <c r="L622" s="368">
        <f>F622+250</f>
        <v>3114.652</v>
      </c>
      <c r="M622" s="330">
        <f t="shared" ref="M622" si="1578">+L622*$X$1</f>
        <v>3114.652</v>
      </c>
      <c r="N622" s="368">
        <f>F622+100</f>
        <v>2964.652</v>
      </c>
      <c r="O622" s="330">
        <f t="shared" ref="O622" si="1579">+N622*$X$1</f>
        <v>2964.652</v>
      </c>
      <c r="P622" s="368">
        <f>F622+80</f>
        <v>2944.652</v>
      </c>
      <c r="Q622" s="330">
        <f t="shared" ref="Q622" si="1580">+P622*$X$1</f>
        <v>2944.652</v>
      </c>
      <c r="R622" s="368">
        <f>F622+60</f>
        <v>2924.652</v>
      </c>
      <c r="S622" s="330">
        <f t="shared" ref="S622" si="1581">+R622*$X$1</f>
        <v>2924.652</v>
      </c>
      <c r="T622" s="368">
        <f>F622+50</f>
        <v>2914.652</v>
      </c>
      <c r="U622" s="330">
        <f t="shared" ref="U622" si="1582">+T622*$X$1</f>
        <v>2914.652</v>
      </c>
      <c r="V622" s="368">
        <f>F622+44</f>
        <v>2908.652</v>
      </c>
      <c r="W622" s="330">
        <f t="shared" ref="W622" si="1583">+V622*$X$1</f>
        <v>2908.652</v>
      </c>
      <c r="X622" s="531"/>
      <c r="Y622" s="147"/>
      <c r="Z622" s="145"/>
      <c r="AA622" s="148"/>
      <c r="AB622" s="529" t="s">
        <v>756</v>
      </c>
    </row>
    <row r="623" spans="1:121" ht="12.6" customHeight="1" x14ac:dyDescent="0.2">
      <c r="B623" s="1212" t="s">
        <v>765</v>
      </c>
      <c r="C623" s="1212"/>
      <c r="D623" s="1212"/>
      <c r="E623" s="1212"/>
      <c r="F623" s="461">
        <f>11.3*X2</f>
        <v>10599.400000000001</v>
      </c>
      <c r="G623" s="331">
        <f>+F623*$X$1</f>
        <v>10599.400000000001</v>
      </c>
      <c r="H623" s="112"/>
      <c r="I623" s="112"/>
      <c r="J623" s="298"/>
      <c r="K623" s="298"/>
      <c r="L623" s="594">
        <f>F623+250</f>
        <v>10849.400000000001</v>
      </c>
      <c r="M623" s="331">
        <f t="shared" ref="M623" si="1584">+L623*$X$1</f>
        <v>10849.400000000001</v>
      </c>
      <c r="N623" s="594">
        <f>F623+100</f>
        <v>10699.400000000001</v>
      </c>
      <c r="O623" s="331">
        <f t="shared" ref="O623" si="1585">+N623*$X$1</f>
        <v>10699.400000000001</v>
      </c>
      <c r="P623" s="594">
        <f>F623+80</f>
        <v>10679.400000000001</v>
      </c>
      <c r="Q623" s="331">
        <f t="shared" ref="Q623" si="1586">+P623*$X$1</f>
        <v>10679.400000000001</v>
      </c>
      <c r="R623" s="594">
        <f>F623+60</f>
        <v>10659.400000000001</v>
      </c>
      <c r="S623" s="331">
        <f t="shared" ref="S623" si="1587">+R623*$X$1</f>
        <v>10659.400000000001</v>
      </c>
      <c r="T623" s="594">
        <f>F623+50</f>
        <v>10649.400000000001</v>
      </c>
      <c r="U623" s="331">
        <f t="shared" ref="U623" si="1588">+T623*$X$1</f>
        <v>10649.400000000001</v>
      </c>
      <c r="V623" s="594">
        <f>F623+44</f>
        <v>10643.400000000001</v>
      </c>
      <c r="W623" s="331">
        <f t="shared" ref="W623" si="1589">+V623*$X$1</f>
        <v>10643.400000000001</v>
      </c>
      <c r="X623" s="532"/>
      <c r="Y623" s="147"/>
      <c r="Z623" s="145"/>
      <c r="AA623" s="148"/>
      <c r="AB623" s="529" t="s">
        <v>766</v>
      </c>
    </row>
    <row r="624" spans="1:121" ht="12.6" customHeight="1" x14ac:dyDescent="0.2">
      <c r="B624" s="703" t="s">
        <v>562</v>
      </c>
      <c r="C624" s="703"/>
      <c r="D624" s="703"/>
      <c r="E624" s="703"/>
      <c r="F624" s="460">
        <f>4.5*X2</f>
        <v>4221</v>
      </c>
      <c r="G624" s="330">
        <f>+F624*$X$1</f>
        <v>4221</v>
      </c>
      <c r="H624" s="106"/>
      <c r="I624" s="106"/>
      <c r="J624" s="19"/>
      <c r="K624" s="19"/>
      <c r="L624" s="368">
        <f>F624+250</f>
        <v>4471</v>
      </c>
      <c r="M624" s="330">
        <f t="shared" ref="M624" si="1590">+L624*$X$1</f>
        <v>4471</v>
      </c>
      <c r="N624" s="368">
        <f>F624+100</f>
        <v>4321</v>
      </c>
      <c r="O624" s="330">
        <f t="shared" ref="O624" si="1591">+N624*$X$1</f>
        <v>4321</v>
      </c>
      <c r="P624" s="368">
        <f>F624+80</f>
        <v>4301</v>
      </c>
      <c r="Q624" s="330">
        <f t="shared" ref="Q624" si="1592">+P624*$X$1</f>
        <v>4301</v>
      </c>
      <c r="R624" s="368">
        <f>F624+60</f>
        <v>4281</v>
      </c>
      <c r="S624" s="330">
        <f t="shared" ref="S624" si="1593">+R624*$X$1</f>
        <v>4281</v>
      </c>
      <c r="T624" s="368">
        <f>F624+50</f>
        <v>4271</v>
      </c>
      <c r="U624" s="330">
        <f t="shared" ref="U624" si="1594">+T624*$X$1</f>
        <v>4271</v>
      </c>
      <c r="V624" s="368">
        <f>F624+44</f>
        <v>4265</v>
      </c>
      <c r="W624" s="330">
        <f t="shared" ref="W624" si="1595">+V624*$X$1</f>
        <v>4265</v>
      </c>
      <c r="X624" s="255"/>
      <c r="Y624" s="147"/>
      <c r="Z624" s="145"/>
      <c r="AA624" s="148"/>
      <c r="AB624" s="529" t="s">
        <v>487</v>
      </c>
    </row>
    <row r="625" spans="1:28" ht="12.6" customHeight="1" x14ac:dyDescent="0.2">
      <c r="B625" s="816" t="s">
        <v>767</v>
      </c>
      <c r="C625" s="816"/>
      <c r="D625" s="816"/>
      <c r="E625" s="816"/>
      <c r="F625" s="461"/>
      <c r="G625" s="331"/>
      <c r="H625" s="594"/>
      <c r="I625" s="331"/>
      <c r="J625" s="298"/>
      <c r="K625" s="298"/>
      <c r="L625" s="594"/>
      <c r="M625" s="331"/>
      <c r="N625" s="594"/>
      <c r="O625" s="331"/>
      <c r="P625" s="594"/>
      <c r="Q625" s="331"/>
      <c r="R625" s="594"/>
      <c r="S625" s="331"/>
      <c r="T625" s="594"/>
      <c r="U625" s="331"/>
      <c r="V625" s="594"/>
      <c r="W625" s="331"/>
      <c r="X625" s="290"/>
      <c r="Y625" s="147"/>
      <c r="Z625" s="145"/>
      <c r="AA625" s="148"/>
      <c r="AB625" s="529" t="s">
        <v>768</v>
      </c>
    </row>
    <row r="626" spans="1:28" ht="12.6" customHeight="1" x14ac:dyDescent="0.2">
      <c r="A626" s="12"/>
      <c r="B626" s="1208" t="s">
        <v>352</v>
      </c>
      <c r="C626" s="1208"/>
      <c r="D626" s="1208"/>
      <c r="E626" s="1208"/>
      <c r="F626" s="460">
        <f>35.44*X2</f>
        <v>33242.720000000001</v>
      </c>
      <c r="G626" s="330">
        <f t="shared" ref="G626" si="1596">+F626*$X$1</f>
        <v>33242.720000000001</v>
      </c>
      <c r="H626" s="106"/>
      <c r="I626" s="106"/>
      <c r="J626" s="19"/>
      <c r="K626" s="19"/>
      <c r="L626" s="368">
        <f>F626+220</f>
        <v>33462.720000000001</v>
      </c>
      <c r="M626" s="330">
        <f t="shared" ref="M626" si="1597">+L626*$X$1</f>
        <v>33462.720000000001</v>
      </c>
      <c r="N626" s="368">
        <f>F626+100</f>
        <v>33342.720000000001</v>
      </c>
      <c r="O626" s="330">
        <f t="shared" ref="O626" si="1598">+N626*$X$1</f>
        <v>33342.720000000001</v>
      </c>
      <c r="P626" s="368">
        <f>F626+80</f>
        <v>33322.720000000001</v>
      </c>
      <c r="Q626" s="330">
        <f t="shared" ref="Q626" si="1599">+P626*$X$1</f>
        <v>33322.720000000001</v>
      </c>
      <c r="R626" s="368">
        <f>F626+60</f>
        <v>33302.720000000001</v>
      </c>
      <c r="S626" s="330">
        <f t="shared" ref="S626" si="1600">+R626*$X$1</f>
        <v>33302.720000000001</v>
      </c>
      <c r="T626" s="368">
        <f>F626+50</f>
        <v>33292.720000000001</v>
      </c>
      <c r="U626" s="330">
        <f t="shared" ref="U626" si="1601">+T626*$X$1</f>
        <v>33292.720000000001</v>
      </c>
      <c r="V626" s="368"/>
      <c r="W626" s="330"/>
      <c r="X626" s="145"/>
      <c r="Y626" s="149"/>
      <c r="Z626" s="145"/>
      <c r="AA626" s="148"/>
      <c r="AB626" s="529" t="s">
        <v>505</v>
      </c>
    </row>
    <row r="627" spans="1:28" ht="12.6" customHeight="1" x14ac:dyDescent="0.2">
      <c r="A627" s="12"/>
      <c r="B627" s="1231" t="s">
        <v>504</v>
      </c>
      <c r="C627" s="1231"/>
      <c r="D627" s="1231"/>
      <c r="E627" s="1231"/>
      <c r="F627" s="331"/>
      <c r="G627" s="331"/>
      <c r="H627" s="112"/>
      <c r="I627" s="112"/>
      <c r="J627" s="594"/>
      <c r="K627" s="331"/>
      <c r="L627" s="594"/>
      <c r="M627" s="331"/>
      <c r="N627" s="594"/>
      <c r="O627" s="331"/>
      <c r="P627" s="594"/>
      <c r="Q627" s="331"/>
      <c r="R627" s="594"/>
      <c r="S627" s="331"/>
      <c r="T627" s="594"/>
      <c r="U627" s="331"/>
      <c r="V627" s="614"/>
      <c r="W627" s="615"/>
      <c r="X627" s="145"/>
      <c r="Y627" s="149"/>
      <c r="Z627" s="145"/>
      <c r="AA627" s="148"/>
      <c r="AB627" s="529" t="s">
        <v>353</v>
      </c>
    </row>
    <row r="628" spans="1:28" ht="12.6" customHeight="1" x14ac:dyDescent="0.2">
      <c r="A628" s="219"/>
      <c r="B628" s="789" t="s">
        <v>614</v>
      </c>
      <c r="C628" s="790"/>
      <c r="D628" s="790"/>
      <c r="E628" s="790"/>
      <c r="F628" s="384">
        <v>14100</v>
      </c>
      <c r="G628" s="357">
        <f t="shared" ref="G628" si="1602">+F628*$X$1</f>
        <v>14100</v>
      </c>
      <c r="H628" s="598"/>
      <c r="I628" s="598"/>
      <c r="J628" s="108">
        <f t="shared" ref="J628:J636" si="1603">F628+500</f>
        <v>14600</v>
      </c>
      <c r="K628" s="357">
        <f t="shared" ref="K628:K630" si="1604">+J628*$X$1</f>
        <v>14600</v>
      </c>
      <c r="L628" s="108">
        <f>F628+410</f>
        <v>14510</v>
      </c>
      <c r="M628" s="357">
        <f>+L628*$X$1</f>
        <v>14510</v>
      </c>
      <c r="N628" s="108">
        <f>F628+370</f>
        <v>14470</v>
      </c>
      <c r="O628" s="357">
        <f>+N628*$X$1</f>
        <v>14470</v>
      </c>
      <c r="P628" s="108">
        <f>F628+330</f>
        <v>14430</v>
      </c>
      <c r="Q628" s="357">
        <f>+P628*$X$1</f>
        <v>14430</v>
      </c>
      <c r="R628" s="108">
        <f>F628+290</f>
        <v>14390</v>
      </c>
      <c r="S628" s="357">
        <f>+R628*$X$1</f>
        <v>14390</v>
      </c>
      <c r="T628" s="108">
        <f>F628+240</f>
        <v>14340</v>
      </c>
      <c r="U628" s="357">
        <f t="shared" ref="U628" si="1605">+T628*$X$1</f>
        <v>14340</v>
      </c>
      <c r="V628" s="361"/>
      <c r="W628" s="357"/>
      <c r="X628" s="359"/>
      <c r="Y628" s="359"/>
      <c r="Z628" s="359"/>
      <c r="AA628" s="359"/>
      <c r="AB628" s="529" t="s">
        <v>769</v>
      </c>
    </row>
    <row r="629" spans="1:28" ht="12.6" customHeight="1" x14ac:dyDescent="0.2">
      <c r="A629" s="219"/>
      <c r="B629" s="957" t="s">
        <v>483</v>
      </c>
      <c r="C629" s="786"/>
      <c r="D629" s="786"/>
      <c r="E629" s="786"/>
      <c r="F629" s="383">
        <v>15920</v>
      </c>
      <c r="G629" s="331">
        <f t="shared" ref="G629:G634" si="1606">+F629*$X$1</f>
        <v>15920</v>
      </c>
      <c r="H629" s="298"/>
      <c r="I629" s="298"/>
      <c r="J629" s="594"/>
      <c r="K629" s="331"/>
      <c r="L629" s="594">
        <f>F629+250</f>
        <v>16170</v>
      </c>
      <c r="M629" s="331">
        <f t="shared" ref="M629" si="1607">+L629*$X$1</f>
        <v>16170</v>
      </c>
      <c r="N629" s="594">
        <f>F629+100</f>
        <v>16020</v>
      </c>
      <c r="O629" s="331">
        <f t="shared" ref="O629" si="1608">+N629*$X$1</f>
        <v>16020</v>
      </c>
      <c r="P629" s="594">
        <f>F629+80</f>
        <v>16000</v>
      </c>
      <c r="Q629" s="331">
        <f t="shared" ref="Q629" si="1609">+P629*$X$1</f>
        <v>16000</v>
      </c>
      <c r="R629" s="594">
        <f>F629+60</f>
        <v>15980</v>
      </c>
      <c r="S629" s="331">
        <f t="shared" ref="S629" si="1610">+R629*$X$1</f>
        <v>15980</v>
      </c>
      <c r="T629" s="594">
        <f>F629+50</f>
        <v>15970</v>
      </c>
      <c r="U629" s="331">
        <f t="shared" ref="U629" si="1611">+T629*$X$1</f>
        <v>15970</v>
      </c>
      <c r="V629" s="594"/>
      <c r="W629" s="331"/>
      <c r="X629" s="165"/>
      <c r="Y629" s="165"/>
      <c r="Z629" s="165"/>
      <c r="AA629" s="165"/>
      <c r="AB629" s="529" t="s">
        <v>486</v>
      </c>
    </row>
    <row r="630" spans="1:28" ht="12.6" customHeight="1" x14ac:dyDescent="0.2">
      <c r="A630" s="219"/>
      <c r="B630" s="789" t="s">
        <v>613</v>
      </c>
      <c r="C630" s="790"/>
      <c r="D630" s="790"/>
      <c r="E630" s="790"/>
      <c r="F630" s="384">
        <v>21780</v>
      </c>
      <c r="G630" s="330">
        <f t="shared" ref="G630:G631" si="1612">+F630*$X$1</f>
        <v>21780</v>
      </c>
      <c r="H630" s="368">
        <f>F630+2400</f>
        <v>24180</v>
      </c>
      <c r="I630" s="330">
        <f t="shared" ref="I630" si="1613">+H630*$X$1</f>
        <v>24180</v>
      </c>
      <c r="J630" s="368">
        <f t="shared" si="1603"/>
        <v>22280</v>
      </c>
      <c r="K630" s="330">
        <f t="shared" si="1604"/>
        <v>22280</v>
      </c>
      <c r="L630" s="368">
        <f>F630+250</f>
        <v>22030</v>
      </c>
      <c r="M630" s="330">
        <f t="shared" ref="M630:M631" si="1614">+L630*$X$1</f>
        <v>22030</v>
      </c>
      <c r="N630" s="368">
        <f>F630+100</f>
        <v>21880</v>
      </c>
      <c r="O630" s="330">
        <f t="shared" ref="O630:O631" si="1615">+N630*$X$1</f>
        <v>21880</v>
      </c>
      <c r="P630" s="368">
        <f>F630+80</f>
        <v>21860</v>
      </c>
      <c r="Q630" s="330">
        <f t="shared" ref="Q630:Q631" si="1616">+P630*$X$1</f>
        <v>21860</v>
      </c>
      <c r="R630" s="368">
        <f>F630+60</f>
        <v>21840</v>
      </c>
      <c r="S630" s="330">
        <f t="shared" ref="S630:S631" si="1617">+R630*$X$1</f>
        <v>21840</v>
      </c>
      <c r="T630" s="368">
        <f>F630+50</f>
        <v>21830</v>
      </c>
      <c r="U630" s="330">
        <f t="shared" ref="U630:U636" si="1618">+T630*$X$1</f>
        <v>21830</v>
      </c>
      <c r="V630" s="368"/>
      <c r="W630" s="330"/>
      <c r="X630" s="359"/>
      <c r="Y630" s="359"/>
      <c r="Z630" s="359"/>
      <c r="AA630" s="359"/>
      <c r="AB630" s="529" t="s">
        <v>615</v>
      </c>
    </row>
    <row r="631" spans="1:28" ht="12.6" customHeight="1" x14ac:dyDescent="0.2">
      <c r="A631" s="219"/>
      <c r="B631" s="931" t="s">
        <v>879</v>
      </c>
      <c r="C631" s="932"/>
      <c r="D631" s="932"/>
      <c r="E631" s="932"/>
      <c r="F631" s="383">
        <v>16570</v>
      </c>
      <c r="G631" s="331">
        <f t="shared" si="1612"/>
        <v>16570</v>
      </c>
      <c r="H631" s="633">
        <f>F631+2400</f>
        <v>18970</v>
      </c>
      <c r="I631" s="331">
        <f t="shared" ref="I631" si="1619">+H631*$X$1</f>
        <v>18970</v>
      </c>
      <c r="J631" s="633">
        <f t="shared" ref="J631" si="1620">F631+500</f>
        <v>17070</v>
      </c>
      <c r="K631" s="331">
        <f t="shared" ref="K631" si="1621">+J631*$X$1</f>
        <v>17070</v>
      </c>
      <c r="L631" s="633">
        <f>F631+250</f>
        <v>16820</v>
      </c>
      <c r="M631" s="331">
        <f t="shared" si="1614"/>
        <v>16820</v>
      </c>
      <c r="N631" s="633">
        <f>F631+100</f>
        <v>16670</v>
      </c>
      <c r="O631" s="331">
        <f t="shared" si="1615"/>
        <v>16670</v>
      </c>
      <c r="P631" s="633">
        <f>F631+80</f>
        <v>16650</v>
      </c>
      <c r="Q631" s="331">
        <f t="shared" si="1616"/>
        <v>16650</v>
      </c>
      <c r="R631" s="633">
        <f>F631+60</f>
        <v>16630</v>
      </c>
      <c r="S631" s="331">
        <f t="shared" si="1617"/>
        <v>16630</v>
      </c>
      <c r="T631" s="633">
        <f>F631+50</f>
        <v>16620</v>
      </c>
      <c r="U631" s="331">
        <f t="shared" si="1618"/>
        <v>16620</v>
      </c>
      <c r="V631" s="633"/>
      <c r="W631" s="331"/>
      <c r="X631" s="635"/>
      <c r="Y631" s="635"/>
      <c r="Z631" s="635"/>
      <c r="AA631" s="635"/>
      <c r="AB631" s="529" t="s">
        <v>880</v>
      </c>
    </row>
    <row r="632" spans="1:28" ht="12.6" customHeight="1" x14ac:dyDescent="0.2">
      <c r="A632" s="219"/>
      <c r="B632" s="789" t="s">
        <v>482</v>
      </c>
      <c r="C632" s="790"/>
      <c r="D632" s="790"/>
      <c r="E632" s="790"/>
      <c r="F632" s="384">
        <v>16540</v>
      </c>
      <c r="G632" s="330">
        <f t="shared" si="1606"/>
        <v>16540</v>
      </c>
      <c r="H632" s="301"/>
      <c r="I632" s="301"/>
      <c r="J632" s="368">
        <f t="shared" si="1603"/>
        <v>17040</v>
      </c>
      <c r="K632" s="330">
        <f t="shared" ref="K632:K636" si="1622">+J632*$X$1</f>
        <v>17040</v>
      </c>
      <c r="L632" s="108">
        <f>F632+410</f>
        <v>16950</v>
      </c>
      <c r="M632" s="357">
        <f>+L632*$X$1</f>
        <v>16950</v>
      </c>
      <c r="N632" s="108">
        <f>F632+370</f>
        <v>16910</v>
      </c>
      <c r="O632" s="357">
        <f>+N632*$X$1</f>
        <v>16910</v>
      </c>
      <c r="P632" s="108">
        <f>F632+330</f>
        <v>16870</v>
      </c>
      <c r="Q632" s="357">
        <f>+P632*$X$1</f>
        <v>16870</v>
      </c>
      <c r="R632" s="108">
        <f>F632+290</f>
        <v>16830</v>
      </c>
      <c r="S632" s="357">
        <f>+R632*$X$1</f>
        <v>16830</v>
      </c>
      <c r="T632" s="368">
        <f>F632+240</f>
        <v>16780</v>
      </c>
      <c r="U632" s="330">
        <f t="shared" si="1618"/>
        <v>16780</v>
      </c>
      <c r="V632" s="361"/>
      <c r="W632" s="330"/>
      <c r="X632" s="165"/>
      <c r="Y632" s="165"/>
      <c r="Z632" s="165"/>
      <c r="AA632" s="165"/>
      <c r="AB632" s="529" t="s">
        <v>485</v>
      </c>
    </row>
    <row r="633" spans="1:28" ht="12.6" customHeight="1" x14ac:dyDescent="0.2">
      <c r="A633" s="219"/>
      <c r="B633" s="903" t="s">
        <v>616</v>
      </c>
      <c r="C633" s="904"/>
      <c r="D633" s="904"/>
      <c r="E633" s="904"/>
      <c r="F633" s="464">
        <f>12.4*X2</f>
        <v>11631.2</v>
      </c>
      <c r="G633" s="393">
        <f t="shared" ref="G633" si="1623">+F633*$X$1</f>
        <v>11631.2</v>
      </c>
      <c r="H633" s="299"/>
      <c r="I633" s="299"/>
      <c r="J633" s="629">
        <f t="shared" si="1603"/>
        <v>12131.2</v>
      </c>
      <c r="K633" s="393">
        <f t="shared" si="1622"/>
        <v>12131.2</v>
      </c>
      <c r="L633" s="122">
        <f>F633+410</f>
        <v>12041.2</v>
      </c>
      <c r="M633" s="394">
        <f>+L633*$X$1</f>
        <v>12041.2</v>
      </c>
      <c r="N633" s="122">
        <f>F633+370</f>
        <v>12001.2</v>
      </c>
      <c r="O633" s="394">
        <f>+N633*$X$1</f>
        <v>12001.2</v>
      </c>
      <c r="P633" s="122">
        <f>F633+330</f>
        <v>11961.2</v>
      </c>
      <c r="Q633" s="394">
        <f>+P633*$X$1</f>
        <v>11961.2</v>
      </c>
      <c r="R633" s="122">
        <f>F633+290</f>
        <v>11921.2</v>
      </c>
      <c r="S633" s="394">
        <f>+R633*$X$1</f>
        <v>11921.2</v>
      </c>
      <c r="T633" s="629">
        <f>F633+240</f>
        <v>11871.2</v>
      </c>
      <c r="U633" s="393">
        <f t="shared" si="1618"/>
        <v>11871.2</v>
      </c>
      <c r="V633" s="631"/>
      <c r="W633" s="393"/>
      <c r="X633" s="362"/>
      <c r="Y633" s="362"/>
      <c r="Z633" s="362"/>
      <c r="AA633" s="362"/>
      <c r="AB633" s="529" t="s">
        <v>770</v>
      </c>
    </row>
    <row r="634" spans="1:28" ht="12.6" customHeight="1" x14ac:dyDescent="0.2">
      <c r="A634" s="219"/>
      <c r="B634" s="789" t="s">
        <v>535</v>
      </c>
      <c r="C634" s="790"/>
      <c r="D634" s="790"/>
      <c r="E634" s="790"/>
      <c r="F634" s="460">
        <f>8.7*X2</f>
        <v>8160.5999999999995</v>
      </c>
      <c r="G634" s="330">
        <f t="shared" si="1606"/>
        <v>8160.5999999999995</v>
      </c>
      <c r="H634" s="301"/>
      <c r="I634" s="301"/>
      <c r="J634" s="368">
        <f t="shared" si="1603"/>
        <v>8660.5999999999985</v>
      </c>
      <c r="K634" s="330">
        <f t="shared" si="1622"/>
        <v>8660.5999999999985</v>
      </c>
      <c r="L634" s="108">
        <f>F634+410</f>
        <v>8570.5999999999985</v>
      </c>
      <c r="M634" s="357">
        <f>+L634*$X$1</f>
        <v>8570.5999999999985</v>
      </c>
      <c r="N634" s="108">
        <f>F634+370</f>
        <v>8530.5999999999985</v>
      </c>
      <c r="O634" s="357">
        <f>+N634*$X$1</f>
        <v>8530.5999999999985</v>
      </c>
      <c r="P634" s="108">
        <f>F634+330</f>
        <v>8490.5999999999985</v>
      </c>
      <c r="Q634" s="357">
        <f>+P634*$X$1</f>
        <v>8490.5999999999985</v>
      </c>
      <c r="R634" s="108">
        <f>F634+290</f>
        <v>8450.5999999999985</v>
      </c>
      <c r="S634" s="357">
        <f>+R634*$X$1</f>
        <v>8450.5999999999985</v>
      </c>
      <c r="T634" s="368">
        <f>F634+240</f>
        <v>8400.5999999999985</v>
      </c>
      <c r="U634" s="330">
        <f t="shared" si="1618"/>
        <v>8400.5999999999985</v>
      </c>
      <c r="V634" s="368"/>
      <c r="W634" s="330"/>
      <c r="X634" s="165"/>
      <c r="Y634" s="165"/>
      <c r="Z634" s="165"/>
      <c r="AA634" s="165"/>
      <c r="AB634" s="529" t="s">
        <v>739</v>
      </c>
    </row>
    <row r="635" spans="1:28" ht="12.6" customHeight="1" x14ac:dyDescent="0.2">
      <c r="A635" s="219"/>
      <c r="B635" s="957" t="s">
        <v>773</v>
      </c>
      <c r="C635" s="786"/>
      <c r="D635" s="786"/>
      <c r="E635" s="786"/>
      <c r="F635" s="461">
        <f>14.53*X2</f>
        <v>13629.14</v>
      </c>
      <c r="G635" s="331">
        <f t="shared" ref="G635" si="1624">+F635*$X$1</f>
        <v>13629.14</v>
      </c>
      <c r="H635" s="298"/>
      <c r="I635" s="298"/>
      <c r="J635" s="633">
        <f t="shared" si="1603"/>
        <v>14129.14</v>
      </c>
      <c r="K635" s="331">
        <f t="shared" si="1622"/>
        <v>14129.14</v>
      </c>
      <c r="L635" s="107">
        <f>F635+410</f>
        <v>14039.14</v>
      </c>
      <c r="M635" s="371">
        <f>+L635*$X$1</f>
        <v>14039.14</v>
      </c>
      <c r="N635" s="107">
        <f>F635+370</f>
        <v>13999.14</v>
      </c>
      <c r="O635" s="371">
        <f>+N635*$X$1</f>
        <v>13999.14</v>
      </c>
      <c r="P635" s="107">
        <f>F635+330</f>
        <v>13959.14</v>
      </c>
      <c r="Q635" s="371">
        <f>+P635*$X$1</f>
        <v>13959.14</v>
      </c>
      <c r="R635" s="107">
        <f>F635+290</f>
        <v>13919.14</v>
      </c>
      <c r="S635" s="371">
        <f>+R635*$X$1</f>
        <v>13919.14</v>
      </c>
      <c r="T635" s="633">
        <f>F635+240</f>
        <v>13869.14</v>
      </c>
      <c r="U635" s="331">
        <f t="shared" si="1618"/>
        <v>13869.14</v>
      </c>
      <c r="V635" s="633"/>
      <c r="W635" s="331"/>
      <c r="X635" s="484"/>
      <c r="Y635" s="484"/>
      <c r="Z635" s="484"/>
      <c r="AA635" s="484"/>
      <c r="AB635" s="529" t="s">
        <v>740</v>
      </c>
    </row>
    <row r="636" spans="1:28" ht="12.6" customHeight="1" x14ac:dyDescent="0.2">
      <c r="A636" s="219"/>
      <c r="B636" s="789" t="s">
        <v>534</v>
      </c>
      <c r="C636" s="790"/>
      <c r="D636" s="790"/>
      <c r="E636" s="790"/>
      <c r="F636" s="460">
        <f>10.53*X2</f>
        <v>9877.14</v>
      </c>
      <c r="G636" s="330">
        <f t="shared" ref="G636" si="1625">+F636*$X$1</f>
        <v>9877.14</v>
      </c>
      <c r="H636" s="301"/>
      <c r="I636" s="301"/>
      <c r="J636" s="368">
        <f t="shared" si="1603"/>
        <v>10377.14</v>
      </c>
      <c r="K636" s="330">
        <f t="shared" si="1622"/>
        <v>10377.14</v>
      </c>
      <c r="L636" s="108">
        <f>F636+410</f>
        <v>10287.14</v>
      </c>
      <c r="M636" s="357">
        <f>+L636*$X$1</f>
        <v>10287.14</v>
      </c>
      <c r="N636" s="108">
        <f>F636+370</f>
        <v>10247.14</v>
      </c>
      <c r="O636" s="357">
        <f>+N636*$X$1</f>
        <v>10247.14</v>
      </c>
      <c r="P636" s="108">
        <f>F636+330</f>
        <v>10207.14</v>
      </c>
      <c r="Q636" s="357">
        <f>+P636*$X$1</f>
        <v>10207.14</v>
      </c>
      <c r="R636" s="108">
        <f>F636+290</f>
        <v>10167.14</v>
      </c>
      <c r="S636" s="357">
        <f>+R636*$X$1</f>
        <v>10167.14</v>
      </c>
      <c r="T636" s="368">
        <f>F636+240</f>
        <v>10117.14</v>
      </c>
      <c r="U636" s="330">
        <f t="shared" si="1618"/>
        <v>10117.14</v>
      </c>
      <c r="V636" s="368"/>
      <c r="W636" s="330"/>
      <c r="X636" s="165"/>
      <c r="Y636" s="165"/>
      <c r="Z636" s="165"/>
      <c r="AA636" s="165"/>
      <c r="AB636" s="529" t="s">
        <v>741</v>
      </c>
    </row>
    <row r="637" spans="1:28" ht="12.6" customHeight="1" x14ac:dyDescent="0.2">
      <c r="A637" s="219"/>
      <c r="B637" s="115"/>
      <c r="C637" s="535"/>
      <c r="D637" s="535"/>
      <c r="E637" s="535"/>
      <c r="F637" s="540"/>
      <c r="G637" s="389"/>
      <c r="H637" s="127"/>
      <c r="I637" s="389"/>
      <c r="J637" s="127"/>
      <c r="K637" s="389"/>
      <c r="L637" s="127"/>
      <c r="M637" s="389"/>
      <c r="N637" s="127"/>
      <c r="O637" s="389"/>
      <c r="P637" s="127"/>
      <c r="Q637" s="389"/>
      <c r="R637" s="127"/>
      <c r="S637" s="389"/>
      <c r="T637" s="127"/>
      <c r="U637" s="389"/>
      <c r="V637" s="79"/>
      <c r="W637" s="538"/>
      <c r="X637" s="536"/>
      <c r="Y637" s="536"/>
      <c r="Z637" s="536"/>
      <c r="AA637" s="536"/>
      <c r="AB637" s="541"/>
    </row>
    <row r="638" spans="1:28" ht="12.6" customHeight="1" x14ac:dyDescent="0.2">
      <c r="A638" s="219"/>
      <c r="B638" s="115"/>
      <c r="C638" s="662"/>
      <c r="D638" s="662"/>
      <c r="E638" s="662"/>
      <c r="F638" s="540"/>
      <c r="G638" s="389"/>
      <c r="H638" s="127"/>
      <c r="I638" s="389"/>
      <c r="J638" s="127"/>
      <c r="K638" s="389"/>
      <c r="L638" s="127"/>
      <c r="M638" s="389"/>
      <c r="N638" s="127"/>
      <c r="O638" s="389"/>
      <c r="P638" s="127"/>
      <c r="Q638" s="389"/>
      <c r="R638" s="127"/>
      <c r="S638" s="389"/>
      <c r="T638" s="127"/>
      <c r="U638" s="389"/>
      <c r="V638" s="79"/>
      <c r="W638" s="669"/>
      <c r="X638" s="664"/>
      <c r="Y638" s="664"/>
      <c r="Z638" s="664"/>
      <c r="AA638" s="664"/>
      <c r="AB638" s="541"/>
    </row>
    <row r="639" spans="1:28" ht="12.6" customHeight="1" x14ac:dyDescent="0.2">
      <c r="A639" s="219"/>
      <c r="B639" s="115"/>
      <c r="C639" s="636"/>
      <c r="D639" s="636"/>
      <c r="E639" s="636"/>
      <c r="F639" s="540"/>
      <c r="G639" s="389"/>
      <c r="H639" s="127"/>
      <c r="I639" s="389"/>
      <c r="J639" s="127"/>
      <c r="K639" s="389"/>
      <c r="L639" s="127"/>
      <c r="M639" s="389"/>
      <c r="N639" s="127"/>
      <c r="O639" s="389"/>
      <c r="P639" s="127"/>
      <c r="Q639" s="389"/>
      <c r="R639" s="127"/>
      <c r="S639" s="389"/>
      <c r="T639" s="127"/>
      <c r="U639" s="389"/>
      <c r="V639" s="79"/>
      <c r="W639" s="632"/>
      <c r="X639" s="634"/>
      <c r="Y639" s="634"/>
      <c r="Z639" s="634"/>
      <c r="AA639" s="634"/>
      <c r="AB639" s="541"/>
    </row>
    <row r="640" spans="1:28" ht="12.6" customHeight="1" thickBot="1" x14ac:dyDescent="0.25">
      <c r="A640" s="219"/>
      <c r="B640" s="115"/>
      <c r="C640" s="535"/>
      <c r="D640" s="535"/>
      <c r="E640" s="535"/>
      <c r="F640" s="540"/>
      <c r="G640" s="389"/>
      <c r="H640" s="127"/>
      <c r="I640" s="389"/>
      <c r="J640" s="127"/>
      <c r="K640" s="389"/>
      <c r="L640" s="127"/>
      <c r="M640" s="389"/>
      <c r="N640" s="127"/>
      <c r="O640" s="389"/>
      <c r="P640" s="127"/>
      <c r="Q640" s="389"/>
      <c r="R640" s="127"/>
      <c r="S640" s="389"/>
      <c r="T640" s="127"/>
      <c r="U640" s="389"/>
      <c r="V640" s="79"/>
      <c r="W640" s="538"/>
      <c r="X640" s="536"/>
      <c r="Y640" s="536"/>
      <c r="Z640" s="536"/>
      <c r="AA640" s="536"/>
      <c r="AB640" s="541"/>
    </row>
    <row r="641" spans="1:35" ht="20.25" customHeight="1" thickBot="1" x14ac:dyDescent="0.25">
      <c r="A641" s="30"/>
      <c r="B641" s="1175" t="s">
        <v>354</v>
      </c>
      <c r="C641" s="1176"/>
      <c r="D641" s="1176"/>
      <c r="E641" s="1176"/>
      <c r="F641" s="1176"/>
      <c r="G641" s="1176"/>
      <c r="H641" s="1176"/>
      <c r="I641" s="1176"/>
      <c r="J641" s="1176"/>
      <c r="K641" s="1176"/>
      <c r="L641" s="1176"/>
      <c r="M641" s="1176"/>
      <c r="N641" s="1176"/>
      <c r="O641" s="1176"/>
      <c r="P641" s="1176"/>
      <c r="Q641" s="1176"/>
      <c r="R641" s="1176"/>
      <c r="S641" s="1176"/>
      <c r="T641" s="1176"/>
      <c r="U641" s="1176"/>
      <c r="V641" s="1176"/>
      <c r="W641" s="1177"/>
      <c r="AF641" s="727"/>
      <c r="AG641" s="728"/>
      <c r="AH641" s="728"/>
    </row>
    <row r="642" spans="1:35" ht="12.6" customHeight="1" x14ac:dyDescent="0.2">
      <c r="A642" s="20"/>
      <c r="B642" s="964"/>
      <c r="C642" s="965"/>
      <c r="D642" s="965"/>
      <c r="E642" s="965"/>
      <c r="F642" s="965"/>
      <c r="G642" s="966"/>
      <c r="H642" s="341"/>
      <c r="I642" s="342" t="s">
        <v>307</v>
      </c>
      <c r="J642" s="342"/>
      <c r="K642" s="342" t="s">
        <v>18</v>
      </c>
      <c r="L642" s="342"/>
      <c r="M642" s="342" t="s">
        <v>19</v>
      </c>
      <c r="N642" s="342"/>
      <c r="O642" s="342" t="s">
        <v>20</v>
      </c>
      <c r="P642" s="342"/>
      <c r="Q642" s="342" t="s">
        <v>309</v>
      </c>
      <c r="R642" s="342"/>
      <c r="S642" s="342" t="s">
        <v>21</v>
      </c>
      <c r="T642" s="342"/>
      <c r="U642" s="342" t="s">
        <v>22</v>
      </c>
      <c r="V642" s="342"/>
      <c r="W642" s="343" t="s">
        <v>23</v>
      </c>
    </row>
    <row r="643" spans="1:35" ht="12.6" customHeight="1" x14ac:dyDescent="0.2">
      <c r="A643" s="953"/>
      <c r="B643" s="1203" t="s">
        <v>580</v>
      </c>
      <c r="C643" s="1204"/>
      <c r="D643" s="1204"/>
      <c r="E643" s="1204"/>
      <c r="F643" s="1204"/>
      <c r="G643" s="1205"/>
      <c r="H643" s="339"/>
      <c r="I643" s="486"/>
      <c r="J643" s="487"/>
      <c r="K643" s="436"/>
      <c r="L643" s="338">
        <v>50</v>
      </c>
      <c r="M643" s="436">
        <f>+L643*$X$1</f>
        <v>50</v>
      </c>
      <c r="N643" s="485">
        <v>40</v>
      </c>
      <c r="O643" s="436">
        <f>+N643*$X$1</f>
        <v>40</v>
      </c>
      <c r="P643" s="485">
        <v>35</v>
      </c>
      <c r="Q643" s="436">
        <f>+P643*$X$1</f>
        <v>35</v>
      </c>
      <c r="R643" s="485">
        <v>31</v>
      </c>
      <c r="S643" s="436">
        <f>+R643*$X$1</f>
        <v>31</v>
      </c>
      <c r="T643" s="485">
        <v>28</v>
      </c>
      <c r="U643" s="437">
        <f>+T643*$X$1</f>
        <v>28</v>
      </c>
      <c r="V643" s="485">
        <v>25</v>
      </c>
      <c r="W643" s="438">
        <f>+V643*$X$1</f>
        <v>25</v>
      </c>
    </row>
    <row r="644" spans="1:35" ht="12.6" customHeight="1" x14ac:dyDescent="0.2">
      <c r="A644" s="953"/>
      <c r="B644" s="1076" t="s">
        <v>355</v>
      </c>
      <c r="C644" s="1077"/>
      <c r="D644" s="1077"/>
      <c r="E644" s="1077"/>
      <c r="F644" s="1077"/>
      <c r="G644" s="1078"/>
      <c r="H644" s="79"/>
      <c r="I644" s="488"/>
      <c r="J644" s="489">
        <v>120</v>
      </c>
      <c r="K644" s="439">
        <f>+J644*$X$1</f>
        <v>120</v>
      </c>
      <c r="L644" s="490">
        <v>90</v>
      </c>
      <c r="M644" s="491">
        <f>+L644*$X$1</f>
        <v>90</v>
      </c>
      <c r="N644" s="120">
        <v>70</v>
      </c>
      <c r="O644" s="491">
        <f>+N644*$X$1</f>
        <v>70</v>
      </c>
      <c r="P644" s="120">
        <v>60</v>
      </c>
      <c r="Q644" s="491">
        <f>+P644*$X$1</f>
        <v>60</v>
      </c>
      <c r="R644" s="120">
        <v>50</v>
      </c>
      <c r="S644" s="491">
        <f>+R644*$X$1</f>
        <v>50</v>
      </c>
      <c r="T644" s="120">
        <v>45</v>
      </c>
      <c r="U644" s="491">
        <f>+T644*$X$1</f>
        <v>45</v>
      </c>
      <c r="V644" s="120">
        <v>40</v>
      </c>
      <c r="W644" s="492">
        <f>+V644*$X$1</f>
        <v>40</v>
      </c>
    </row>
    <row r="645" spans="1:35" ht="12.6" customHeight="1" x14ac:dyDescent="0.2">
      <c r="A645" s="953"/>
      <c r="B645" s="1203" t="s">
        <v>581</v>
      </c>
      <c r="C645" s="1204"/>
      <c r="D645" s="1204"/>
      <c r="E645" s="1204"/>
      <c r="F645" s="1204"/>
      <c r="G645" s="1205"/>
      <c r="H645" s="338"/>
      <c r="I645" s="436"/>
      <c r="J645" s="338"/>
      <c r="K645" s="436"/>
      <c r="L645" s="338">
        <v>75</v>
      </c>
      <c r="M645" s="436">
        <f>+L645*$X$1</f>
        <v>75</v>
      </c>
      <c r="N645" s="485">
        <v>60</v>
      </c>
      <c r="O645" s="436">
        <f>+N645*$X$1</f>
        <v>60</v>
      </c>
      <c r="P645" s="485">
        <v>55</v>
      </c>
      <c r="Q645" s="436">
        <f>+P645*$X$1</f>
        <v>55</v>
      </c>
      <c r="R645" s="485">
        <v>50</v>
      </c>
      <c r="S645" s="436">
        <f>+R645*$X$1</f>
        <v>50</v>
      </c>
      <c r="T645" s="485">
        <v>46</v>
      </c>
      <c r="U645" s="437">
        <f>+T645*$X$1</f>
        <v>46</v>
      </c>
      <c r="V645" s="485">
        <v>42</v>
      </c>
      <c r="W645" s="438">
        <f>+V645*$X$1</f>
        <v>42</v>
      </c>
    </row>
    <row r="646" spans="1:35" ht="12.6" customHeight="1" x14ac:dyDescent="0.2">
      <c r="A646" s="953"/>
      <c r="B646" s="1227" t="s">
        <v>579</v>
      </c>
      <c r="C646" s="1228"/>
      <c r="D646" s="1228"/>
      <c r="E646" s="1228"/>
      <c r="F646" s="1228"/>
      <c r="G646" s="1229"/>
      <c r="H646" s="493">
        <v>290</v>
      </c>
      <c r="I646" s="439">
        <f>+H646*$X$1</f>
        <v>290</v>
      </c>
      <c r="J646" s="493">
        <v>150</v>
      </c>
      <c r="K646" s="439">
        <f>+J646*$X$1</f>
        <v>150</v>
      </c>
      <c r="L646" s="493">
        <v>120</v>
      </c>
      <c r="M646" s="439">
        <f>+L646*$X$1</f>
        <v>120</v>
      </c>
      <c r="N646" s="368">
        <v>100</v>
      </c>
      <c r="O646" s="439">
        <f>+N646*$X$1</f>
        <v>100</v>
      </c>
      <c r="P646" s="368">
        <v>85</v>
      </c>
      <c r="Q646" s="439">
        <f>+P646*$X$1</f>
        <v>85</v>
      </c>
      <c r="R646" s="368">
        <v>78</v>
      </c>
      <c r="S646" s="439">
        <f>+R646*$X$1</f>
        <v>78</v>
      </c>
      <c r="T646" s="368">
        <v>73</v>
      </c>
      <c r="U646" s="491">
        <f>+T646*$X$1</f>
        <v>73</v>
      </c>
      <c r="V646" s="368">
        <v>68</v>
      </c>
      <c r="W646" s="494">
        <f>+V646*$X$1</f>
        <v>68</v>
      </c>
    </row>
    <row r="647" spans="1:35" ht="12.75" customHeight="1" thickBot="1" x14ac:dyDescent="0.25">
      <c r="A647" s="953"/>
      <c r="B647" s="1198" t="s">
        <v>582</v>
      </c>
      <c r="C647" s="1199"/>
      <c r="D647" s="1199"/>
      <c r="E647" s="1199"/>
      <c r="F647" s="1199"/>
      <c r="G647" s="1199"/>
      <c r="H647" s="1199"/>
      <c r="I647" s="1199"/>
      <c r="J647" s="1199"/>
      <c r="K647" s="1199"/>
      <c r="L647" s="1199"/>
      <c r="M647" s="1199"/>
      <c r="N647" s="1199"/>
      <c r="O647" s="1199"/>
      <c r="P647" s="1199"/>
      <c r="Q647" s="1199"/>
      <c r="R647" s="1199"/>
      <c r="S647" s="1199"/>
      <c r="T647" s="1199"/>
      <c r="U647" s="1199"/>
      <c r="V647" s="1199"/>
      <c r="W647" s="1200"/>
    </row>
    <row r="648" spans="1:35" ht="13.5" customHeight="1" x14ac:dyDescent="0.2">
      <c r="A648" s="953"/>
      <c r="B648" s="1178" t="s">
        <v>659</v>
      </c>
      <c r="C648" s="1179"/>
      <c r="D648" s="1179"/>
      <c r="E648" s="1179"/>
      <c r="F648" s="1179"/>
      <c r="G648" s="1180"/>
      <c r="H648" s="1079"/>
      <c r="I648" s="982" t="s">
        <v>307</v>
      </c>
      <c r="J648" s="1079"/>
      <c r="K648" s="982" t="s">
        <v>18</v>
      </c>
      <c r="L648" s="982"/>
      <c r="M648" s="982" t="s">
        <v>19</v>
      </c>
      <c r="N648" s="982"/>
      <c r="O648" s="982" t="s">
        <v>20</v>
      </c>
      <c r="P648" s="982"/>
      <c r="Q648" s="982" t="s">
        <v>309</v>
      </c>
      <c r="R648" s="982"/>
      <c r="S648" s="982" t="s">
        <v>21</v>
      </c>
      <c r="T648" s="982"/>
      <c r="U648" s="982" t="s">
        <v>22</v>
      </c>
      <c r="V648" s="982"/>
      <c r="W648" s="1209" t="s">
        <v>23</v>
      </c>
    </row>
    <row r="649" spans="1:35" ht="11.25" customHeight="1" x14ac:dyDescent="0.2">
      <c r="A649" s="953"/>
      <c r="B649" s="1181"/>
      <c r="C649" s="1060"/>
      <c r="D649" s="1060"/>
      <c r="E649" s="1060"/>
      <c r="F649" s="1060"/>
      <c r="G649" s="1182"/>
      <c r="H649" s="1080"/>
      <c r="I649" s="1211"/>
      <c r="J649" s="1080"/>
      <c r="K649" s="1211"/>
      <c r="L649" s="983"/>
      <c r="M649" s="983"/>
      <c r="N649" s="983"/>
      <c r="O649" s="983"/>
      <c r="P649" s="983"/>
      <c r="Q649" s="983"/>
      <c r="R649" s="983"/>
      <c r="S649" s="983"/>
      <c r="T649" s="983"/>
      <c r="U649" s="983"/>
      <c r="V649" s="983"/>
      <c r="W649" s="1210"/>
      <c r="AB649" s="63"/>
      <c r="AC649" s="63"/>
      <c r="AD649" s="63"/>
      <c r="AE649" s="63"/>
      <c r="AF649" s="63"/>
      <c r="AG649" s="63"/>
      <c r="AH649" s="63"/>
      <c r="AI649" s="63"/>
    </row>
    <row r="650" spans="1:35" ht="12.6" customHeight="1" x14ac:dyDescent="0.2">
      <c r="A650" s="953"/>
      <c r="B650" s="958" t="s">
        <v>657</v>
      </c>
      <c r="C650" s="959"/>
      <c r="D650" s="959"/>
      <c r="E650" s="959"/>
      <c r="F650" s="959"/>
      <c r="G650" s="960"/>
      <c r="H650" s="340">
        <v>510</v>
      </c>
      <c r="I650" s="440">
        <f>+H650*$X$1</f>
        <v>510</v>
      </c>
      <c r="J650" s="93">
        <v>410</v>
      </c>
      <c r="K650" s="440">
        <f>+J650*$X$1</f>
        <v>410</v>
      </c>
      <c r="L650" s="485">
        <v>360</v>
      </c>
      <c r="M650" s="436">
        <f>+L650*$X$1</f>
        <v>360</v>
      </c>
      <c r="N650" s="485">
        <v>320</v>
      </c>
      <c r="O650" s="436">
        <f>+N650*$X$1</f>
        <v>320</v>
      </c>
      <c r="P650" s="485">
        <v>270</v>
      </c>
      <c r="Q650" s="436">
        <f>+P650*$X$1</f>
        <v>270</v>
      </c>
      <c r="R650" s="485">
        <v>250</v>
      </c>
      <c r="S650" s="436">
        <f>+R650*$X$1</f>
        <v>250</v>
      </c>
      <c r="T650" s="485">
        <v>230</v>
      </c>
      <c r="U650" s="436">
        <f>+T650*$X$1</f>
        <v>230</v>
      </c>
      <c r="V650" s="485">
        <v>220</v>
      </c>
      <c r="W650" s="438">
        <f>+V650*$X$1</f>
        <v>220</v>
      </c>
    </row>
    <row r="651" spans="1:35" ht="12.6" customHeight="1" x14ac:dyDescent="0.2">
      <c r="A651" s="953"/>
      <c r="B651" s="954" t="s">
        <v>654</v>
      </c>
      <c r="C651" s="955"/>
      <c r="D651" s="955"/>
      <c r="E651" s="955"/>
      <c r="F651" s="955"/>
      <c r="G651" s="956"/>
      <c r="H651" s="96">
        <v>570</v>
      </c>
      <c r="I651" s="496">
        <f>+H651*$X$1</f>
        <v>570</v>
      </c>
      <c r="J651" s="75">
        <v>480</v>
      </c>
      <c r="K651" s="496">
        <f>+J651*$X$1</f>
        <v>480</v>
      </c>
      <c r="L651" s="368">
        <v>450</v>
      </c>
      <c r="M651" s="439">
        <f>+L651*$X$1</f>
        <v>450</v>
      </c>
      <c r="N651" s="368">
        <v>410</v>
      </c>
      <c r="O651" s="439">
        <f>+N651*$X$1</f>
        <v>410</v>
      </c>
      <c r="P651" s="368">
        <v>380</v>
      </c>
      <c r="Q651" s="439">
        <f>+P651*$X$1</f>
        <v>380</v>
      </c>
      <c r="R651" s="368">
        <v>350</v>
      </c>
      <c r="S651" s="439">
        <f>+R651*$X$1</f>
        <v>350</v>
      </c>
      <c r="T651" s="368">
        <v>330</v>
      </c>
      <c r="U651" s="439">
        <f>+T651*$X$1</f>
        <v>330</v>
      </c>
      <c r="V651" s="368">
        <v>310</v>
      </c>
      <c r="W651" s="494">
        <f>+V651*$X$1</f>
        <v>310</v>
      </c>
    </row>
    <row r="652" spans="1:35" ht="12.6" customHeight="1" x14ac:dyDescent="0.2">
      <c r="A652" s="953"/>
      <c r="B652" s="958" t="s">
        <v>656</v>
      </c>
      <c r="C652" s="959"/>
      <c r="D652" s="959"/>
      <c r="E652" s="959"/>
      <c r="F652" s="959"/>
      <c r="G652" s="960"/>
      <c r="H652" s="340">
        <v>780</v>
      </c>
      <c r="I652" s="440">
        <f>+H652*$X$1</f>
        <v>780</v>
      </c>
      <c r="J652" s="93">
        <v>700</v>
      </c>
      <c r="K652" s="440">
        <f>+J652*$X$1</f>
        <v>700</v>
      </c>
      <c r="L652" s="485">
        <v>600</v>
      </c>
      <c r="M652" s="436">
        <f>+L652*$X$1</f>
        <v>600</v>
      </c>
      <c r="N652" s="485">
        <v>550</v>
      </c>
      <c r="O652" s="436">
        <f>+N652*$X$1</f>
        <v>550</v>
      </c>
      <c r="P652" s="485">
        <v>510</v>
      </c>
      <c r="Q652" s="436">
        <f>+P652*$X$1</f>
        <v>510</v>
      </c>
      <c r="R652" s="485">
        <v>490</v>
      </c>
      <c r="S652" s="436">
        <f>+R652*$X$1</f>
        <v>490</v>
      </c>
      <c r="T652" s="485">
        <v>480</v>
      </c>
      <c r="U652" s="436">
        <f>+T652*$X$1</f>
        <v>480</v>
      </c>
      <c r="V652" s="485">
        <v>460</v>
      </c>
      <c r="W652" s="438">
        <f>+V652*$X$1</f>
        <v>460</v>
      </c>
    </row>
    <row r="653" spans="1:35" ht="12.6" customHeight="1" thickBot="1" x14ac:dyDescent="0.25">
      <c r="A653" s="953"/>
      <c r="B653" s="961" t="s">
        <v>655</v>
      </c>
      <c r="C653" s="962"/>
      <c r="D653" s="962"/>
      <c r="E653" s="962"/>
      <c r="F653" s="962"/>
      <c r="G653" s="963"/>
      <c r="H653" s="495">
        <v>1060</v>
      </c>
      <c r="I653" s="497">
        <f>+H653*$X$1</f>
        <v>1060</v>
      </c>
      <c r="J653" s="498">
        <v>920</v>
      </c>
      <c r="K653" s="499">
        <f>+J653*$X$1</f>
        <v>920</v>
      </c>
      <c r="L653" s="500">
        <v>800</v>
      </c>
      <c r="M653" s="501">
        <f>+L653*$X$1</f>
        <v>800</v>
      </c>
      <c r="N653" s="500">
        <v>740</v>
      </c>
      <c r="O653" s="501">
        <f>+N653*$X$1</f>
        <v>740</v>
      </c>
      <c r="P653" s="500">
        <v>710</v>
      </c>
      <c r="Q653" s="501">
        <f>+P653*$X$1</f>
        <v>710</v>
      </c>
      <c r="R653" s="500">
        <v>690</v>
      </c>
      <c r="S653" s="501">
        <f>+R653*$X$1</f>
        <v>690</v>
      </c>
      <c r="T653" s="500">
        <v>670</v>
      </c>
      <c r="U653" s="501">
        <f>+T653*$X$1</f>
        <v>670</v>
      </c>
      <c r="V653" s="500">
        <v>650</v>
      </c>
      <c r="W653" s="502">
        <f>+V653*$X$1</f>
        <v>650</v>
      </c>
    </row>
    <row r="654" spans="1:35" ht="8.25" customHeight="1" x14ac:dyDescent="0.2">
      <c r="A654" s="219"/>
      <c r="B654" s="220"/>
      <c r="C654" s="220"/>
      <c r="D654" s="220"/>
      <c r="E654" s="220"/>
      <c r="F654" s="221"/>
      <c r="G654" s="221"/>
      <c r="H654" s="79"/>
      <c r="I654" s="222"/>
      <c r="J654" s="222"/>
      <c r="K654" s="222"/>
      <c r="L654" s="222"/>
      <c r="M654" s="222"/>
      <c r="N654" s="222"/>
      <c r="O654" s="222"/>
      <c r="P654" s="222"/>
      <c r="Q654" s="222"/>
      <c r="R654" s="222"/>
      <c r="S654" s="222"/>
      <c r="T654" s="222"/>
      <c r="U654" s="222"/>
      <c r="V654" s="79"/>
      <c r="W654" s="214"/>
      <c r="X654" s="213"/>
      <c r="Y654" s="213"/>
      <c r="Z654" s="213"/>
      <c r="AA654" s="213"/>
      <c r="AB654" s="223"/>
    </row>
    <row r="655" spans="1:35" ht="13.5" customHeight="1" x14ac:dyDescent="0.2">
      <c r="B655" s="1074" t="s">
        <v>590</v>
      </c>
      <c r="C655" s="1075"/>
      <c r="D655" s="1075"/>
      <c r="E655" s="1075"/>
      <c r="F655" s="1075"/>
      <c r="G655" s="1075"/>
      <c r="H655" s="1075"/>
      <c r="I655" s="1075"/>
      <c r="J655" s="1075"/>
      <c r="K655" s="73" t="s">
        <v>583</v>
      </c>
      <c r="L655" s="74">
        <v>22</v>
      </c>
      <c r="M655" s="435">
        <f>+L655*$X$1</f>
        <v>22</v>
      </c>
      <c r="N655" s="72"/>
      <c r="O655" s="73" t="s">
        <v>584</v>
      </c>
      <c r="P655" s="74">
        <v>20</v>
      </c>
      <c r="Q655" s="435">
        <f>+P655*$X$1</f>
        <v>20</v>
      </c>
      <c r="R655" s="50"/>
      <c r="S655" s="50"/>
      <c r="T655" s="50"/>
      <c r="U655" s="50"/>
      <c r="V655" s="50"/>
      <c r="W655" s="50"/>
    </row>
    <row r="656" spans="1:35" ht="9.75" customHeight="1" x14ac:dyDescent="0.2">
      <c r="B656" s="53"/>
      <c r="C656" s="187"/>
      <c r="D656" s="187"/>
      <c r="E656" s="187"/>
      <c r="F656" s="187"/>
      <c r="G656" s="187"/>
      <c r="H656" s="187"/>
      <c r="I656" s="187"/>
      <c r="J656" s="187"/>
      <c r="K656" s="54"/>
      <c r="L656" s="55"/>
      <c r="M656" s="56"/>
      <c r="N656" s="50"/>
      <c r="O656" s="54"/>
      <c r="P656" s="55"/>
      <c r="Q656" s="56"/>
      <c r="R656" s="50"/>
      <c r="S656" s="50"/>
      <c r="T656" s="50"/>
      <c r="U656" s="50"/>
      <c r="V656" s="50"/>
      <c r="W656" s="50"/>
    </row>
    <row r="657" spans="2:34" x14ac:dyDescent="0.2">
      <c r="B657" s="3"/>
      <c r="C657" s="1072" t="s">
        <v>356</v>
      </c>
      <c r="D657" s="1073"/>
      <c r="E657" s="1073"/>
      <c r="F657" s="1073"/>
      <c r="G657" s="1073"/>
      <c r="H657" s="1073"/>
      <c r="I657" s="1073"/>
      <c r="J657" s="4"/>
      <c r="K657" s="4"/>
      <c r="L657" s="3"/>
      <c r="M657" s="3"/>
      <c r="N657" s="3"/>
      <c r="O657" s="3"/>
      <c r="P657" s="3"/>
      <c r="Q657" s="3"/>
      <c r="R657" s="3"/>
      <c r="S657" s="3"/>
      <c r="T657" s="3"/>
      <c r="U657" s="3"/>
      <c r="V657" s="8"/>
      <c r="W657" s="8"/>
    </row>
    <row r="658" spans="2:34" ht="12.6" customHeight="1" x14ac:dyDescent="0.2">
      <c r="B658" s="3"/>
      <c r="C658" s="1043" t="s">
        <v>357</v>
      </c>
      <c r="D658" s="1044"/>
      <c r="E658" s="1044"/>
      <c r="F658" s="1044"/>
      <c r="G658" s="1045"/>
      <c r="H658" s="542"/>
      <c r="I658" s="537"/>
      <c r="J658" s="4"/>
      <c r="K658" s="4"/>
      <c r="L658" s="39"/>
      <c r="M658" s="3"/>
      <c r="N658" s="3"/>
      <c r="O658" s="3"/>
      <c r="P658" s="3"/>
      <c r="Q658" s="3"/>
      <c r="R658" s="3"/>
      <c r="S658" s="3"/>
      <c r="T658" s="3"/>
      <c r="U658" s="3"/>
      <c r="V658" s="8"/>
      <c r="W658" s="8"/>
    </row>
    <row r="659" spans="2:34" ht="12.6" customHeight="1" x14ac:dyDescent="0.2">
      <c r="B659" s="3"/>
      <c r="C659" s="1069" t="s">
        <v>358</v>
      </c>
      <c r="D659" s="1070"/>
      <c r="E659" s="1070"/>
      <c r="F659" s="1070"/>
      <c r="G659" s="1071"/>
      <c r="H659" s="45"/>
      <c r="I659" s="543"/>
      <c r="J659" s="4"/>
      <c r="K659" s="4"/>
      <c r="L659" s="3"/>
      <c r="M659" s="3"/>
      <c r="N659" s="3"/>
      <c r="O659" s="3"/>
      <c r="P659" s="3"/>
      <c r="Q659" s="3"/>
      <c r="R659" s="3"/>
      <c r="S659" s="3"/>
      <c r="T659" s="3"/>
      <c r="U659" s="3"/>
      <c r="V659" s="8"/>
      <c r="W659" s="8"/>
    </row>
    <row r="660" spans="2:34" ht="12.6" customHeight="1" x14ac:dyDescent="0.2">
      <c r="B660" s="3"/>
      <c r="C660" s="1069" t="s">
        <v>359</v>
      </c>
      <c r="D660" s="1070"/>
      <c r="E660" s="1070"/>
      <c r="F660" s="1070"/>
      <c r="G660" s="1071"/>
      <c r="H660" s="47"/>
      <c r="I660" s="434"/>
      <c r="J660" s="4"/>
      <c r="K660" s="4"/>
      <c r="L660" s="3"/>
      <c r="M660" s="3"/>
      <c r="N660" s="3"/>
      <c r="O660" s="3"/>
      <c r="P660" s="3"/>
      <c r="Q660" s="3"/>
      <c r="R660" s="3"/>
      <c r="S660" s="3"/>
      <c r="T660" s="3"/>
      <c r="U660" s="3"/>
      <c r="V660" s="8"/>
      <c r="W660" s="8"/>
    </row>
    <row r="661" spans="2:34" ht="15.95" customHeight="1" x14ac:dyDescent="0.2">
      <c r="B661" s="3"/>
      <c r="C661" s="1055" t="s">
        <v>652</v>
      </c>
      <c r="D661" s="1056"/>
      <c r="E661" s="1056"/>
      <c r="F661" s="1056"/>
      <c r="G661" s="1056"/>
      <c r="H661" s="1057"/>
      <c r="I661" s="1058"/>
      <c r="J661" s="4"/>
      <c r="K661" s="4"/>
      <c r="L661" s="3"/>
      <c r="M661" s="3"/>
      <c r="N661" s="3"/>
      <c r="O661" s="3"/>
      <c r="P661" s="3"/>
      <c r="Q661" s="3"/>
      <c r="R661" s="3"/>
      <c r="S661" s="3"/>
      <c r="T661" s="3"/>
      <c r="U661" s="3"/>
      <c r="V661" s="8"/>
      <c r="W661" s="8"/>
    </row>
    <row r="662" spans="2:34" ht="15.75" customHeight="1" x14ac:dyDescent="0.2">
      <c r="B662" s="3"/>
      <c r="C662" s="1059"/>
      <c r="D662" s="1060"/>
      <c r="E662" s="1060"/>
      <c r="F662" s="1060"/>
      <c r="G662" s="1060"/>
      <c r="H662" s="1061"/>
      <c r="I662" s="1062"/>
      <c r="J662" s="4"/>
      <c r="K662" s="4"/>
      <c r="L662" s="3"/>
      <c r="M662" s="3"/>
      <c r="N662" s="3"/>
      <c r="O662" s="3"/>
      <c r="P662" s="3"/>
      <c r="Q662" s="3"/>
      <c r="R662" s="3"/>
      <c r="S662" s="3"/>
      <c r="T662" s="3"/>
      <c r="U662" s="3"/>
      <c r="V662" s="8"/>
      <c r="W662" s="8"/>
    </row>
    <row r="663" spans="2:34" ht="12.6" customHeight="1" thickBot="1" x14ac:dyDescent="0.25">
      <c r="B663" s="4"/>
      <c r="C663" s="52"/>
      <c r="D663" s="52"/>
      <c r="E663" s="52"/>
      <c r="F663" s="52"/>
      <c r="G663" s="52"/>
      <c r="H663" s="46"/>
      <c r="I663" s="399"/>
      <c r="J663" s="4"/>
      <c r="K663" s="4"/>
      <c r="L663" s="3"/>
      <c r="M663" s="3"/>
      <c r="N663" s="3"/>
      <c r="O663" s="3"/>
      <c r="P663" s="3"/>
      <c r="Q663" s="3"/>
      <c r="R663" s="3"/>
      <c r="S663" s="3"/>
      <c r="T663" s="3"/>
      <c r="U663" s="3"/>
      <c r="V663" s="8"/>
      <c r="W663" s="8"/>
    </row>
    <row r="664" spans="2:34" ht="13.5" customHeight="1" x14ac:dyDescent="0.2">
      <c r="B664" s="1183" t="s">
        <v>636</v>
      </c>
      <c r="C664" s="1184"/>
      <c r="D664" s="1184"/>
      <c r="E664" s="1184"/>
      <c r="F664" s="1184"/>
      <c r="G664" s="1184"/>
      <c r="H664" s="1184"/>
      <c r="I664" s="1184"/>
      <c r="J664" s="1184"/>
      <c r="K664" s="1184"/>
      <c r="L664" s="1184"/>
      <c r="M664" s="1184"/>
      <c r="N664" s="1184"/>
      <c r="O664" s="1184"/>
      <c r="P664" s="1184"/>
      <c r="Q664" s="1184"/>
      <c r="R664" s="1184"/>
      <c r="S664" s="1184"/>
      <c r="T664" s="1184"/>
      <c r="U664" s="1184"/>
      <c r="V664" s="1184"/>
      <c r="W664" s="1185"/>
    </row>
    <row r="665" spans="2:34" ht="13.5" customHeight="1" x14ac:dyDescent="0.2">
      <c r="B665" s="1186"/>
      <c r="C665" s="1187"/>
      <c r="D665" s="1187"/>
      <c r="E665" s="1187"/>
      <c r="F665" s="1187"/>
      <c r="G665" s="1187"/>
      <c r="H665" s="1187"/>
      <c r="I665" s="1187"/>
      <c r="J665" s="1187"/>
      <c r="K665" s="1187"/>
      <c r="L665" s="1187"/>
      <c r="M665" s="1187"/>
      <c r="N665" s="1187"/>
      <c r="O665" s="1187"/>
      <c r="P665" s="1187"/>
      <c r="Q665" s="1187"/>
      <c r="R665" s="1187"/>
      <c r="S665" s="1187"/>
      <c r="T665" s="1187"/>
      <c r="U665" s="1187"/>
      <c r="V665" s="1187"/>
      <c r="W665" s="1188"/>
    </row>
    <row r="666" spans="2:34" ht="13.5" customHeight="1" thickBot="1" x14ac:dyDescent="0.25">
      <c r="B666" s="1189"/>
      <c r="C666" s="1190"/>
      <c r="D666" s="1190"/>
      <c r="E666" s="1190"/>
      <c r="F666" s="1190"/>
      <c r="G666" s="1190"/>
      <c r="H666" s="1190"/>
      <c r="I666" s="1190"/>
      <c r="J666" s="1190"/>
      <c r="K666" s="1190"/>
      <c r="L666" s="1190"/>
      <c r="M666" s="1190"/>
      <c r="N666" s="1190"/>
      <c r="O666" s="1190"/>
      <c r="P666" s="1190"/>
      <c r="Q666" s="1190"/>
      <c r="R666" s="1190"/>
      <c r="S666" s="1190"/>
      <c r="T666" s="1190"/>
      <c r="U666" s="1190"/>
      <c r="V666" s="1190"/>
      <c r="W666" s="1191"/>
    </row>
    <row r="667" spans="2:34" ht="12.6" customHeight="1" x14ac:dyDescent="0.2">
      <c r="B667" s="4"/>
      <c r="C667" s="44"/>
      <c r="D667" s="44"/>
      <c r="E667" s="44"/>
      <c r="F667" s="44"/>
      <c r="G667" s="44"/>
      <c r="H667" s="46"/>
      <c r="I667" s="46"/>
      <c r="J667" s="4"/>
      <c r="K667" s="4"/>
      <c r="L667" s="3"/>
      <c r="M667" s="3"/>
      <c r="N667" s="3"/>
      <c r="O667" s="3"/>
      <c r="P667" s="3"/>
      <c r="Q667" s="3"/>
      <c r="R667" s="3"/>
      <c r="S667" s="3"/>
      <c r="T667" s="3"/>
      <c r="U667" s="3"/>
      <c r="V667" s="8"/>
      <c r="W667" s="8"/>
    </row>
    <row r="668" spans="2:34" ht="23.25" customHeight="1" x14ac:dyDescent="0.2">
      <c r="B668" s="3"/>
      <c r="C668" s="1192" t="s">
        <v>771</v>
      </c>
      <c r="D668" s="1193"/>
      <c r="E668" s="1193"/>
      <c r="F668" s="1193"/>
      <c r="G668" s="1193"/>
      <c r="H668" s="1193"/>
      <c r="I668" s="1194"/>
      <c r="J668" s="48"/>
      <c r="K668" s="48"/>
      <c r="L668" s="48"/>
      <c r="M668" s="48"/>
      <c r="N668" s="48"/>
      <c r="O668" s="48"/>
      <c r="P668" s="48"/>
      <c r="Q668" s="48"/>
      <c r="R668" s="48"/>
      <c r="S668" s="48"/>
      <c r="T668" s="48"/>
      <c r="U668" s="48"/>
      <c r="V668" s="48"/>
      <c r="W668" s="48"/>
      <c r="X668" s="48"/>
      <c r="AF668" s="727" t="s">
        <v>3</v>
      </c>
      <c r="AG668" s="728"/>
      <c r="AH668" s="728"/>
    </row>
    <row r="669" spans="2:34" ht="12.95" customHeight="1" x14ac:dyDescent="0.2">
      <c r="B669" s="3"/>
      <c r="C669" s="1046"/>
      <c r="D669" s="1047"/>
      <c r="E669" s="1047"/>
      <c r="F669" s="1047"/>
      <c r="G669" s="1047"/>
      <c r="H669" s="1047"/>
      <c r="I669" s="1048"/>
      <c r="J669" s="3"/>
      <c r="K669" s="3"/>
      <c r="L669" s="3"/>
      <c r="M669" s="3"/>
      <c r="N669" s="3"/>
      <c r="O669" s="3"/>
      <c r="P669" s="3"/>
      <c r="Q669" s="3"/>
      <c r="R669" s="3"/>
      <c r="S669" s="3"/>
      <c r="T669" s="3"/>
      <c r="U669" s="3"/>
      <c r="V669" s="8"/>
      <c r="W669" s="8"/>
    </row>
    <row r="670" spans="2:34" ht="12.95" customHeight="1" x14ac:dyDescent="0.2">
      <c r="B670" s="3"/>
      <c r="C670" s="1049"/>
      <c r="D670" s="1050"/>
      <c r="E670" s="1050"/>
      <c r="F670" s="1050"/>
      <c r="G670" s="1050"/>
      <c r="H670" s="1050"/>
      <c r="I670" s="1051"/>
      <c r="J670" s="3"/>
      <c r="K670" s="3"/>
      <c r="L670" s="3"/>
      <c r="M670" s="3"/>
      <c r="N670" s="3"/>
      <c r="O670" s="3"/>
      <c r="P670" s="3"/>
      <c r="Q670" s="3"/>
      <c r="R670" s="3"/>
      <c r="S670" s="3"/>
      <c r="T670" s="3"/>
      <c r="U670" s="3"/>
      <c r="V670" s="8"/>
      <c r="W670" s="8"/>
    </row>
    <row r="671" spans="2:34" ht="12.95" customHeight="1" x14ac:dyDescent="0.2">
      <c r="B671" s="3"/>
      <c r="C671" s="1049"/>
      <c r="D671" s="1050"/>
      <c r="E671" s="1050"/>
      <c r="F671" s="1050"/>
      <c r="G671" s="1050"/>
      <c r="H671" s="1050"/>
      <c r="I671" s="1051"/>
      <c r="J671" s="3"/>
      <c r="K671" s="3"/>
      <c r="L671" s="3"/>
      <c r="M671" s="3"/>
      <c r="N671" s="3"/>
      <c r="O671" s="3"/>
      <c r="P671" s="3"/>
      <c r="Q671" s="3"/>
      <c r="R671" s="3"/>
      <c r="S671" s="3"/>
      <c r="T671" s="3"/>
      <c r="U671" s="3"/>
      <c r="V671" s="8"/>
      <c r="W671" s="8"/>
    </row>
    <row r="672" spans="2:34" ht="12.95" customHeight="1" x14ac:dyDescent="0.2">
      <c r="B672" s="3"/>
      <c r="C672" s="1049"/>
      <c r="D672" s="1050"/>
      <c r="E672" s="1050"/>
      <c r="F672" s="1050"/>
      <c r="G672" s="1050"/>
      <c r="H672" s="1050"/>
      <c r="I672" s="1051"/>
      <c r="J672" s="3"/>
      <c r="K672" s="3"/>
      <c r="L672" s="3"/>
      <c r="M672" s="3"/>
      <c r="N672" s="3"/>
      <c r="O672" s="3"/>
      <c r="P672" s="3"/>
      <c r="Q672" s="3"/>
      <c r="R672" s="3"/>
      <c r="S672" s="3"/>
      <c r="T672" s="3"/>
      <c r="U672" s="3"/>
      <c r="V672" s="8"/>
      <c r="W672" s="8"/>
    </row>
    <row r="673" spans="2:34" ht="12.95" customHeight="1" x14ac:dyDescent="0.2">
      <c r="B673" s="3"/>
      <c r="C673" s="1049"/>
      <c r="D673" s="1050"/>
      <c r="E673" s="1050"/>
      <c r="F673" s="1050"/>
      <c r="G673" s="1050"/>
      <c r="H673" s="1050"/>
      <c r="I673" s="1051"/>
      <c r="J673" s="3"/>
      <c r="K673" s="3"/>
      <c r="L673" s="3"/>
      <c r="M673" s="3"/>
      <c r="N673" s="3"/>
      <c r="O673" s="3"/>
      <c r="P673" s="3"/>
      <c r="Q673" s="3"/>
      <c r="R673" s="3"/>
      <c r="S673" s="3"/>
      <c r="T673" s="3"/>
      <c r="U673" s="3"/>
      <c r="V673" s="8"/>
      <c r="W673" s="8"/>
    </row>
    <row r="674" spans="2:34" ht="12.95" customHeight="1" x14ac:dyDescent="0.2">
      <c r="B674" s="3"/>
      <c r="C674" s="1049"/>
      <c r="D674" s="1050"/>
      <c r="E674" s="1050"/>
      <c r="F674" s="1050"/>
      <c r="G674" s="1050"/>
      <c r="H674" s="1050"/>
      <c r="I674" s="1051"/>
      <c r="J674" s="3"/>
      <c r="K674" s="3"/>
      <c r="L674" s="3"/>
      <c r="M674" s="3"/>
      <c r="N674" s="3"/>
      <c r="O674" s="3"/>
      <c r="P674" s="3"/>
      <c r="Q674" s="3"/>
      <c r="R674" s="3"/>
      <c r="S674" s="3"/>
      <c r="T674" s="3"/>
      <c r="U674" s="3"/>
      <c r="V674" s="8"/>
      <c r="W674" s="8"/>
    </row>
    <row r="675" spans="2:34" ht="10.5" customHeight="1" x14ac:dyDescent="0.2">
      <c r="B675" s="3"/>
      <c r="C675" s="1052"/>
      <c r="D675" s="1053"/>
      <c r="E675" s="1053"/>
      <c r="F675" s="1053"/>
      <c r="G675" s="1053"/>
      <c r="H675" s="1053"/>
      <c r="I675" s="1054"/>
      <c r="J675" s="3"/>
      <c r="K675" s="3"/>
      <c r="L675" s="3"/>
      <c r="M675" s="3"/>
      <c r="N675" s="3"/>
      <c r="O675" s="3"/>
      <c r="P675" s="3"/>
      <c r="Q675" s="3"/>
      <c r="R675" s="3"/>
      <c r="S675" s="3"/>
      <c r="T675" s="3"/>
      <c r="U675" s="3"/>
      <c r="V675" s="8"/>
      <c r="W675" s="8"/>
    </row>
    <row r="676" spans="2:34" ht="12.6" customHeight="1" x14ac:dyDescent="0.2">
      <c r="B676" s="3"/>
      <c r="C676" s="1195" t="s">
        <v>475</v>
      </c>
      <c r="D676" s="1195"/>
      <c r="E676" s="1196"/>
      <c r="F676" s="1196"/>
      <c r="G676" s="1197"/>
      <c r="H676" s="47">
        <v>1100</v>
      </c>
      <c r="I676" s="439">
        <f>+H676*$X$1</f>
        <v>1100</v>
      </c>
      <c r="J676" s="3"/>
      <c r="K676" s="3"/>
      <c r="L676" s="3"/>
      <c r="M676" s="3"/>
      <c r="N676" s="3"/>
      <c r="O676" s="3"/>
      <c r="P676" s="3"/>
      <c r="Q676" s="3"/>
      <c r="R676" s="3"/>
      <c r="S676" s="3"/>
      <c r="T676" s="3"/>
      <c r="U676" s="3"/>
      <c r="V676" s="8"/>
      <c r="W676" s="8"/>
    </row>
    <row r="677" spans="2:34" ht="12.6" customHeight="1" x14ac:dyDescent="0.2">
      <c r="B677" s="3"/>
      <c r="C677" s="1195" t="s">
        <v>772</v>
      </c>
      <c r="D677" s="1195"/>
      <c r="E677" s="1196"/>
      <c r="F677" s="1196"/>
      <c r="G677" s="1197"/>
      <c r="H677" s="47">
        <v>1000</v>
      </c>
      <c r="I677" s="439">
        <f>+H677*$X$1</f>
        <v>1000</v>
      </c>
      <c r="J677" s="3"/>
      <c r="K677" s="3"/>
      <c r="L677" s="3"/>
      <c r="M677" s="3"/>
      <c r="N677" s="3"/>
      <c r="O677" s="3"/>
      <c r="P677" s="3"/>
      <c r="Q677" s="3"/>
      <c r="R677" s="3"/>
      <c r="S677" s="3"/>
      <c r="T677" s="3"/>
      <c r="U677" s="3"/>
      <c r="V677" s="8"/>
      <c r="W677" s="8"/>
    </row>
    <row r="678" spans="2:34" ht="12.6" customHeight="1" thickBot="1" x14ac:dyDescent="0.25">
      <c r="B678" s="3"/>
      <c r="C678" s="51"/>
      <c r="D678" s="49"/>
      <c r="E678" s="49"/>
      <c r="F678" s="49"/>
      <c r="G678" s="44"/>
      <c r="H678" s="46"/>
      <c r="I678" s="46"/>
      <c r="J678" s="3"/>
      <c r="K678" s="3"/>
      <c r="L678" s="3"/>
      <c r="M678" s="3"/>
      <c r="N678" s="3"/>
      <c r="O678" s="3"/>
      <c r="P678" s="3"/>
      <c r="Q678" s="3"/>
      <c r="R678" s="3"/>
      <c r="S678" s="3"/>
      <c r="T678" s="3"/>
      <c r="U678" s="3"/>
      <c r="V678" s="8"/>
      <c r="W678" s="8"/>
    </row>
    <row r="679" spans="2:34" ht="18" customHeight="1" thickBot="1" x14ac:dyDescent="0.25">
      <c r="B679" s="993" t="s">
        <v>653</v>
      </c>
      <c r="C679" s="994"/>
      <c r="D679" s="994"/>
      <c r="E679" s="994"/>
      <c r="F679" s="994"/>
      <c r="G679" s="994"/>
      <c r="H679" s="994"/>
      <c r="I679" s="994"/>
      <c r="J679" s="994"/>
      <c r="K679" s="994"/>
      <c r="L679" s="994"/>
      <c r="M679" s="994"/>
      <c r="N679" s="994"/>
      <c r="O679" s="994"/>
      <c r="P679" s="994"/>
      <c r="Q679" s="994"/>
      <c r="R679" s="994"/>
      <c r="S679" s="994"/>
      <c r="T679" s="994"/>
      <c r="U679" s="994"/>
      <c r="V679" s="994"/>
      <c r="W679" s="995"/>
    </row>
    <row r="680" spans="2:34" ht="12.6" customHeight="1" thickBot="1" x14ac:dyDescent="0.25">
      <c r="B680" s="28"/>
      <c r="C680" s="29"/>
      <c r="D680" s="29"/>
      <c r="E680" s="29"/>
      <c r="F680" s="29"/>
      <c r="G680" s="29"/>
      <c r="H680" s="29"/>
      <c r="I680" s="29"/>
      <c r="J680" s="29"/>
      <c r="K680" s="29"/>
      <c r="L680" s="29"/>
      <c r="M680" s="29"/>
      <c r="N680" s="29"/>
      <c r="O680" s="29"/>
      <c r="P680" s="29"/>
      <c r="Q680" s="29"/>
      <c r="R680" s="29"/>
      <c r="S680" s="29"/>
      <c r="T680" s="29"/>
      <c r="U680" s="29"/>
      <c r="V680" s="29"/>
      <c r="W680" s="29"/>
    </row>
    <row r="681" spans="2:34" ht="15.75" customHeight="1" x14ac:dyDescent="0.2">
      <c r="B681" s="990" t="s">
        <v>360</v>
      </c>
      <c r="C681" s="991"/>
      <c r="D681" s="991"/>
      <c r="E681" s="991"/>
      <c r="F681" s="991"/>
      <c r="G681" s="991"/>
      <c r="H681" s="991"/>
      <c r="I681" s="991"/>
      <c r="J681" s="991"/>
      <c r="K681" s="991"/>
      <c r="L681" s="991"/>
      <c r="M681" s="991"/>
      <c r="N681" s="991"/>
      <c r="O681" s="991"/>
      <c r="P681" s="991"/>
      <c r="Q681" s="991"/>
      <c r="R681" s="991"/>
      <c r="S681" s="991"/>
      <c r="T681" s="991"/>
      <c r="U681" s="991"/>
      <c r="V681" s="991"/>
      <c r="W681" s="992"/>
    </row>
    <row r="682" spans="2:34" ht="15.75" customHeight="1" x14ac:dyDescent="0.2">
      <c r="B682" s="1012" t="s">
        <v>361</v>
      </c>
      <c r="C682" s="1013"/>
      <c r="D682" s="1013"/>
      <c r="E682" s="1013"/>
      <c r="F682" s="1013"/>
      <c r="G682" s="1013"/>
      <c r="H682" s="1013"/>
      <c r="I682" s="1013"/>
      <c r="J682" s="1013"/>
      <c r="K682" s="1013"/>
      <c r="L682" s="1013"/>
      <c r="M682" s="1013"/>
      <c r="N682" s="1013"/>
      <c r="O682" s="1013"/>
      <c r="P682" s="1013"/>
      <c r="Q682" s="1013"/>
      <c r="R682" s="1013"/>
      <c r="S682" s="1013"/>
      <c r="T682" s="1013"/>
      <c r="U682" s="1013"/>
      <c r="V682" s="1013"/>
      <c r="W682" s="1014"/>
      <c r="AF682" s="727"/>
      <c r="AG682" s="728"/>
      <c r="AH682" s="728"/>
    </row>
    <row r="683" spans="2:34" ht="15.75" customHeight="1" thickBot="1" x14ac:dyDescent="0.25">
      <c r="B683" s="1040" t="s">
        <v>362</v>
      </c>
      <c r="C683" s="1041"/>
      <c r="D683" s="1041"/>
      <c r="E683" s="1041"/>
      <c r="F683" s="1041"/>
      <c r="G683" s="1041"/>
      <c r="H683" s="1041"/>
      <c r="I683" s="1041"/>
      <c r="J683" s="1041"/>
      <c r="K683" s="1041"/>
      <c r="L683" s="1041"/>
      <c r="M683" s="1041"/>
      <c r="N683" s="1041"/>
      <c r="O683" s="1041"/>
      <c r="P683" s="1041"/>
      <c r="Q683" s="1041"/>
      <c r="R683" s="1041"/>
      <c r="S683" s="1041"/>
      <c r="T683" s="1041"/>
      <c r="U683" s="1041"/>
      <c r="V683" s="1041"/>
      <c r="W683" s="1042"/>
    </row>
    <row r="684" spans="2:34" ht="12.6" customHeight="1" thickBot="1" x14ac:dyDescent="0.25">
      <c r="B684" s="13"/>
      <c r="C684" s="14"/>
      <c r="D684" s="14"/>
      <c r="E684" s="14"/>
      <c r="F684" s="14"/>
      <c r="G684" s="14"/>
      <c r="H684" s="14"/>
      <c r="I684" s="14"/>
      <c r="J684" s="14"/>
      <c r="K684" s="14"/>
      <c r="L684" s="14"/>
      <c r="M684" s="14"/>
      <c r="N684" s="14"/>
      <c r="O684" s="14"/>
      <c r="P684" s="14"/>
      <c r="Q684" s="14"/>
      <c r="R684" s="14"/>
      <c r="S684" s="14"/>
      <c r="T684" s="14"/>
      <c r="U684" s="14"/>
      <c r="V684" s="14"/>
      <c r="W684" s="14"/>
    </row>
    <row r="685" spans="2:34" ht="18" customHeight="1" thickBot="1" x14ac:dyDescent="0.25">
      <c r="B685" s="1037" t="s">
        <v>363</v>
      </c>
      <c r="C685" s="1038"/>
      <c r="D685" s="1038"/>
      <c r="E685" s="1038"/>
      <c r="F685" s="1038"/>
      <c r="G685" s="1038"/>
      <c r="H685" s="1038"/>
      <c r="I685" s="1038"/>
      <c r="J685" s="1038"/>
      <c r="K685" s="1038"/>
      <c r="L685" s="1038"/>
      <c r="M685" s="1038"/>
      <c r="N685" s="1038"/>
      <c r="O685" s="1038"/>
      <c r="P685" s="1038"/>
      <c r="Q685" s="1038"/>
      <c r="R685" s="1038"/>
      <c r="S685" s="1038"/>
      <c r="T685" s="1038"/>
      <c r="U685" s="1038"/>
      <c r="V685" s="1038"/>
      <c r="W685" s="1039"/>
    </row>
    <row r="686" spans="2:34" x14ac:dyDescent="0.2">
      <c r="B686" s="1022" t="s">
        <v>364</v>
      </c>
      <c r="C686" s="1023"/>
      <c r="D686" s="1023"/>
      <c r="E686" s="1023"/>
      <c r="F686" s="1023"/>
      <c r="G686" s="1023"/>
      <c r="H686" s="1023"/>
      <c r="I686" s="1023"/>
      <c r="J686" s="1023"/>
      <c r="K686" s="1023"/>
      <c r="L686" s="1023"/>
      <c r="M686" s="1023"/>
      <c r="N686" s="1024"/>
      <c r="O686" s="1024"/>
      <c r="P686" s="1024"/>
      <c r="Q686" s="1024"/>
      <c r="R686" s="1024"/>
      <c r="S686" s="1024"/>
      <c r="T686" s="1024"/>
      <c r="U686" s="1024"/>
      <c r="V686" s="1024"/>
      <c r="W686" s="1025"/>
    </row>
    <row r="687" spans="2:34" ht="12.75" customHeight="1" x14ac:dyDescent="0.2">
      <c r="B687" s="1026"/>
      <c r="C687" s="1023"/>
      <c r="D687" s="1023"/>
      <c r="E687" s="1023"/>
      <c r="F687" s="1023"/>
      <c r="G687" s="1023"/>
      <c r="H687" s="1023"/>
      <c r="I687" s="1023"/>
      <c r="J687" s="1023"/>
      <c r="K687" s="1023"/>
      <c r="L687" s="1023"/>
      <c r="M687" s="1023"/>
      <c r="N687" s="1024"/>
      <c r="O687" s="1024"/>
      <c r="P687" s="1024"/>
      <c r="Q687" s="1024"/>
      <c r="R687" s="1024"/>
      <c r="S687" s="1024"/>
      <c r="T687" s="1024"/>
      <c r="U687" s="1024"/>
      <c r="V687" s="1024"/>
      <c r="W687" s="1025"/>
    </row>
    <row r="688" spans="2:34" x14ac:dyDescent="0.2">
      <c r="B688" s="1026"/>
      <c r="C688" s="1023"/>
      <c r="D688" s="1023"/>
      <c r="E688" s="1023"/>
      <c r="F688" s="1023"/>
      <c r="G688" s="1023"/>
      <c r="H688" s="1023"/>
      <c r="I688" s="1023"/>
      <c r="J688" s="1023"/>
      <c r="K688" s="1023"/>
      <c r="L688" s="1023"/>
      <c r="M688" s="1023"/>
      <c r="N688" s="1024"/>
      <c r="O688" s="1024"/>
      <c r="P688" s="1024"/>
      <c r="Q688" s="1024"/>
      <c r="R688" s="1024"/>
      <c r="S688" s="1024"/>
      <c r="T688" s="1024"/>
      <c r="U688" s="1024"/>
      <c r="V688" s="1024"/>
      <c r="W688" s="1025"/>
    </row>
    <row r="689" spans="2:26" ht="13.5" thickBot="1" x14ac:dyDescent="0.25">
      <c r="B689" s="1027"/>
      <c r="C689" s="1028"/>
      <c r="D689" s="1028"/>
      <c r="E689" s="1028"/>
      <c r="F689" s="1028"/>
      <c r="G689" s="1028"/>
      <c r="H689" s="1028"/>
      <c r="I689" s="1028"/>
      <c r="J689" s="1028"/>
      <c r="K689" s="1028"/>
      <c r="L689" s="1028"/>
      <c r="M689" s="1028"/>
      <c r="N689" s="1029"/>
      <c r="O689" s="1029"/>
      <c r="P689" s="1029"/>
      <c r="Q689" s="1029"/>
      <c r="R689" s="1029"/>
      <c r="S689" s="1029"/>
      <c r="T689" s="1029"/>
      <c r="U689" s="1029"/>
      <c r="V689" s="1029"/>
      <c r="W689" s="1030"/>
    </row>
    <row r="690" spans="2:26" ht="12.6" customHeight="1" thickBot="1" x14ac:dyDescent="0.25">
      <c r="B690" s="226"/>
      <c r="C690" s="226"/>
      <c r="D690" s="226"/>
      <c r="E690" s="226"/>
      <c r="F690" s="226"/>
      <c r="G690" s="226"/>
      <c r="H690" s="226"/>
      <c r="I690" s="226"/>
      <c r="J690" s="226"/>
      <c r="K690" s="226"/>
      <c r="L690" s="226"/>
      <c r="M690" s="227"/>
      <c r="N690" s="66"/>
      <c r="O690" s="66"/>
      <c r="P690" s="66"/>
      <c r="Q690" s="66"/>
      <c r="R690" s="66"/>
      <c r="S690" s="66"/>
      <c r="T690" s="66"/>
      <c r="U690" s="66"/>
      <c r="V690" s="66"/>
      <c r="W690" s="66"/>
    </row>
    <row r="691" spans="2:26" x14ac:dyDescent="0.2">
      <c r="B691" s="1031" t="s">
        <v>365</v>
      </c>
      <c r="C691" s="1032"/>
      <c r="D691" s="1032"/>
      <c r="E691" s="1032"/>
      <c r="F691" s="1032"/>
      <c r="G691" s="1032"/>
      <c r="H691" s="1032"/>
      <c r="I691" s="1032"/>
      <c r="J691" s="1032"/>
      <c r="K691" s="1032"/>
      <c r="L691" s="1032"/>
      <c r="M691" s="1032"/>
      <c r="N691" s="1032"/>
      <c r="O691" s="1032"/>
      <c r="P691" s="1032"/>
      <c r="Q691" s="1032"/>
      <c r="R691" s="1032"/>
      <c r="S691" s="1032"/>
      <c r="T691" s="1032"/>
      <c r="U691" s="1032"/>
      <c r="V691" s="1032"/>
      <c r="W691" s="1033"/>
    </row>
    <row r="692" spans="2:26" ht="13.5" thickBot="1" x14ac:dyDescent="0.25">
      <c r="B692" s="1034"/>
      <c r="C692" s="1035"/>
      <c r="D692" s="1035"/>
      <c r="E692" s="1035"/>
      <c r="F692" s="1035"/>
      <c r="G692" s="1035"/>
      <c r="H692" s="1035"/>
      <c r="I692" s="1035"/>
      <c r="J692" s="1035"/>
      <c r="K692" s="1035"/>
      <c r="L692" s="1035"/>
      <c r="M692" s="1035"/>
      <c r="N692" s="1035"/>
      <c r="O692" s="1035"/>
      <c r="P692" s="1035"/>
      <c r="Q692" s="1035"/>
      <c r="R692" s="1035"/>
      <c r="S692" s="1035"/>
      <c r="T692" s="1035"/>
      <c r="U692" s="1035"/>
      <c r="V692" s="1035"/>
      <c r="W692" s="1036"/>
    </row>
    <row r="693" spans="2:26" ht="13.5" thickBot="1" x14ac:dyDescent="0.25">
      <c r="B693" s="1015" t="s">
        <v>366</v>
      </c>
      <c r="C693" s="1016"/>
      <c r="D693" s="1016"/>
      <c r="E693" s="1016"/>
      <c r="F693" s="1016"/>
      <c r="G693" s="1016"/>
      <c r="H693" s="1016"/>
      <c r="I693" s="1016"/>
      <c r="J693" s="1016"/>
      <c r="K693" s="1016"/>
      <c r="L693" s="1016"/>
      <c r="M693" s="1016"/>
      <c r="N693" s="1016"/>
      <c r="O693" s="1016"/>
      <c r="P693" s="1016"/>
      <c r="Q693" s="1016"/>
      <c r="R693" s="1016"/>
      <c r="S693" s="1016"/>
      <c r="T693" s="1016"/>
      <c r="U693" s="1016"/>
      <c r="V693" s="1016"/>
      <c r="W693" s="1017"/>
    </row>
    <row r="694" spans="2:26" ht="12.6" customHeight="1" thickBot="1" x14ac:dyDescent="0.25">
      <c r="B694" s="256"/>
      <c r="C694" s="256"/>
      <c r="D694" s="256"/>
      <c r="E694" s="256"/>
      <c r="F694" s="256"/>
      <c r="G694" s="256"/>
      <c r="H694" s="256"/>
      <c r="I694" s="256"/>
      <c r="J694" s="256"/>
      <c r="K694" s="256"/>
      <c r="L694" s="256"/>
      <c r="M694" s="256"/>
      <c r="N694" s="256"/>
      <c r="O694" s="256"/>
      <c r="P694" s="256"/>
      <c r="Q694" s="256"/>
      <c r="R694" s="256"/>
      <c r="S694" s="256"/>
      <c r="T694" s="256"/>
      <c r="U694" s="256"/>
      <c r="V694" s="256"/>
      <c r="W694" s="256"/>
      <c r="X694" s="69"/>
    </row>
    <row r="695" spans="2:26" ht="12.75" customHeight="1" thickBot="1" x14ac:dyDescent="0.25">
      <c r="B695" s="987" t="s">
        <v>367</v>
      </c>
      <c r="C695" s="988"/>
      <c r="D695" s="988"/>
      <c r="E695" s="988"/>
      <c r="F695" s="988"/>
      <c r="G695" s="988"/>
      <c r="H695" s="988"/>
      <c r="I695" s="988"/>
      <c r="J695" s="988"/>
      <c r="K695" s="988"/>
      <c r="L695" s="988"/>
      <c r="M695" s="988"/>
      <c r="N695" s="988"/>
      <c r="O695" s="988"/>
      <c r="P695" s="988"/>
      <c r="Q695" s="988"/>
      <c r="R695" s="988"/>
      <c r="S695" s="988"/>
      <c r="T695" s="988"/>
      <c r="U695" s="988"/>
      <c r="V695" s="988"/>
      <c r="W695" s="989"/>
    </row>
    <row r="696" spans="2:26" ht="15" customHeight="1" thickBot="1" x14ac:dyDescent="0.25">
      <c r="B696" s="987" t="s">
        <v>436</v>
      </c>
      <c r="C696" s="988"/>
      <c r="D696" s="988"/>
      <c r="E696" s="988"/>
      <c r="F696" s="988"/>
      <c r="G696" s="988"/>
      <c r="H696" s="988"/>
      <c r="I696" s="988"/>
      <c r="J696" s="988"/>
      <c r="K696" s="988"/>
      <c r="L696" s="988"/>
      <c r="M696" s="988"/>
      <c r="N696" s="988"/>
      <c r="O696" s="988"/>
      <c r="P696" s="988"/>
      <c r="Q696" s="988"/>
      <c r="R696" s="988"/>
      <c r="S696" s="988"/>
      <c r="T696" s="988"/>
      <c r="U696" s="988"/>
      <c r="V696" s="988"/>
      <c r="W696" s="989"/>
    </row>
    <row r="697" spans="2:26" ht="90" customHeight="1" thickBot="1" x14ac:dyDescent="0.25">
      <c r="B697" s="1018"/>
      <c r="C697" s="1019"/>
      <c r="D697" s="1019"/>
      <c r="E697" s="1019"/>
      <c r="F697" s="1019"/>
      <c r="G697" s="1019"/>
      <c r="H697" s="1019"/>
      <c r="I697" s="1019"/>
      <c r="J697" s="1019"/>
      <c r="K697" s="1020"/>
      <c r="L697" s="1020"/>
      <c r="M697" s="1020"/>
      <c r="N697" s="1020"/>
      <c r="O697" s="1020"/>
      <c r="P697" s="1020"/>
      <c r="Q697" s="1020"/>
      <c r="R697" s="1020"/>
      <c r="S697" s="1020"/>
      <c r="T697" s="1020"/>
      <c r="U697" s="1020"/>
      <c r="V697" s="1020"/>
      <c r="W697" s="1021"/>
    </row>
    <row r="698" spans="2:26" ht="12.6" customHeight="1" thickBot="1" x14ac:dyDescent="0.3">
      <c r="B698" s="14"/>
      <c r="C698" s="14"/>
      <c r="D698" s="14"/>
      <c r="E698" s="14"/>
      <c r="F698" s="14"/>
      <c r="G698" s="14"/>
      <c r="H698" s="14"/>
      <c r="I698" s="14"/>
      <c r="J698" s="14"/>
      <c r="K698" s="14"/>
      <c r="L698" s="14"/>
      <c r="M698" s="14"/>
      <c r="N698" s="14"/>
      <c r="O698" s="14"/>
      <c r="P698" s="14"/>
      <c r="Q698" s="14"/>
      <c r="R698" s="14"/>
      <c r="S698" s="14"/>
      <c r="T698" s="14"/>
      <c r="U698" s="14"/>
      <c r="V698" s="14"/>
      <c r="W698" s="14"/>
      <c r="Z698" s="36"/>
    </row>
    <row r="699" spans="2:26" ht="8.25" customHeight="1" x14ac:dyDescent="0.2">
      <c r="B699" s="996" t="s">
        <v>368</v>
      </c>
      <c r="C699" s="997"/>
      <c r="D699" s="997"/>
      <c r="E699" s="997"/>
      <c r="F699" s="997"/>
      <c r="G699" s="997"/>
      <c r="H699" s="997"/>
      <c r="I699" s="997"/>
      <c r="J699" s="997"/>
      <c r="K699" s="998"/>
      <c r="L699" s="998"/>
      <c r="M699" s="998"/>
      <c r="N699" s="998"/>
      <c r="O699" s="998"/>
      <c r="P699" s="998"/>
      <c r="Q699" s="998"/>
      <c r="R699" s="998"/>
      <c r="S699" s="998"/>
      <c r="T699" s="998"/>
      <c r="U699" s="998"/>
      <c r="V699" s="998"/>
      <c r="W699" s="999"/>
    </row>
    <row r="700" spans="2:26" ht="12.75" customHeight="1" x14ac:dyDescent="0.2">
      <c r="B700" s="1000"/>
      <c r="C700" s="1001"/>
      <c r="D700" s="1001"/>
      <c r="E700" s="1001"/>
      <c r="F700" s="1001"/>
      <c r="G700" s="1001"/>
      <c r="H700" s="1001"/>
      <c r="I700" s="1001"/>
      <c r="J700" s="1001"/>
      <c r="K700" s="1002"/>
      <c r="L700" s="1002"/>
      <c r="M700" s="1002"/>
      <c r="N700" s="1002"/>
      <c r="O700" s="1002"/>
      <c r="P700" s="1002"/>
      <c r="Q700" s="1002"/>
      <c r="R700" s="1002"/>
      <c r="S700" s="1002"/>
      <c r="T700" s="1002"/>
      <c r="U700" s="1002"/>
      <c r="V700" s="1002"/>
      <c r="W700" s="1003"/>
    </row>
    <row r="701" spans="2:26" x14ac:dyDescent="0.2">
      <c r="B701" s="1004"/>
      <c r="C701" s="1005"/>
      <c r="D701" s="1005"/>
      <c r="E701" s="1005"/>
      <c r="F701" s="1005"/>
      <c r="G701" s="1005"/>
      <c r="H701" s="1005"/>
      <c r="I701" s="1005"/>
      <c r="J701" s="1005"/>
      <c r="K701" s="1002"/>
      <c r="L701" s="1002"/>
      <c r="M701" s="1002"/>
      <c r="N701" s="1002"/>
      <c r="O701" s="1002"/>
      <c r="P701" s="1002"/>
      <c r="Q701" s="1002"/>
      <c r="R701" s="1002"/>
      <c r="S701" s="1002"/>
      <c r="T701" s="1002"/>
      <c r="U701" s="1002"/>
      <c r="V701" s="1002"/>
      <c r="W701" s="1003"/>
    </row>
    <row r="702" spans="2:26" x14ac:dyDescent="0.2">
      <c r="B702" s="1004"/>
      <c r="C702" s="1005"/>
      <c r="D702" s="1005"/>
      <c r="E702" s="1005"/>
      <c r="F702" s="1005"/>
      <c r="G702" s="1005"/>
      <c r="H702" s="1005"/>
      <c r="I702" s="1005"/>
      <c r="J702" s="1005"/>
      <c r="K702" s="1002"/>
      <c r="L702" s="1002"/>
      <c r="M702" s="1002"/>
      <c r="N702" s="1002"/>
      <c r="O702" s="1002"/>
      <c r="P702" s="1002"/>
      <c r="Q702" s="1002"/>
      <c r="R702" s="1002"/>
      <c r="S702" s="1002"/>
      <c r="T702" s="1002"/>
      <c r="U702" s="1002"/>
      <c r="V702" s="1002"/>
      <c r="W702" s="1003"/>
    </row>
    <row r="703" spans="2:26" x14ac:dyDescent="0.2">
      <c r="B703" s="1004"/>
      <c r="C703" s="1005"/>
      <c r="D703" s="1005"/>
      <c r="E703" s="1005"/>
      <c r="F703" s="1005"/>
      <c r="G703" s="1005"/>
      <c r="H703" s="1005"/>
      <c r="I703" s="1005"/>
      <c r="J703" s="1005"/>
      <c r="K703" s="1002"/>
      <c r="L703" s="1002"/>
      <c r="M703" s="1002"/>
      <c r="N703" s="1002"/>
      <c r="O703" s="1002"/>
      <c r="P703" s="1002"/>
      <c r="Q703" s="1002"/>
      <c r="R703" s="1002"/>
      <c r="S703" s="1002"/>
      <c r="T703" s="1002"/>
      <c r="U703" s="1002"/>
      <c r="V703" s="1002"/>
      <c r="W703" s="1003"/>
    </row>
    <row r="704" spans="2:26" x14ac:dyDescent="0.2">
      <c r="B704" s="1004"/>
      <c r="C704" s="1005"/>
      <c r="D704" s="1005"/>
      <c r="E704" s="1005"/>
      <c r="F704" s="1005"/>
      <c r="G704" s="1005"/>
      <c r="H704" s="1005"/>
      <c r="I704" s="1005"/>
      <c r="J704" s="1005"/>
      <c r="K704" s="1002"/>
      <c r="L704" s="1002"/>
      <c r="M704" s="1002"/>
      <c r="N704" s="1002"/>
      <c r="O704" s="1002"/>
      <c r="P704" s="1002"/>
      <c r="Q704" s="1002"/>
      <c r="R704" s="1002"/>
      <c r="S704" s="1002"/>
      <c r="T704" s="1002"/>
      <c r="U704" s="1002"/>
      <c r="V704" s="1002"/>
      <c r="W704" s="1003"/>
    </row>
    <row r="705" spans="2:23" x14ac:dyDescent="0.2">
      <c r="B705" s="1006"/>
      <c r="C705" s="1007"/>
      <c r="D705" s="1007"/>
      <c r="E705" s="1007"/>
      <c r="F705" s="1007"/>
      <c r="G705" s="1007"/>
      <c r="H705" s="1007"/>
      <c r="I705" s="1007"/>
      <c r="J705" s="1007"/>
      <c r="K705" s="1007"/>
      <c r="L705" s="1007"/>
      <c r="M705" s="1007"/>
      <c r="N705" s="1007"/>
      <c r="O705" s="1007"/>
      <c r="P705" s="1007"/>
      <c r="Q705" s="1007"/>
      <c r="R705" s="1007"/>
      <c r="S705" s="1007"/>
      <c r="T705" s="1007"/>
      <c r="U705" s="1007"/>
      <c r="V705" s="1007"/>
      <c r="W705" s="1008"/>
    </row>
    <row r="706" spans="2:23" ht="13.5" thickBot="1" x14ac:dyDescent="0.25">
      <c r="B706" s="1009"/>
      <c r="C706" s="1010"/>
      <c r="D706" s="1010"/>
      <c r="E706" s="1010"/>
      <c r="F706" s="1010"/>
      <c r="G706" s="1010"/>
      <c r="H706" s="1010"/>
      <c r="I706" s="1010"/>
      <c r="J706" s="1010"/>
      <c r="K706" s="1010"/>
      <c r="L706" s="1010"/>
      <c r="M706" s="1010"/>
      <c r="N706" s="1010"/>
      <c r="O706" s="1010"/>
      <c r="P706" s="1010"/>
      <c r="Q706" s="1010"/>
      <c r="R706" s="1010"/>
      <c r="S706" s="1010"/>
      <c r="T706" s="1010"/>
      <c r="U706" s="1010"/>
      <c r="V706" s="1010"/>
      <c r="W706" s="1011"/>
    </row>
    <row r="707" spans="2:23" ht="12.6" customHeight="1" x14ac:dyDescent="0.2">
      <c r="B707" s="3"/>
      <c r="C707" s="3"/>
      <c r="D707" s="3"/>
      <c r="E707" s="4"/>
      <c r="F707" s="4"/>
      <c r="G707" s="4"/>
      <c r="H707" s="4"/>
      <c r="I707" s="4"/>
      <c r="J707" s="4"/>
      <c r="K707" s="4"/>
      <c r="L707" s="3"/>
      <c r="M707" s="3"/>
      <c r="N707" s="3"/>
      <c r="O707" s="3"/>
      <c r="P707" s="3"/>
      <c r="Q707" s="3"/>
      <c r="R707" s="3"/>
      <c r="S707" s="3"/>
      <c r="T707" s="3"/>
      <c r="U707" s="3"/>
      <c r="V707" s="8"/>
      <c r="W707" s="8"/>
    </row>
    <row r="708" spans="2:23" ht="18.75" customHeight="1" x14ac:dyDescent="0.2">
      <c r="B708" s="984" t="s">
        <v>369</v>
      </c>
      <c r="C708" s="985"/>
      <c r="D708" s="985"/>
      <c r="E708" s="985"/>
      <c r="F708" s="985"/>
      <c r="G708" s="985"/>
      <c r="H708" s="985"/>
      <c r="I708" s="985"/>
      <c r="J708" s="985"/>
      <c r="K708" s="985"/>
      <c r="L708" s="985"/>
      <c r="M708" s="985"/>
      <c r="N708" s="985"/>
      <c r="O708" s="985"/>
      <c r="P708" s="985"/>
      <c r="Q708" s="985"/>
      <c r="R708" s="985"/>
      <c r="S708" s="985"/>
      <c r="T708" s="985"/>
      <c r="U708" s="985"/>
      <c r="V708" s="985"/>
      <c r="W708" s="986"/>
    </row>
    <row r="709" spans="2:23" x14ac:dyDescent="0.2">
      <c r="B709" s="3"/>
      <c r="C709" s="3"/>
      <c r="D709" s="3"/>
      <c r="E709" s="4"/>
      <c r="F709" s="4"/>
      <c r="G709" s="4"/>
      <c r="H709" s="4"/>
      <c r="I709" s="4"/>
      <c r="J709" s="4"/>
      <c r="K709" s="4"/>
      <c r="L709" s="3"/>
      <c r="M709" s="3"/>
      <c r="N709" s="3"/>
      <c r="O709" s="3"/>
      <c r="P709" s="3"/>
      <c r="Q709" s="3"/>
      <c r="R709" s="3"/>
      <c r="S709" s="3"/>
      <c r="T709" s="3"/>
      <c r="U709" s="3"/>
      <c r="V709" s="8"/>
      <c r="W709" s="8"/>
    </row>
    <row r="710" spans="2:23" x14ac:dyDescent="0.2">
      <c r="B710" s="3"/>
      <c r="C710" s="3"/>
      <c r="D710" s="3"/>
      <c r="E710" s="4"/>
      <c r="F710" s="4"/>
      <c r="G710" s="4"/>
      <c r="H710" s="4"/>
      <c r="I710" s="4"/>
      <c r="J710" s="4"/>
      <c r="K710" s="4"/>
      <c r="L710" s="3"/>
      <c r="M710" s="3"/>
      <c r="N710" s="3"/>
      <c r="O710" s="3"/>
      <c r="P710" s="3"/>
      <c r="Q710" s="3"/>
      <c r="R710" s="3"/>
      <c r="S710" s="3"/>
      <c r="T710" s="3"/>
      <c r="U710" s="3"/>
      <c r="V710" s="8"/>
      <c r="W710" s="8"/>
    </row>
    <row r="711" spans="2:23" x14ac:dyDescent="0.2">
      <c r="B711" s="3"/>
      <c r="C711" s="3"/>
      <c r="D711" s="3"/>
      <c r="E711" s="4"/>
      <c r="F711" s="4"/>
      <c r="G711" s="4"/>
      <c r="H711" s="4"/>
      <c r="I711" s="4"/>
      <c r="J711" s="4"/>
      <c r="K711" s="4"/>
      <c r="L711" s="3"/>
      <c r="M711" s="3"/>
      <c r="N711" s="3"/>
      <c r="O711" s="3"/>
      <c r="P711" s="3"/>
      <c r="Q711" s="3"/>
      <c r="R711" s="3"/>
      <c r="S711" s="3"/>
      <c r="T711" s="3"/>
      <c r="U711" s="3"/>
      <c r="V711" s="8"/>
      <c r="W711" s="8"/>
    </row>
    <row r="712" spans="2:23" x14ac:dyDescent="0.2">
      <c r="B712" s="3"/>
      <c r="C712" s="3"/>
      <c r="D712" s="3"/>
      <c r="E712" s="4"/>
      <c r="F712" s="4"/>
      <c r="G712" s="4"/>
      <c r="H712" s="4"/>
      <c r="I712" s="4"/>
      <c r="J712" s="4"/>
      <c r="K712" s="4"/>
      <c r="L712" s="3"/>
      <c r="M712" s="3"/>
      <c r="N712" s="3"/>
      <c r="O712" s="3"/>
      <c r="P712" s="3"/>
      <c r="Q712" s="3"/>
      <c r="R712" s="3"/>
      <c r="S712" s="3"/>
      <c r="T712" s="3"/>
      <c r="U712" s="3"/>
      <c r="V712" s="8"/>
      <c r="W712" s="8"/>
    </row>
    <row r="713" spans="2:23" x14ac:dyDescent="0.2">
      <c r="B713" s="3"/>
      <c r="C713" s="3"/>
      <c r="D713" s="3"/>
      <c r="E713" s="4"/>
      <c r="F713" s="4"/>
      <c r="G713" s="4"/>
      <c r="H713" s="4"/>
      <c r="I713" s="4"/>
      <c r="J713" s="4"/>
      <c r="K713" s="4"/>
      <c r="L713" s="3"/>
      <c r="M713" s="3"/>
      <c r="N713" s="3"/>
      <c r="O713" s="3"/>
      <c r="P713" s="3"/>
      <c r="Q713" s="3"/>
      <c r="R713" s="3"/>
      <c r="S713" s="3"/>
      <c r="T713" s="3"/>
      <c r="U713" s="3"/>
      <c r="V713" s="8"/>
      <c r="W713" s="8"/>
    </row>
    <row r="714" spans="2:23" x14ac:dyDescent="0.2">
      <c r="B714" s="3"/>
      <c r="C714" s="3"/>
      <c r="D714" s="3"/>
      <c r="E714" s="4"/>
      <c r="F714" s="4"/>
      <c r="G714" s="4"/>
      <c r="H714" s="4"/>
      <c r="I714" s="4"/>
      <c r="J714" s="4"/>
      <c r="K714" s="4"/>
      <c r="L714" s="3"/>
      <c r="M714" s="3"/>
      <c r="N714" s="3"/>
      <c r="O714" s="3"/>
      <c r="P714" s="3"/>
      <c r="Q714" s="3"/>
      <c r="R714" s="3"/>
      <c r="S714" s="3"/>
      <c r="T714" s="3"/>
      <c r="U714" s="3"/>
      <c r="V714" s="8"/>
      <c r="W714" s="8"/>
    </row>
    <row r="715" spans="2:23" x14ac:dyDescent="0.2">
      <c r="B715" s="3"/>
      <c r="C715" s="3"/>
      <c r="D715" s="3"/>
      <c r="E715" s="4"/>
      <c r="F715" s="4"/>
      <c r="G715" s="4"/>
      <c r="H715" s="4"/>
      <c r="I715" s="4"/>
      <c r="J715" s="4"/>
      <c r="K715" s="4"/>
      <c r="L715" s="3"/>
      <c r="M715" s="3"/>
      <c r="N715" s="3"/>
      <c r="O715" s="3"/>
      <c r="P715" s="3"/>
      <c r="Q715" s="3"/>
      <c r="R715" s="3"/>
      <c r="S715" s="3"/>
      <c r="T715" s="3"/>
      <c r="U715" s="3"/>
      <c r="V715" s="8"/>
      <c r="W715" s="8"/>
    </row>
    <row r="716" spans="2:23" x14ac:dyDescent="0.2">
      <c r="B716" s="3"/>
      <c r="C716" s="3"/>
      <c r="D716" s="3"/>
      <c r="E716" s="4"/>
      <c r="F716" s="4"/>
      <c r="G716" s="4"/>
      <c r="H716" s="4"/>
      <c r="I716" s="4"/>
      <c r="J716" s="4"/>
      <c r="K716" s="4"/>
      <c r="L716" s="3"/>
      <c r="M716" s="3"/>
      <c r="N716" s="3"/>
      <c r="O716" s="3"/>
      <c r="P716" s="3"/>
      <c r="Q716" s="3"/>
      <c r="R716" s="3"/>
      <c r="S716" s="3"/>
      <c r="T716" s="3"/>
      <c r="U716" s="3"/>
      <c r="V716" s="8"/>
      <c r="W716" s="8"/>
    </row>
    <row r="717" spans="2:23" x14ac:dyDescent="0.2">
      <c r="B717" s="3"/>
      <c r="C717" s="3"/>
      <c r="D717" s="3"/>
      <c r="E717" s="4"/>
      <c r="F717" s="4"/>
      <c r="G717" s="4"/>
      <c r="H717" s="4"/>
      <c r="I717" s="4"/>
      <c r="J717" s="4"/>
      <c r="K717" s="4"/>
      <c r="L717" s="3"/>
      <c r="M717" s="3"/>
      <c r="N717" s="3"/>
      <c r="O717" s="3"/>
      <c r="P717" s="3"/>
      <c r="Q717" s="3"/>
      <c r="R717" s="3"/>
      <c r="S717" s="3"/>
      <c r="T717" s="3"/>
      <c r="U717" s="3"/>
      <c r="V717" s="8"/>
      <c r="W717" s="8"/>
    </row>
    <row r="718" spans="2:23" x14ac:dyDescent="0.2">
      <c r="B718" s="3"/>
      <c r="C718" s="3"/>
      <c r="D718" s="3"/>
      <c r="E718" s="4"/>
      <c r="F718" s="4"/>
      <c r="G718" s="4"/>
      <c r="H718" s="4"/>
      <c r="I718" s="4"/>
      <c r="J718" s="4"/>
      <c r="K718" s="4"/>
      <c r="L718" s="3"/>
      <c r="M718" s="3"/>
      <c r="N718" s="3"/>
      <c r="O718" s="3"/>
      <c r="P718" s="3"/>
      <c r="Q718" s="3"/>
      <c r="R718" s="3"/>
      <c r="S718" s="3"/>
      <c r="T718" s="3"/>
      <c r="U718" s="3"/>
      <c r="V718" s="8"/>
      <c r="W718" s="8"/>
    </row>
    <row r="719" spans="2:23" x14ac:dyDescent="0.2">
      <c r="B719" s="3"/>
      <c r="C719" s="3"/>
      <c r="D719" s="3"/>
      <c r="E719" s="4"/>
      <c r="F719" s="4"/>
      <c r="G719" s="4"/>
      <c r="H719" s="4"/>
      <c r="I719" s="4"/>
      <c r="J719" s="4"/>
      <c r="K719" s="4"/>
      <c r="L719" s="3"/>
      <c r="M719" s="3"/>
      <c r="N719" s="3"/>
      <c r="O719" s="3"/>
      <c r="P719" s="3"/>
      <c r="Q719" s="3"/>
      <c r="R719" s="3"/>
      <c r="S719" s="3"/>
      <c r="T719" s="3"/>
      <c r="U719" s="3"/>
      <c r="V719" s="8"/>
      <c r="W719" s="8"/>
    </row>
    <row r="720" spans="2:23" x14ac:dyDescent="0.2">
      <c r="B720" s="3"/>
      <c r="C720" s="3"/>
      <c r="D720" s="3"/>
      <c r="E720" s="4"/>
      <c r="F720" s="4"/>
      <c r="G720" s="4"/>
      <c r="H720" s="4"/>
      <c r="I720" s="4"/>
      <c r="J720" s="4"/>
      <c r="K720" s="4"/>
      <c r="L720" s="3"/>
      <c r="M720" s="3"/>
      <c r="N720" s="3"/>
      <c r="O720" s="3"/>
      <c r="P720" s="3"/>
      <c r="Q720" s="3"/>
      <c r="R720" s="3"/>
      <c r="S720" s="3"/>
      <c r="T720" s="3"/>
      <c r="U720" s="3"/>
      <c r="V720" s="8"/>
      <c r="W720" s="8"/>
    </row>
    <row r="721" spans="2:23" ht="12.75" customHeight="1" x14ac:dyDescent="0.2">
      <c r="B721" s="3"/>
      <c r="C721" s="3"/>
      <c r="D721" s="3"/>
      <c r="E721" s="4"/>
      <c r="F721" s="4"/>
      <c r="G721" s="4"/>
      <c r="H721" s="4"/>
      <c r="I721" s="4"/>
      <c r="J721" s="4"/>
      <c r="K721" s="4"/>
      <c r="L721" s="3"/>
      <c r="M721" s="3"/>
      <c r="N721" s="3"/>
      <c r="O721" s="3"/>
      <c r="P721" s="3"/>
      <c r="Q721" s="3"/>
      <c r="R721" s="3"/>
      <c r="S721" s="3"/>
      <c r="T721" s="3"/>
      <c r="U721" s="3"/>
      <c r="V721" s="8"/>
      <c r="W721" s="8"/>
    </row>
    <row r="722" spans="2:23" x14ac:dyDescent="0.2">
      <c r="B722" s="3"/>
      <c r="C722" s="3"/>
      <c r="D722" s="3"/>
      <c r="E722" s="4"/>
      <c r="F722" s="4"/>
      <c r="G722" s="4"/>
      <c r="H722" s="4"/>
      <c r="I722" s="4"/>
      <c r="J722" s="4"/>
      <c r="K722" s="4"/>
      <c r="L722" s="3"/>
      <c r="M722" s="3"/>
      <c r="N722" s="3"/>
      <c r="O722" s="3"/>
      <c r="P722" s="3"/>
      <c r="Q722" s="3"/>
      <c r="R722" s="3"/>
      <c r="S722" s="3"/>
      <c r="T722" s="3"/>
      <c r="U722" s="3"/>
      <c r="V722" s="8"/>
      <c r="W722" s="8"/>
    </row>
    <row r="723" spans="2:23" x14ac:dyDescent="0.2">
      <c r="B723" s="3"/>
      <c r="C723" s="3"/>
      <c r="D723" s="3"/>
      <c r="E723" s="4"/>
      <c r="F723" s="4"/>
      <c r="G723" s="4"/>
      <c r="H723" s="4"/>
      <c r="I723" s="4"/>
      <c r="J723" s="4"/>
      <c r="K723" s="4"/>
      <c r="L723" s="3"/>
      <c r="M723" s="3"/>
      <c r="N723" s="3"/>
      <c r="O723" s="3"/>
      <c r="P723" s="3"/>
      <c r="Q723" s="3"/>
      <c r="R723" s="3"/>
      <c r="S723" s="3"/>
      <c r="T723" s="3"/>
      <c r="U723" s="3"/>
      <c r="V723" s="8"/>
      <c r="W723" s="8"/>
    </row>
    <row r="724" spans="2:23" x14ac:dyDescent="0.2">
      <c r="B724" s="3"/>
      <c r="C724" s="3"/>
      <c r="D724" s="3"/>
      <c r="E724" s="4"/>
      <c r="F724" s="4"/>
      <c r="G724" s="4"/>
      <c r="H724" s="4"/>
      <c r="I724" s="4"/>
      <c r="J724" s="4"/>
      <c r="K724" s="4"/>
      <c r="L724" s="3"/>
      <c r="M724" s="3"/>
      <c r="N724" s="3"/>
      <c r="O724" s="3"/>
      <c r="P724" s="3"/>
      <c r="Q724" s="3"/>
      <c r="R724" s="3"/>
      <c r="S724" s="3"/>
      <c r="T724" s="3"/>
      <c r="U724" s="3"/>
      <c r="V724" s="8"/>
      <c r="W724" s="8"/>
    </row>
    <row r="725" spans="2:23" x14ac:dyDescent="0.2">
      <c r="B725" s="3"/>
      <c r="C725" s="3"/>
      <c r="D725" s="3"/>
      <c r="E725" s="4"/>
      <c r="F725" s="4"/>
      <c r="G725" s="4"/>
      <c r="H725" s="4"/>
      <c r="I725" s="4"/>
      <c r="J725" s="4"/>
      <c r="K725" s="4"/>
      <c r="L725" s="3"/>
      <c r="M725" s="3"/>
      <c r="N725" s="3"/>
      <c r="O725" s="3"/>
      <c r="P725" s="3"/>
      <c r="Q725" s="3"/>
      <c r="R725" s="3"/>
      <c r="S725" s="3"/>
      <c r="T725" s="3"/>
      <c r="U725" s="3"/>
      <c r="V725" s="8"/>
      <c r="W725" s="8"/>
    </row>
    <row r="726" spans="2:23" x14ac:dyDescent="0.2">
      <c r="B726" s="3"/>
      <c r="C726" s="3"/>
      <c r="D726" s="3"/>
      <c r="E726" s="4"/>
      <c r="F726" s="4"/>
      <c r="G726" s="4"/>
      <c r="H726" s="4"/>
      <c r="I726" s="4"/>
      <c r="J726" s="4"/>
      <c r="K726" s="4"/>
      <c r="L726" s="3"/>
      <c r="M726" s="3"/>
      <c r="N726" s="3"/>
      <c r="O726" s="3"/>
      <c r="P726" s="3"/>
      <c r="Q726" s="3"/>
      <c r="R726" s="3"/>
      <c r="S726" s="3"/>
      <c r="T726" s="3"/>
      <c r="U726" s="3"/>
      <c r="V726" s="8"/>
      <c r="W726" s="8"/>
    </row>
    <row r="727" spans="2:23" x14ac:dyDescent="0.2">
      <c r="B727" s="3"/>
      <c r="C727" s="3"/>
      <c r="D727" s="3"/>
      <c r="E727" s="4"/>
      <c r="F727" s="4"/>
      <c r="G727" s="4"/>
      <c r="H727" s="4"/>
      <c r="I727" s="4"/>
      <c r="J727" s="4"/>
      <c r="K727" s="4"/>
      <c r="L727" s="3"/>
      <c r="M727" s="3"/>
      <c r="N727" s="3"/>
      <c r="O727" s="3"/>
      <c r="P727" s="3"/>
      <c r="Q727" s="3"/>
      <c r="R727" s="3"/>
      <c r="S727" s="3"/>
      <c r="T727" s="3"/>
      <c r="U727" s="3"/>
      <c r="V727" s="8"/>
      <c r="W727" s="8"/>
    </row>
    <row r="728" spans="2:23" x14ac:dyDescent="0.2">
      <c r="B728" s="3"/>
      <c r="C728" s="3"/>
      <c r="D728" s="3"/>
      <c r="E728" s="4"/>
      <c r="F728" s="4"/>
      <c r="G728" s="4"/>
      <c r="H728" s="4"/>
      <c r="I728" s="4"/>
      <c r="J728" s="4"/>
      <c r="K728" s="4"/>
      <c r="L728" s="3"/>
      <c r="M728" s="3"/>
      <c r="N728" s="3"/>
      <c r="O728" s="3"/>
      <c r="P728" s="3"/>
      <c r="Q728" s="3"/>
      <c r="R728" s="3"/>
      <c r="S728" s="3"/>
      <c r="T728" s="3"/>
      <c r="U728" s="3"/>
      <c r="V728" s="8"/>
      <c r="W728" s="8"/>
    </row>
    <row r="729" spans="2:23" x14ac:dyDescent="0.2">
      <c r="B729" s="3"/>
      <c r="C729" s="3"/>
      <c r="D729" s="3"/>
      <c r="E729" s="4"/>
      <c r="F729" s="4"/>
      <c r="G729" s="4"/>
      <c r="H729" s="4"/>
      <c r="I729" s="4"/>
      <c r="J729" s="4"/>
      <c r="K729" s="4"/>
      <c r="L729" s="3"/>
      <c r="M729" s="3"/>
      <c r="N729" s="3"/>
      <c r="O729" s="3"/>
      <c r="P729" s="3"/>
      <c r="Q729" s="3"/>
      <c r="R729" s="3"/>
      <c r="S729" s="3"/>
      <c r="T729" s="3"/>
      <c r="U729" s="3"/>
      <c r="V729" s="8"/>
      <c r="W729" s="8"/>
    </row>
    <row r="730" spans="2:23" x14ac:dyDescent="0.2">
      <c r="B730" s="3"/>
      <c r="C730" s="3"/>
      <c r="D730" s="3"/>
      <c r="E730" s="4"/>
      <c r="F730" s="4"/>
      <c r="G730" s="4"/>
      <c r="H730" s="4"/>
      <c r="I730" s="4"/>
      <c r="J730" s="4"/>
      <c r="K730" s="4"/>
      <c r="L730" s="3"/>
      <c r="M730" s="3"/>
      <c r="N730" s="3"/>
      <c r="O730" s="3"/>
      <c r="P730" s="3"/>
      <c r="Q730" s="3"/>
      <c r="R730" s="3"/>
      <c r="S730" s="3"/>
      <c r="T730" s="3"/>
      <c r="U730" s="3"/>
      <c r="V730" s="8"/>
      <c r="W730" s="8"/>
    </row>
    <row r="731" spans="2:23" x14ac:dyDescent="0.2">
      <c r="B731" s="3"/>
      <c r="C731" s="3"/>
      <c r="D731" s="3"/>
      <c r="E731" s="4"/>
      <c r="F731" s="4"/>
      <c r="G731" s="4"/>
      <c r="H731" s="4"/>
      <c r="I731" s="4"/>
      <c r="J731" s="4"/>
      <c r="K731" s="4"/>
      <c r="L731" s="3"/>
      <c r="M731" s="3"/>
      <c r="N731" s="3"/>
      <c r="O731" s="3"/>
      <c r="P731" s="3"/>
      <c r="Q731" s="3"/>
      <c r="R731" s="3"/>
      <c r="S731" s="3"/>
      <c r="T731" s="3"/>
      <c r="U731" s="3"/>
      <c r="V731" s="8"/>
      <c r="W731" s="8"/>
    </row>
    <row r="732" spans="2:23" x14ac:dyDescent="0.2">
      <c r="B732" s="3"/>
      <c r="C732" s="3"/>
      <c r="D732" s="3"/>
      <c r="E732" s="4"/>
      <c r="F732" s="4"/>
      <c r="G732" s="4"/>
      <c r="H732" s="4"/>
      <c r="I732" s="4"/>
      <c r="J732" s="4"/>
      <c r="K732" s="4"/>
      <c r="L732" s="3"/>
      <c r="M732" s="3"/>
      <c r="N732" s="3"/>
      <c r="O732" s="3"/>
      <c r="P732" s="3"/>
      <c r="Q732" s="3"/>
      <c r="R732" s="3"/>
      <c r="S732" s="3"/>
      <c r="T732" s="3"/>
      <c r="U732" s="3"/>
      <c r="V732" s="8"/>
      <c r="W732" s="8"/>
    </row>
    <row r="733" spans="2:23" x14ac:dyDescent="0.2">
      <c r="B733" s="3"/>
      <c r="C733" s="3"/>
      <c r="D733" s="3"/>
      <c r="E733" s="4"/>
      <c r="F733" s="4"/>
      <c r="G733" s="4"/>
      <c r="H733" s="4"/>
      <c r="I733" s="4"/>
      <c r="J733" s="4"/>
      <c r="K733" s="4"/>
      <c r="L733" s="3"/>
      <c r="M733" s="3"/>
      <c r="N733" s="3"/>
      <c r="O733" s="3"/>
      <c r="P733" s="3"/>
      <c r="Q733" s="3"/>
      <c r="R733" s="3"/>
      <c r="S733" s="3"/>
      <c r="T733" s="3"/>
      <c r="U733" s="3"/>
      <c r="V733" s="8"/>
      <c r="W733" s="8"/>
    </row>
    <row r="734" spans="2:23" x14ac:dyDescent="0.2">
      <c r="B734" s="3"/>
      <c r="C734" s="3"/>
      <c r="D734" s="3"/>
      <c r="E734" s="4"/>
      <c r="F734" s="4"/>
      <c r="G734" s="4"/>
      <c r="H734" s="4"/>
      <c r="I734" s="4"/>
      <c r="J734" s="4"/>
      <c r="K734" s="4"/>
      <c r="L734" s="3"/>
      <c r="M734" s="3"/>
      <c r="N734" s="3"/>
      <c r="O734" s="3"/>
      <c r="P734" s="3"/>
      <c r="Q734" s="3"/>
      <c r="R734" s="3"/>
      <c r="S734" s="3"/>
      <c r="T734" s="3"/>
      <c r="U734" s="3"/>
      <c r="V734" s="8"/>
      <c r="W734" s="8"/>
    </row>
    <row r="735" spans="2:23" x14ac:dyDescent="0.2">
      <c r="B735" s="3"/>
      <c r="C735" s="3"/>
      <c r="D735" s="3"/>
      <c r="E735" s="4"/>
      <c r="F735" s="4"/>
      <c r="G735" s="4"/>
      <c r="H735" s="4"/>
      <c r="I735" s="4"/>
      <c r="J735" s="4"/>
      <c r="K735" s="4"/>
      <c r="L735" s="3"/>
      <c r="M735" s="3"/>
      <c r="N735" s="3"/>
      <c r="O735" s="3"/>
      <c r="P735" s="3"/>
      <c r="Q735" s="3"/>
      <c r="R735" s="3"/>
      <c r="S735" s="3"/>
      <c r="T735" s="3"/>
      <c r="U735" s="3"/>
      <c r="V735" s="8"/>
      <c r="W735" s="8"/>
    </row>
    <row r="736" spans="2:23" x14ac:dyDescent="0.2">
      <c r="B736" s="3"/>
      <c r="C736" s="3"/>
      <c r="D736" s="3"/>
      <c r="E736" s="4"/>
      <c r="F736" s="4"/>
      <c r="G736" s="4"/>
      <c r="H736" s="4"/>
      <c r="I736" s="4"/>
      <c r="J736" s="4"/>
      <c r="K736" s="4"/>
      <c r="L736" s="3"/>
      <c r="M736" s="3"/>
      <c r="N736" s="3"/>
      <c r="O736" s="3"/>
      <c r="P736" s="3"/>
      <c r="Q736" s="3"/>
      <c r="R736" s="3"/>
      <c r="S736" s="3"/>
      <c r="T736" s="3"/>
      <c r="U736" s="3"/>
      <c r="V736" s="8"/>
      <c r="W736" s="8"/>
    </row>
    <row r="737" spans="2:23" x14ac:dyDescent="0.2">
      <c r="B737" s="3"/>
      <c r="C737" s="3"/>
      <c r="D737" s="3"/>
      <c r="E737" s="4"/>
      <c r="F737" s="4"/>
      <c r="G737" s="4"/>
      <c r="H737" s="4"/>
      <c r="I737" s="4"/>
      <c r="J737" s="4"/>
      <c r="K737" s="4"/>
      <c r="L737" s="3"/>
      <c r="M737" s="3"/>
      <c r="N737" s="3"/>
      <c r="O737" s="3"/>
      <c r="P737" s="3"/>
      <c r="Q737" s="3"/>
      <c r="R737" s="3"/>
      <c r="S737" s="3"/>
      <c r="T737" s="3"/>
      <c r="U737" s="3"/>
      <c r="V737" s="8"/>
      <c r="W737" s="8"/>
    </row>
    <row r="738" spans="2:23" x14ac:dyDescent="0.2">
      <c r="B738" s="3"/>
      <c r="C738" s="3"/>
      <c r="D738" s="3"/>
      <c r="E738" s="4"/>
      <c r="F738" s="4"/>
      <c r="G738" s="4"/>
      <c r="H738" s="4"/>
      <c r="I738" s="4"/>
      <c r="J738" s="4"/>
      <c r="K738" s="4"/>
      <c r="L738" s="3"/>
      <c r="M738" s="3"/>
      <c r="N738" s="3"/>
      <c r="O738" s="3"/>
      <c r="P738" s="3"/>
      <c r="Q738" s="3"/>
      <c r="R738" s="3"/>
      <c r="S738" s="3"/>
      <c r="T738" s="3"/>
      <c r="U738" s="3"/>
      <c r="V738" s="8"/>
      <c r="W738" s="8"/>
    </row>
    <row r="739" spans="2:23" x14ac:dyDescent="0.2">
      <c r="B739" s="3"/>
      <c r="C739" s="3"/>
      <c r="D739" s="3"/>
      <c r="E739" s="4"/>
      <c r="F739" s="4"/>
      <c r="G739" s="4"/>
      <c r="H739" s="4"/>
      <c r="I739" s="4"/>
      <c r="J739" s="4"/>
      <c r="K739" s="4"/>
      <c r="L739" s="3"/>
      <c r="M739" s="3"/>
      <c r="N739" s="3"/>
      <c r="O739" s="3"/>
      <c r="P739" s="3"/>
      <c r="Q739" s="3"/>
      <c r="R739" s="3"/>
      <c r="S739" s="3"/>
      <c r="T739" s="3"/>
      <c r="U739" s="3"/>
      <c r="V739" s="8"/>
      <c r="W739" s="8"/>
    </row>
    <row r="740" spans="2:23" x14ac:dyDescent="0.2">
      <c r="B740" s="3"/>
      <c r="C740" s="3"/>
      <c r="D740" s="3"/>
      <c r="E740" s="4"/>
      <c r="F740" s="4"/>
      <c r="G740" s="4"/>
      <c r="H740" s="4"/>
      <c r="I740" s="4"/>
      <c r="J740" s="4"/>
      <c r="K740" s="4"/>
      <c r="L740" s="3"/>
      <c r="M740" s="3"/>
      <c r="N740" s="3"/>
      <c r="O740" s="3"/>
      <c r="P740" s="3"/>
      <c r="Q740" s="3"/>
      <c r="R740" s="3"/>
      <c r="S740" s="3"/>
      <c r="T740" s="3"/>
      <c r="U740" s="3"/>
      <c r="V740" s="8"/>
      <c r="W740" s="8"/>
    </row>
    <row r="741" spans="2:23" x14ac:dyDescent="0.2">
      <c r="B741" s="3"/>
      <c r="C741" s="3"/>
      <c r="D741" s="3"/>
      <c r="E741" s="4"/>
      <c r="F741" s="4"/>
      <c r="G741" s="4"/>
      <c r="H741" s="4"/>
      <c r="I741" s="4"/>
      <c r="J741" s="4"/>
      <c r="K741" s="4"/>
      <c r="L741" s="3"/>
      <c r="M741" s="3"/>
      <c r="N741" s="3"/>
      <c r="O741" s="3"/>
      <c r="P741" s="3"/>
      <c r="Q741" s="3"/>
      <c r="R741" s="3"/>
      <c r="S741" s="3"/>
      <c r="T741" s="3"/>
      <c r="U741" s="3"/>
      <c r="V741" s="8"/>
      <c r="W741" s="8"/>
    </row>
    <row r="742" spans="2:23" x14ac:dyDescent="0.2">
      <c r="B742" s="3"/>
      <c r="C742" s="3"/>
      <c r="D742" s="3"/>
      <c r="E742" s="4"/>
      <c r="F742" s="4"/>
      <c r="G742" s="4"/>
      <c r="H742" s="4"/>
      <c r="I742" s="4"/>
      <c r="J742" s="4"/>
      <c r="K742" s="4"/>
      <c r="L742" s="3"/>
      <c r="M742" s="3"/>
      <c r="N742" s="3"/>
      <c r="O742" s="3"/>
      <c r="P742" s="3"/>
      <c r="Q742" s="3"/>
      <c r="R742" s="3"/>
      <c r="S742" s="3"/>
      <c r="T742" s="3"/>
      <c r="U742" s="3"/>
      <c r="V742" s="8"/>
      <c r="W742" s="8"/>
    </row>
    <row r="743" spans="2:23" x14ac:dyDescent="0.2">
      <c r="B743" s="3"/>
      <c r="C743" s="3"/>
      <c r="D743" s="3"/>
      <c r="E743" s="4"/>
      <c r="F743" s="4"/>
      <c r="G743" s="4"/>
      <c r="H743" s="4"/>
      <c r="I743" s="4"/>
      <c r="J743" s="4"/>
      <c r="K743" s="4"/>
      <c r="L743" s="3"/>
      <c r="M743" s="3"/>
      <c r="N743" s="3"/>
      <c r="O743" s="3"/>
      <c r="P743" s="3"/>
      <c r="Q743" s="3"/>
      <c r="R743" s="3"/>
      <c r="S743" s="3"/>
      <c r="T743" s="3"/>
      <c r="U743" s="3"/>
      <c r="V743" s="8"/>
      <c r="W743" s="8"/>
    </row>
    <row r="744" spans="2:23" x14ac:dyDescent="0.2">
      <c r="B744" s="3"/>
      <c r="C744" s="3"/>
      <c r="D744" s="3"/>
      <c r="E744" s="4"/>
      <c r="F744" s="4"/>
      <c r="G744" s="4"/>
      <c r="H744" s="4"/>
      <c r="I744" s="4"/>
      <c r="J744" s="4"/>
      <c r="K744" s="4"/>
      <c r="L744" s="3"/>
      <c r="M744" s="3"/>
      <c r="N744" s="3"/>
      <c r="O744" s="3"/>
      <c r="P744" s="3"/>
      <c r="Q744" s="3"/>
      <c r="R744" s="3"/>
      <c r="S744" s="3"/>
      <c r="T744" s="3"/>
      <c r="U744" s="3"/>
      <c r="V744" s="8"/>
      <c r="W744" s="8"/>
    </row>
    <row r="745" spans="2:23" x14ac:dyDescent="0.2">
      <c r="B745" s="3"/>
      <c r="C745" s="3"/>
      <c r="D745" s="3"/>
      <c r="E745" s="4"/>
      <c r="F745" s="4"/>
      <c r="G745" s="4"/>
      <c r="H745" s="4"/>
      <c r="I745" s="4"/>
      <c r="J745" s="4"/>
      <c r="K745" s="4"/>
      <c r="L745" s="3"/>
      <c r="M745" s="3"/>
      <c r="N745" s="3"/>
      <c r="O745" s="3"/>
      <c r="P745" s="3"/>
      <c r="Q745" s="3"/>
      <c r="R745" s="3"/>
      <c r="S745" s="3"/>
      <c r="T745" s="3"/>
      <c r="U745" s="3"/>
      <c r="V745" s="8"/>
      <c r="W745" s="8"/>
    </row>
    <row r="746" spans="2:23" x14ac:dyDescent="0.2">
      <c r="B746" s="3"/>
      <c r="C746" s="3"/>
      <c r="D746" s="3"/>
      <c r="E746" s="4"/>
      <c r="F746" s="4"/>
      <c r="G746" s="4"/>
      <c r="H746" s="4"/>
      <c r="I746" s="4"/>
      <c r="J746" s="4"/>
      <c r="K746" s="4"/>
      <c r="L746" s="3"/>
      <c r="M746" s="3"/>
      <c r="N746" s="3"/>
      <c r="O746" s="3"/>
      <c r="P746" s="3"/>
      <c r="Q746" s="3"/>
      <c r="R746" s="3"/>
      <c r="S746" s="3"/>
      <c r="T746" s="3"/>
      <c r="U746" s="3"/>
      <c r="V746" s="8"/>
      <c r="W746" s="8"/>
    </row>
    <row r="747" spans="2:23" x14ac:dyDescent="0.2">
      <c r="B747" s="3"/>
      <c r="C747" s="3"/>
      <c r="D747" s="3"/>
      <c r="E747" s="4"/>
      <c r="F747" s="4"/>
      <c r="G747" s="4"/>
      <c r="H747" s="4"/>
      <c r="I747" s="4"/>
      <c r="J747" s="4"/>
      <c r="K747" s="4"/>
      <c r="L747" s="3"/>
      <c r="M747" s="3"/>
      <c r="N747" s="3"/>
      <c r="O747" s="3"/>
      <c r="P747" s="3"/>
      <c r="Q747" s="3"/>
      <c r="R747" s="3"/>
      <c r="S747" s="3"/>
      <c r="T747" s="3"/>
      <c r="U747" s="3"/>
      <c r="V747" s="8"/>
      <c r="W747" s="8"/>
    </row>
    <row r="748" spans="2:23" x14ac:dyDescent="0.2">
      <c r="B748" s="3"/>
      <c r="C748" s="3"/>
      <c r="D748" s="3"/>
      <c r="E748" s="4"/>
      <c r="F748" s="4"/>
      <c r="G748" s="4"/>
      <c r="H748" s="4"/>
      <c r="I748" s="4"/>
      <c r="J748" s="4"/>
      <c r="K748" s="4"/>
      <c r="L748" s="3"/>
      <c r="M748" s="3"/>
      <c r="N748" s="3"/>
      <c r="O748" s="3"/>
      <c r="P748" s="3"/>
      <c r="Q748" s="3"/>
      <c r="R748" s="3"/>
      <c r="S748" s="3"/>
      <c r="T748" s="3"/>
      <c r="U748" s="3"/>
      <c r="V748" s="8"/>
      <c r="W748" s="8"/>
    </row>
    <row r="749" spans="2:23" x14ac:dyDescent="0.2">
      <c r="B749" s="3"/>
      <c r="C749" s="3"/>
      <c r="D749" s="3"/>
      <c r="E749" s="4"/>
      <c r="F749" s="4"/>
      <c r="G749" s="4"/>
      <c r="H749" s="4"/>
      <c r="I749" s="4"/>
      <c r="J749" s="4"/>
      <c r="K749" s="4"/>
      <c r="L749" s="3"/>
      <c r="M749" s="3"/>
      <c r="N749" s="3"/>
      <c r="O749" s="3"/>
      <c r="P749" s="3"/>
      <c r="Q749" s="3"/>
      <c r="R749" s="3"/>
      <c r="S749" s="3"/>
      <c r="T749" s="3"/>
      <c r="U749" s="3"/>
      <c r="V749" s="8"/>
      <c r="W749" s="8"/>
    </row>
    <row r="750" spans="2:23" x14ac:dyDescent="0.2">
      <c r="B750" s="3"/>
      <c r="C750" s="3"/>
      <c r="D750" s="3"/>
      <c r="E750" s="4"/>
      <c r="F750" s="4"/>
      <c r="G750" s="4"/>
      <c r="H750" s="4"/>
      <c r="I750" s="4"/>
      <c r="J750" s="4"/>
      <c r="K750" s="4"/>
      <c r="L750" s="3"/>
      <c r="M750" s="3"/>
      <c r="N750" s="3"/>
      <c r="O750" s="3"/>
      <c r="P750" s="3"/>
      <c r="Q750" s="3"/>
      <c r="R750" s="3"/>
      <c r="S750" s="3"/>
      <c r="T750" s="3"/>
      <c r="U750" s="3"/>
      <c r="V750" s="8"/>
      <c r="W750" s="8"/>
    </row>
    <row r="751" spans="2:23" x14ac:dyDescent="0.2">
      <c r="B751" s="3"/>
      <c r="C751" s="3"/>
      <c r="D751" s="3"/>
      <c r="E751" s="4"/>
      <c r="F751" s="4"/>
      <c r="G751" s="4"/>
      <c r="H751" s="4"/>
      <c r="I751" s="4"/>
      <c r="J751" s="4"/>
      <c r="K751" s="4"/>
      <c r="L751" s="3"/>
      <c r="M751" s="3"/>
      <c r="N751" s="3"/>
      <c r="O751" s="3"/>
      <c r="P751" s="3"/>
      <c r="Q751" s="3"/>
      <c r="R751" s="3"/>
      <c r="S751" s="3"/>
      <c r="T751" s="3"/>
      <c r="U751" s="3"/>
      <c r="V751" s="8"/>
      <c r="W751" s="8"/>
    </row>
    <row r="752" spans="2:23" x14ac:dyDescent="0.2">
      <c r="B752" s="3"/>
      <c r="C752" s="3"/>
      <c r="D752" s="3"/>
      <c r="E752" s="4"/>
      <c r="F752" s="4"/>
      <c r="G752" s="4"/>
      <c r="H752" s="4"/>
      <c r="I752" s="4"/>
      <c r="J752" s="4"/>
      <c r="K752" s="4"/>
      <c r="L752" s="3"/>
      <c r="M752" s="3"/>
      <c r="N752" s="3"/>
      <c r="O752" s="3"/>
      <c r="P752" s="3"/>
      <c r="Q752" s="3"/>
      <c r="R752" s="3"/>
      <c r="S752" s="3"/>
      <c r="T752" s="3"/>
      <c r="U752" s="3"/>
      <c r="V752" s="8"/>
      <c r="W752" s="8"/>
    </row>
    <row r="753" spans="2:23" x14ac:dyDescent="0.2">
      <c r="B753" s="3"/>
      <c r="C753" s="3"/>
      <c r="D753" s="3"/>
      <c r="E753" s="4"/>
      <c r="F753" s="4"/>
      <c r="G753" s="4"/>
      <c r="H753" s="4"/>
      <c r="I753" s="4"/>
      <c r="J753" s="4"/>
      <c r="K753" s="4"/>
      <c r="L753" s="3"/>
      <c r="M753" s="3"/>
      <c r="N753" s="3"/>
      <c r="O753" s="3"/>
      <c r="P753" s="3"/>
      <c r="Q753" s="3"/>
      <c r="R753" s="3"/>
      <c r="S753" s="3"/>
      <c r="T753" s="3"/>
      <c r="U753" s="3"/>
      <c r="V753" s="8"/>
      <c r="W753" s="8"/>
    </row>
    <row r="754" spans="2:23" x14ac:dyDescent="0.2">
      <c r="B754" s="3"/>
      <c r="C754" s="3"/>
      <c r="D754" s="3"/>
      <c r="E754" s="4"/>
      <c r="F754" s="4"/>
      <c r="G754" s="4"/>
      <c r="H754" s="4"/>
      <c r="I754" s="4"/>
      <c r="J754" s="4"/>
      <c r="K754" s="4"/>
      <c r="L754" s="3"/>
      <c r="M754" s="3"/>
      <c r="N754" s="3"/>
      <c r="O754" s="3"/>
      <c r="P754" s="3"/>
      <c r="Q754" s="3"/>
      <c r="R754" s="3"/>
      <c r="S754" s="3"/>
      <c r="T754" s="3"/>
      <c r="U754" s="3"/>
      <c r="V754" s="8"/>
      <c r="W754" s="8"/>
    </row>
    <row r="755" spans="2:23" x14ac:dyDescent="0.2">
      <c r="B755" s="3"/>
      <c r="C755" s="3"/>
      <c r="D755" s="3"/>
      <c r="E755" s="4"/>
      <c r="F755" s="4"/>
      <c r="G755" s="4"/>
      <c r="H755" s="4"/>
      <c r="I755" s="4"/>
      <c r="J755" s="4"/>
      <c r="K755" s="4"/>
      <c r="L755" s="3"/>
      <c r="M755" s="3"/>
      <c r="N755" s="3"/>
      <c r="O755" s="3"/>
      <c r="P755" s="3"/>
      <c r="Q755" s="3"/>
      <c r="R755" s="3"/>
      <c r="S755" s="3"/>
      <c r="T755" s="3"/>
      <c r="U755" s="3"/>
      <c r="V755" s="8"/>
      <c r="W755" s="8"/>
    </row>
    <row r="756" spans="2:23" x14ac:dyDescent="0.2">
      <c r="B756" s="3"/>
      <c r="C756" s="3"/>
      <c r="D756" s="3"/>
      <c r="E756" s="4"/>
      <c r="F756" s="4"/>
      <c r="G756" s="4"/>
      <c r="H756" s="4"/>
      <c r="I756" s="4"/>
      <c r="J756" s="4"/>
      <c r="K756" s="4"/>
      <c r="L756" s="3"/>
      <c r="M756" s="3"/>
      <c r="N756" s="3"/>
      <c r="O756" s="3"/>
      <c r="P756" s="3"/>
      <c r="Q756" s="3"/>
      <c r="R756" s="3"/>
      <c r="S756" s="3"/>
      <c r="T756" s="3"/>
      <c r="U756" s="3"/>
      <c r="V756" s="8"/>
      <c r="W756" s="8"/>
    </row>
    <row r="757" spans="2:23" x14ac:dyDescent="0.2">
      <c r="B757" s="3"/>
      <c r="C757" s="3"/>
      <c r="D757" s="3"/>
      <c r="E757" s="4"/>
      <c r="F757" s="4"/>
      <c r="G757" s="4"/>
      <c r="H757" s="4"/>
      <c r="I757" s="4"/>
      <c r="J757" s="4"/>
      <c r="K757" s="4"/>
      <c r="L757" s="3"/>
      <c r="M757" s="3"/>
      <c r="N757" s="3"/>
      <c r="O757" s="3"/>
      <c r="P757" s="3"/>
      <c r="Q757" s="3"/>
      <c r="R757" s="3"/>
      <c r="S757" s="3"/>
      <c r="T757" s="3"/>
      <c r="U757" s="3"/>
      <c r="V757" s="8"/>
      <c r="W757" s="8"/>
    </row>
    <row r="758" spans="2:23" x14ac:dyDescent="0.2">
      <c r="B758" s="3"/>
      <c r="C758" s="3"/>
      <c r="D758" s="3"/>
      <c r="E758" s="4"/>
      <c r="F758" s="4"/>
      <c r="G758" s="4"/>
      <c r="H758" s="4"/>
      <c r="I758" s="4"/>
      <c r="J758" s="4"/>
      <c r="K758" s="4"/>
      <c r="L758" s="3"/>
      <c r="M758" s="3"/>
      <c r="N758" s="3"/>
      <c r="O758" s="3"/>
      <c r="P758" s="3"/>
      <c r="Q758" s="3"/>
      <c r="R758" s="3"/>
      <c r="S758" s="3"/>
      <c r="T758" s="3"/>
      <c r="U758" s="3"/>
      <c r="V758" s="8"/>
      <c r="W758" s="8"/>
    </row>
    <row r="759" spans="2:23" x14ac:dyDescent="0.2">
      <c r="B759" s="3"/>
      <c r="C759" s="3"/>
      <c r="D759" s="3"/>
      <c r="E759" s="4"/>
      <c r="F759" s="4"/>
      <c r="G759" s="4"/>
      <c r="H759" s="4"/>
      <c r="I759" s="4"/>
      <c r="J759" s="4"/>
      <c r="K759" s="4"/>
      <c r="L759" s="3"/>
      <c r="M759" s="3"/>
      <c r="N759" s="3"/>
      <c r="O759" s="3"/>
      <c r="P759" s="3"/>
      <c r="Q759" s="3"/>
      <c r="R759" s="3"/>
      <c r="S759" s="3"/>
      <c r="T759" s="3"/>
      <c r="U759" s="3"/>
      <c r="V759" s="8"/>
      <c r="W759" s="8"/>
    </row>
    <row r="760" spans="2:23" x14ac:dyDescent="0.2">
      <c r="B760" s="3"/>
      <c r="C760" s="3"/>
      <c r="D760" s="3"/>
      <c r="E760" s="4"/>
      <c r="F760" s="4"/>
      <c r="G760" s="4"/>
      <c r="H760" s="4"/>
      <c r="I760" s="4"/>
      <c r="J760" s="4"/>
      <c r="K760" s="4"/>
      <c r="L760" s="3"/>
      <c r="M760" s="3"/>
      <c r="N760" s="3"/>
      <c r="O760" s="3"/>
      <c r="P760" s="3"/>
      <c r="Q760" s="3"/>
      <c r="R760" s="3"/>
      <c r="S760" s="3"/>
      <c r="T760" s="3"/>
      <c r="U760" s="3"/>
      <c r="V760" s="8"/>
      <c r="W760" s="8"/>
    </row>
    <row r="761" spans="2:23" x14ac:dyDescent="0.2">
      <c r="B761" s="3"/>
      <c r="C761" s="3"/>
      <c r="D761" s="3"/>
      <c r="E761" s="4"/>
      <c r="F761" s="4"/>
      <c r="G761" s="4"/>
      <c r="H761" s="4"/>
      <c r="I761" s="4"/>
      <c r="J761" s="4"/>
      <c r="K761" s="4"/>
      <c r="L761" s="3"/>
      <c r="M761" s="3"/>
      <c r="N761" s="3"/>
      <c r="O761" s="3"/>
      <c r="P761" s="3"/>
      <c r="Q761" s="3"/>
      <c r="R761" s="3"/>
      <c r="S761" s="3"/>
      <c r="T761" s="3"/>
      <c r="U761" s="3"/>
      <c r="V761" s="8"/>
      <c r="W761" s="8"/>
    </row>
    <row r="762" spans="2:23" x14ac:dyDescent="0.2">
      <c r="B762" s="3"/>
      <c r="C762" s="3"/>
      <c r="D762" s="3"/>
      <c r="E762" s="4"/>
      <c r="F762" s="4"/>
      <c r="G762" s="4"/>
      <c r="H762" s="4"/>
      <c r="I762" s="4"/>
      <c r="J762" s="4"/>
      <c r="K762" s="4"/>
      <c r="L762" s="3"/>
      <c r="M762" s="3"/>
      <c r="N762" s="3"/>
      <c r="O762" s="3"/>
      <c r="P762" s="3"/>
      <c r="Q762" s="3"/>
      <c r="R762" s="3"/>
      <c r="S762" s="3"/>
      <c r="T762" s="3"/>
      <c r="U762" s="3"/>
      <c r="V762" s="8"/>
      <c r="W762" s="8"/>
    </row>
    <row r="763" spans="2:23" x14ac:dyDescent="0.2">
      <c r="B763" s="3"/>
      <c r="C763" s="3"/>
      <c r="D763" s="3"/>
      <c r="E763" s="4"/>
      <c r="F763" s="4"/>
      <c r="G763" s="4"/>
      <c r="H763" s="4"/>
      <c r="I763" s="4"/>
      <c r="J763" s="4"/>
      <c r="K763" s="4"/>
      <c r="L763" s="3"/>
      <c r="M763" s="3"/>
      <c r="N763" s="3"/>
      <c r="O763" s="3"/>
      <c r="P763" s="3"/>
      <c r="Q763" s="3"/>
      <c r="R763" s="3"/>
      <c r="S763" s="3"/>
      <c r="T763" s="3"/>
      <c r="U763" s="3"/>
      <c r="V763" s="8"/>
      <c r="W763" s="8"/>
    </row>
    <row r="764" spans="2:23" x14ac:dyDescent="0.2">
      <c r="B764" s="3"/>
      <c r="C764" s="3"/>
      <c r="D764" s="3"/>
      <c r="E764" s="4"/>
      <c r="F764" s="4"/>
      <c r="G764" s="4"/>
      <c r="H764" s="4"/>
      <c r="I764" s="4"/>
      <c r="J764" s="4"/>
      <c r="K764" s="4"/>
      <c r="L764" s="3"/>
      <c r="M764" s="3"/>
      <c r="N764" s="3"/>
      <c r="O764" s="3"/>
      <c r="P764" s="3"/>
      <c r="Q764" s="3"/>
      <c r="R764" s="3"/>
      <c r="S764" s="3"/>
      <c r="T764" s="3"/>
      <c r="U764" s="3"/>
      <c r="V764" s="8"/>
      <c r="W764" s="8"/>
    </row>
    <row r="765" spans="2:23" x14ac:dyDescent="0.2">
      <c r="B765" s="3"/>
      <c r="C765" s="3"/>
      <c r="D765" s="3"/>
      <c r="E765" s="4"/>
      <c r="F765" s="4"/>
      <c r="G765" s="4"/>
      <c r="H765" s="4"/>
      <c r="I765" s="4"/>
      <c r="J765" s="4"/>
      <c r="K765" s="4"/>
      <c r="L765" s="3"/>
      <c r="M765" s="3"/>
      <c r="N765" s="3"/>
      <c r="O765" s="3"/>
      <c r="P765" s="3"/>
      <c r="Q765" s="3"/>
      <c r="R765" s="3"/>
      <c r="S765" s="3"/>
      <c r="T765" s="3"/>
      <c r="U765" s="3"/>
      <c r="V765" s="8"/>
      <c r="W765" s="8"/>
    </row>
    <row r="766" spans="2:23" x14ac:dyDescent="0.2">
      <c r="B766" s="3"/>
      <c r="C766" s="3"/>
      <c r="D766" s="3"/>
      <c r="E766" s="4"/>
      <c r="F766" s="4"/>
      <c r="G766" s="4"/>
      <c r="H766" s="4"/>
      <c r="I766" s="4"/>
      <c r="J766" s="4"/>
      <c r="K766" s="4"/>
      <c r="L766" s="3"/>
      <c r="M766" s="3"/>
      <c r="N766" s="3"/>
      <c r="O766" s="3"/>
      <c r="P766" s="3"/>
      <c r="Q766" s="3"/>
      <c r="R766" s="3"/>
      <c r="S766" s="3"/>
      <c r="T766" s="3"/>
      <c r="U766" s="3"/>
      <c r="V766" s="8"/>
      <c r="W766" s="8"/>
    </row>
    <row r="767" spans="2:23" x14ac:dyDescent="0.2">
      <c r="B767" s="3"/>
      <c r="C767" s="3"/>
      <c r="D767" s="3"/>
      <c r="E767" s="4"/>
      <c r="F767" s="4"/>
      <c r="G767" s="4"/>
      <c r="H767" s="4"/>
      <c r="I767" s="4"/>
      <c r="J767" s="4"/>
      <c r="K767" s="4"/>
      <c r="L767" s="3"/>
      <c r="M767" s="3"/>
      <c r="N767" s="3"/>
      <c r="O767" s="3"/>
      <c r="P767" s="3"/>
      <c r="Q767" s="3"/>
      <c r="R767" s="3"/>
      <c r="S767" s="3"/>
      <c r="T767" s="3"/>
      <c r="U767" s="3"/>
      <c r="V767" s="8"/>
      <c r="W767" s="8"/>
    </row>
    <row r="768" spans="2:23" x14ac:dyDescent="0.2">
      <c r="B768" s="3"/>
      <c r="C768" s="3"/>
      <c r="D768" s="3"/>
      <c r="E768" s="4"/>
      <c r="F768" s="4"/>
      <c r="G768" s="4"/>
      <c r="H768" s="4"/>
      <c r="I768" s="4"/>
      <c r="J768" s="4"/>
      <c r="K768" s="4"/>
      <c r="L768" s="3"/>
      <c r="M768" s="3"/>
      <c r="N768" s="3"/>
      <c r="O768" s="3"/>
      <c r="P768" s="3"/>
      <c r="Q768" s="3"/>
      <c r="R768" s="3"/>
      <c r="S768" s="3"/>
      <c r="T768" s="3"/>
      <c r="U768" s="3"/>
      <c r="V768" s="8"/>
      <c r="W768" s="8"/>
    </row>
    <row r="769" spans="2:23" x14ac:dyDescent="0.2">
      <c r="B769" s="3"/>
      <c r="C769" s="3"/>
      <c r="D769" s="3"/>
      <c r="E769" s="4"/>
      <c r="F769" s="4"/>
      <c r="G769" s="4"/>
      <c r="H769" s="4"/>
      <c r="I769" s="4"/>
      <c r="J769" s="4"/>
      <c r="K769" s="4"/>
      <c r="L769" s="3"/>
      <c r="M769" s="3"/>
      <c r="N769" s="3"/>
      <c r="O769" s="3"/>
      <c r="P769" s="3"/>
      <c r="Q769" s="3"/>
      <c r="R769" s="3"/>
      <c r="S769" s="3"/>
      <c r="T769" s="3"/>
      <c r="U769" s="3"/>
      <c r="V769" s="8"/>
      <c r="W769" s="8"/>
    </row>
    <row r="770" spans="2:23" x14ac:dyDescent="0.2">
      <c r="B770" s="3"/>
      <c r="C770" s="3"/>
      <c r="D770" s="3"/>
      <c r="E770" s="4"/>
      <c r="F770" s="4"/>
      <c r="G770" s="4"/>
      <c r="H770" s="4"/>
      <c r="I770" s="4"/>
      <c r="J770" s="4"/>
      <c r="K770" s="4"/>
      <c r="L770" s="3"/>
      <c r="M770" s="3"/>
      <c r="N770" s="3"/>
      <c r="O770" s="3"/>
      <c r="P770" s="3"/>
      <c r="Q770" s="3"/>
      <c r="R770" s="3"/>
      <c r="S770" s="3"/>
      <c r="T770" s="3"/>
      <c r="U770" s="3"/>
      <c r="V770" s="8"/>
      <c r="W770" s="8"/>
    </row>
    <row r="771" spans="2:23" x14ac:dyDescent="0.2">
      <c r="B771" s="3"/>
      <c r="C771" s="3"/>
      <c r="D771" s="3"/>
      <c r="E771" s="4"/>
      <c r="F771" s="4"/>
      <c r="G771" s="4"/>
      <c r="H771" s="4"/>
      <c r="I771" s="4"/>
      <c r="J771" s="4"/>
      <c r="K771" s="4"/>
      <c r="L771" s="3"/>
      <c r="M771" s="3"/>
      <c r="N771" s="3"/>
      <c r="O771" s="3"/>
      <c r="P771" s="3"/>
      <c r="Q771" s="3"/>
      <c r="R771" s="3"/>
      <c r="S771" s="3"/>
      <c r="T771" s="3"/>
      <c r="U771" s="3"/>
      <c r="V771" s="8"/>
      <c r="W771" s="8"/>
    </row>
    <row r="772" spans="2:23" x14ac:dyDescent="0.2">
      <c r="B772" s="3"/>
      <c r="C772" s="3"/>
      <c r="D772" s="3"/>
      <c r="E772" s="4"/>
      <c r="F772" s="4"/>
      <c r="G772" s="4"/>
      <c r="H772" s="4"/>
      <c r="I772" s="4"/>
      <c r="J772" s="4"/>
      <c r="K772" s="4"/>
      <c r="L772" s="3"/>
      <c r="M772" s="3"/>
      <c r="N772" s="3"/>
      <c r="O772" s="3"/>
      <c r="P772" s="3"/>
      <c r="Q772" s="3"/>
      <c r="R772" s="3"/>
      <c r="S772" s="3"/>
      <c r="T772" s="3"/>
      <c r="U772" s="3"/>
      <c r="V772" s="8"/>
      <c r="W772" s="8"/>
    </row>
    <row r="773" spans="2:23" x14ac:dyDescent="0.2">
      <c r="B773" s="3"/>
      <c r="C773" s="3"/>
      <c r="D773" s="3"/>
      <c r="E773" s="4"/>
      <c r="F773" s="4"/>
      <c r="G773" s="4"/>
      <c r="H773" s="4"/>
      <c r="I773" s="4"/>
      <c r="J773" s="4"/>
      <c r="K773" s="4"/>
      <c r="L773" s="3"/>
      <c r="M773" s="3"/>
      <c r="N773" s="3"/>
      <c r="O773" s="3"/>
      <c r="P773" s="3"/>
      <c r="Q773" s="3"/>
      <c r="R773" s="3"/>
      <c r="S773" s="3"/>
      <c r="T773" s="3"/>
      <c r="U773" s="3"/>
      <c r="V773" s="8"/>
      <c r="W773" s="8"/>
    </row>
    <row r="774" spans="2:23" x14ac:dyDescent="0.2">
      <c r="B774" s="3"/>
      <c r="C774" s="3"/>
      <c r="D774" s="3"/>
      <c r="E774" s="4"/>
      <c r="F774" s="4"/>
      <c r="G774" s="4"/>
      <c r="H774" s="4"/>
      <c r="I774" s="4"/>
      <c r="J774" s="4"/>
      <c r="K774" s="4"/>
      <c r="L774" s="3"/>
      <c r="M774" s="3"/>
      <c r="N774" s="3"/>
      <c r="O774" s="3"/>
      <c r="P774" s="3"/>
      <c r="Q774" s="3"/>
      <c r="R774" s="3"/>
      <c r="S774" s="3"/>
      <c r="T774" s="3"/>
      <c r="U774" s="3"/>
      <c r="V774" s="8"/>
      <c r="W774" s="8"/>
    </row>
    <row r="775" spans="2:23" x14ac:dyDescent="0.2">
      <c r="B775" s="3"/>
      <c r="C775" s="3"/>
      <c r="D775" s="3"/>
      <c r="E775" s="4"/>
      <c r="F775" s="4"/>
      <c r="G775" s="4"/>
      <c r="H775" s="4"/>
      <c r="I775" s="4"/>
      <c r="J775" s="4"/>
      <c r="K775" s="4"/>
      <c r="L775" s="3"/>
      <c r="M775" s="3"/>
      <c r="N775" s="3"/>
      <c r="O775" s="3"/>
      <c r="P775" s="3"/>
      <c r="Q775" s="3"/>
      <c r="R775" s="3"/>
      <c r="S775" s="3"/>
      <c r="T775" s="3"/>
      <c r="U775" s="3"/>
      <c r="V775" s="8"/>
      <c r="W775" s="8"/>
    </row>
    <row r="776" spans="2:23" x14ac:dyDescent="0.2">
      <c r="B776" s="3"/>
      <c r="C776" s="3"/>
      <c r="D776" s="3"/>
      <c r="E776" s="4"/>
      <c r="F776" s="4"/>
      <c r="G776" s="4"/>
      <c r="H776" s="4"/>
      <c r="I776" s="4"/>
      <c r="J776" s="4"/>
      <c r="K776" s="4"/>
      <c r="L776" s="3"/>
      <c r="M776" s="3"/>
      <c r="N776" s="3"/>
      <c r="O776" s="3"/>
      <c r="P776" s="3"/>
      <c r="Q776" s="3"/>
      <c r="R776" s="3"/>
      <c r="S776" s="3"/>
      <c r="T776" s="3"/>
      <c r="U776" s="3"/>
      <c r="V776" s="8"/>
      <c r="W776" s="8"/>
    </row>
    <row r="777" spans="2:23" x14ac:dyDescent="0.2">
      <c r="B777" s="3"/>
      <c r="C777" s="3"/>
      <c r="D777" s="3"/>
      <c r="E777" s="4"/>
      <c r="F777" s="4"/>
      <c r="G777" s="4"/>
      <c r="H777" s="4"/>
      <c r="I777" s="4"/>
      <c r="J777" s="4"/>
      <c r="K777" s="4"/>
      <c r="L777" s="3"/>
      <c r="M777" s="3"/>
      <c r="N777" s="3"/>
      <c r="O777" s="3"/>
      <c r="P777" s="3"/>
      <c r="Q777" s="3"/>
      <c r="R777" s="3"/>
      <c r="S777" s="3"/>
      <c r="T777" s="3"/>
      <c r="U777" s="3"/>
      <c r="V777" s="8"/>
      <c r="W777" s="8"/>
    </row>
    <row r="778" spans="2:23" x14ac:dyDescent="0.2">
      <c r="B778" s="3"/>
      <c r="C778" s="3"/>
      <c r="D778" s="3"/>
      <c r="E778" s="4"/>
      <c r="F778" s="4"/>
      <c r="G778" s="4"/>
      <c r="H778" s="4"/>
      <c r="I778" s="4"/>
      <c r="J778" s="4"/>
      <c r="K778" s="4"/>
      <c r="L778" s="3"/>
      <c r="M778" s="3"/>
      <c r="N778" s="3"/>
      <c r="O778" s="3"/>
      <c r="P778" s="3"/>
      <c r="Q778" s="3"/>
      <c r="R778" s="3"/>
      <c r="S778" s="3"/>
      <c r="T778" s="3"/>
      <c r="U778" s="3"/>
      <c r="V778" s="8"/>
      <c r="W778" s="8"/>
    </row>
    <row r="779" spans="2:23" x14ac:dyDescent="0.2">
      <c r="B779" s="3"/>
      <c r="C779" s="3"/>
      <c r="D779" s="3"/>
      <c r="E779" s="4"/>
      <c r="F779" s="4"/>
      <c r="G779" s="4"/>
      <c r="H779" s="4"/>
      <c r="I779" s="4"/>
      <c r="J779" s="4"/>
      <c r="K779" s="4"/>
      <c r="L779" s="3"/>
      <c r="M779" s="3"/>
      <c r="N779" s="3"/>
      <c r="O779" s="3"/>
      <c r="P779" s="3"/>
      <c r="Q779" s="3"/>
      <c r="R779" s="3"/>
      <c r="S779" s="3"/>
      <c r="T779" s="3"/>
      <c r="U779" s="3"/>
      <c r="V779" s="8"/>
      <c r="W779" s="8"/>
    </row>
    <row r="780" spans="2:23" x14ac:dyDescent="0.2">
      <c r="B780" s="3"/>
      <c r="C780" s="3"/>
      <c r="D780" s="3"/>
      <c r="E780" s="4"/>
      <c r="F780" s="4"/>
      <c r="G780" s="4"/>
      <c r="H780" s="4"/>
      <c r="I780" s="4"/>
      <c r="J780" s="4"/>
      <c r="K780" s="4"/>
      <c r="L780" s="3"/>
      <c r="M780" s="3"/>
      <c r="N780" s="3"/>
      <c r="O780" s="3"/>
      <c r="P780" s="3"/>
      <c r="Q780" s="3"/>
      <c r="R780" s="3"/>
      <c r="S780" s="3"/>
      <c r="T780" s="3"/>
      <c r="U780" s="3"/>
      <c r="V780" s="8"/>
      <c r="W780" s="8"/>
    </row>
    <row r="781" spans="2:23" x14ac:dyDescent="0.2">
      <c r="B781" s="3"/>
      <c r="C781" s="3"/>
      <c r="D781" s="3"/>
      <c r="E781" s="4"/>
      <c r="F781" s="4"/>
      <c r="G781" s="4"/>
      <c r="H781" s="4"/>
      <c r="I781" s="4"/>
      <c r="J781" s="4"/>
      <c r="K781" s="4"/>
      <c r="L781" s="3"/>
      <c r="M781" s="3"/>
      <c r="N781" s="3"/>
      <c r="O781" s="3"/>
      <c r="P781" s="3"/>
      <c r="Q781" s="3"/>
      <c r="R781" s="3"/>
      <c r="S781" s="3"/>
      <c r="T781" s="3"/>
      <c r="U781" s="3"/>
      <c r="V781" s="8"/>
      <c r="W781" s="8"/>
    </row>
    <row r="782" spans="2:23" x14ac:dyDescent="0.2">
      <c r="B782" s="3"/>
      <c r="C782" s="3"/>
      <c r="D782" s="3"/>
      <c r="E782" s="4"/>
      <c r="F782" s="4"/>
      <c r="G782" s="4"/>
      <c r="H782" s="4"/>
      <c r="I782" s="4"/>
      <c r="J782" s="4"/>
      <c r="K782" s="4"/>
      <c r="L782" s="3"/>
      <c r="M782" s="3"/>
      <c r="N782" s="3"/>
      <c r="O782" s="3"/>
      <c r="P782" s="3"/>
      <c r="Q782" s="3"/>
      <c r="R782" s="3"/>
      <c r="S782" s="3"/>
      <c r="T782" s="3"/>
      <c r="U782" s="3"/>
      <c r="V782" s="8"/>
      <c r="W782" s="8"/>
    </row>
    <row r="783" spans="2:23" x14ac:dyDescent="0.2">
      <c r="B783" s="3"/>
      <c r="C783" s="3"/>
      <c r="D783" s="3"/>
      <c r="E783" s="4"/>
      <c r="F783" s="4"/>
      <c r="G783" s="4"/>
      <c r="H783" s="4"/>
      <c r="I783" s="4"/>
      <c r="J783" s="4"/>
      <c r="K783" s="4"/>
      <c r="L783" s="3"/>
      <c r="M783" s="3"/>
      <c r="N783" s="3"/>
      <c r="O783" s="3"/>
      <c r="P783" s="3"/>
      <c r="Q783" s="3"/>
      <c r="R783" s="3"/>
      <c r="S783" s="3"/>
      <c r="T783" s="3"/>
      <c r="U783" s="3"/>
      <c r="V783" s="8"/>
      <c r="W783" s="8"/>
    </row>
    <row r="784" spans="2:23" x14ac:dyDescent="0.2">
      <c r="B784" s="3"/>
      <c r="C784" s="3"/>
      <c r="D784" s="3"/>
      <c r="E784" s="4"/>
      <c r="F784" s="4"/>
      <c r="G784" s="4"/>
      <c r="H784" s="4"/>
      <c r="I784" s="4"/>
      <c r="J784" s="4"/>
      <c r="K784" s="4"/>
      <c r="L784" s="3"/>
      <c r="M784" s="3"/>
      <c r="N784" s="3"/>
      <c r="O784" s="3"/>
      <c r="P784" s="3"/>
      <c r="Q784" s="3"/>
      <c r="R784" s="3"/>
      <c r="S784" s="3"/>
      <c r="T784" s="3"/>
      <c r="U784" s="3"/>
      <c r="V784" s="8"/>
      <c r="W784" s="8"/>
    </row>
    <row r="785" spans="2:23" x14ac:dyDescent="0.2">
      <c r="B785" s="3"/>
      <c r="C785" s="3"/>
      <c r="D785" s="3"/>
      <c r="E785" s="4"/>
      <c r="F785" s="4"/>
      <c r="G785" s="4"/>
      <c r="H785" s="4"/>
      <c r="I785" s="4"/>
      <c r="J785" s="4"/>
      <c r="K785" s="4"/>
      <c r="L785" s="3"/>
      <c r="M785" s="3"/>
      <c r="N785" s="3"/>
      <c r="O785" s="3"/>
      <c r="P785" s="3"/>
      <c r="Q785" s="3"/>
      <c r="R785" s="3"/>
      <c r="S785" s="3"/>
      <c r="T785" s="3"/>
      <c r="U785" s="3"/>
      <c r="V785" s="8"/>
      <c r="W785" s="8"/>
    </row>
    <row r="786" spans="2:23" x14ac:dyDescent="0.2">
      <c r="B786" s="3"/>
      <c r="C786" s="3"/>
      <c r="D786" s="3"/>
      <c r="E786" s="4"/>
      <c r="F786" s="4"/>
      <c r="G786" s="4"/>
      <c r="H786" s="4"/>
      <c r="I786" s="4"/>
      <c r="J786" s="4"/>
      <c r="K786" s="4"/>
      <c r="L786" s="3"/>
      <c r="M786" s="3"/>
      <c r="N786" s="3"/>
      <c r="O786" s="3"/>
      <c r="P786" s="3"/>
      <c r="Q786" s="3"/>
      <c r="R786" s="3"/>
      <c r="S786" s="3"/>
      <c r="T786" s="3"/>
      <c r="U786" s="3"/>
      <c r="V786" s="8"/>
      <c r="W786" s="8"/>
    </row>
    <row r="787" spans="2:23" x14ac:dyDescent="0.2">
      <c r="B787" s="3"/>
      <c r="C787" s="3"/>
      <c r="D787" s="3"/>
      <c r="E787" s="4"/>
      <c r="F787" s="4"/>
      <c r="G787" s="4"/>
      <c r="H787" s="4"/>
      <c r="I787" s="4"/>
      <c r="J787" s="4"/>
      <c r="K787" s="4"/>
      <c r="L787" s="3"/>
      <c r="M787" s="3"/>
      <c r="N787" s="3"/>
      <c r="O787" s="3"/>
      <c r="P787" s="3"/>
      <c r="Q787" s="3"/>
      <c r="R787" s="3"/>
      <c r="S787" s="3"/>
      <c r="T787" s="3"/>
      <c r="U787" s="3"/>
      <c r="V787" s="8"/>
      <c r="W787" s="8"/>
    </row>
    <row r="788" spans="2:23" x14ac:dyDescent="0.2">
      <c r="B788" s="3"/>
      <c r="C788" s="3"/>
      <c r="D788" s="3"/>
      <c r="E788" s="4"/>
      <c r="F788" s="4"/>
      <c r="G788" s="4"/>
      <c r="H788" s="4"/>
      <c r="I788" s="4"/>
      <c r="J788" s="4"/>
      <c r="K788" s="4"/>
      <c r="L788" s="3"/>
      <c r="M788" s="3"/>
      <c r="N788" s="3"/>
      <c r="O788" s="3"/>
      <c r="P788" s="3"/>
      <c r="Q788" s="3"/>
      <c r="R788" s="3"/>
      <c r="S788" s="3"/>
      <c r="T788" s="3"/>
      <c r="U788" s="3"/>
      <c r="V788" s="8"/>
      <c r="W788" s="8"/>
    </row>
    <row r="789" spans="2:23" x14ac:dyDescent="0.2">
      <c r="B789" s="3"/>
      <c r="C789" s="3"/>
      <c r="D789" s="3"/>
      <c r="E789" s="4"/>
      <c r="F789" s="4"/>
      <c r="G789" s="4"/>
      <c r="H789" s="4"/>
      <c r="I789" s="4"/>
      <c r="J789" s="4"/>
      <c r="K789" s="4"/>
      <c r="L789" s="3"/>
      <c r="M789" s="3"/>
      <c r="N789" s="3"/>
      <c r="O789" s="3"/>
      <c r="P789" s="3"/>
      <c r="Q789" s="3"/>
      <c r="R789" s="3"/>
      <c r="S789" s="3"/>
      <c r="T789" s="3"/>
      <c r="U789" s="3"/>
      <c r="V789" s="8"/>
      <c r="W789" s="8"/>
    </row>
    <row r="790" spans="2:23" x14ac:dyDescent="0.2">
      <c r="B790" s="3"/>
      <c r="C790" s="3"/>
      <c r="D790" s="3"/>
      <c r="E790" s="4"/>
      <c r="F790" s="4"/>
      <c r="G790" s="4"/>
      <c r="H790" s="4"/>
      <c r="I790" s="4"/>
      <c r="J790" s="4"/>
      <c r="K790" s="4"/>
      <c r="L790" s="3"/>
      <c r="M790" s="3"/>
      <c r="N790" s="3"/>
      <c r="O790" s="3"/>
      <c r="P790" s="3"/>
      <c r="Q790" s="3"/>
      <c r="R790" s="3"/>
      <c r="S790" s="3"/>
      <c r="T790" s="3"/>
      <c r="U790" s="3"/>
      <c r="V790" s="8"/>
      <c r="W790" s="8"/>
    </row>
    <row r="791" spans="2:23" x14ac:dyDescent="0.2">
      <c r="B791" s="3"/>
      <c r="C791" s="3"/>
      <c r="D791" s="3"/>
      <c r="E791" s="4"/>
      <c r="F791" s="4"/>
      <c r="G791" s="4"/>
      <c r="H791" s="4"/>
      <c r="I791" s="4"/>
      <c r="J791" s="4"/>
      <c r="K791" s="4"/>
      <c r="L791" s="3"/>
      <c r="M791" s="3"/>
      <c r="N791" s="3"/>
      <c r="O791" s="3"/>
      <c r="P791" s="3"/>
      <c r="Q791" s="3"/>
      <c r="R791" s="3"/>
      <c r="S791" s="3"/>
      <c r="T791" s="3"/>
      <c r="U791" s="3"/>
      <c r="V791" s="8"/>
      <c r="W791" s="8"/>
    </row>
    <row r="792" spans="2:23" x14ac:dyDescent="0.2">
      <c r="B792" s="3"/>
      <c r="C792" s="3"/>
      <c r="D792" s="3"/>
      <c r="E792" s="4"/>
      <c r="F792" s="4"/>
      <c r="G792" s="4"/>
      <c r="H792" s="4"/>
      <c r="I792" s="4"/>
      <c r="J792" s="4"/>
      <c r="K792" s="4"/>
      <c r="L792" s="3"/>
      <c r="M792" s="3"/>
      <c r="N792" s="3"/>
      <c r="O792" s="3"/>
      <c r="P792" s="3"/>
      <c r="Q792" s="3"/>
      <c r="R792" s="3"/>
      <c r="S792" s="3"/>
      <c r="T792" s="3"/>
      <c r="U792" s="3"/>
      <c r="V792" s="8"/>
      <c r="W792" s="8"/>
    </row>
    <row r="793" spans="2:23" x14ac:dyDescent="0.2">
      <c r="B793" s="3"/>
      <c r="C793" s="3"/>
      <c r="D793" s="3"/>
      <c r="E793" s="4"/>
      <c r="F793" s="4"/>
      <c r="G793" s="4"/>
      <c r="H793" s="4"/>
      <c r="I793" s="4"/>
      <c r="J793" s="4"/>
      <c r="K793" s="4"/>
      <c r="L793" s="3"/>
      <c r="M793" s="3"/>
      <c r="N793" s="3"/>
      <c r="O793" s="3"/>
      <c r="P793" s="3"/>
      <c r="Q793" s="3"/>
      <c r="R793" s="3"/>
      <c r="S793" s="3"/>
      <c r="T793" s="3"/>
      <c r="U793" s="3"/>
      <c r="V793" s="8"/>
      <c r="W793" s="8"/>
    </row>
    <row r="794" spans="2:23" x14ac:dyDescent="0.2">
      <c r="B794" s="3"/>
      <c r="C794" s="3"/>
      <c r="D794" s="3"/>
      <c r="E794" s="4"/>
      <c r="F794" s="4"/>
      <c r="G794" s="4"/>
      <c r="H794" s="4"/>
      <c r="I794" s="4"/>
      <c r="J794" s="4"/>
      <c r="K794" s="4"/>
      <c r="L794" s="3"/>
      <c r="M794" s="3"/>
      <c r="N794" s="3"/>
      <c r="O794" s="3"/>
      <c r="P794" s="3"/>
      <c r="Q794" s="3"/>
      <c r="R794" s="3"/>
      <c r="S794" s="3"/>
      <c r="T794" s="3"/>
      <c r="U794" s="3"/>
      <c r="V794" s="8"/>
      <c r="W794" s="8"/>
    </row>
    <row r="795" spans="2:23" x14ac:dyDescent="0.2">
      <c r="B795" s="3"/>
      <c r="C795" s="3"/>
      <c r="D795" s="3"/>
      <c r="E795" s="4"/>
      <c r="F795" s="4"/>
      <c r="G795" s="4"/>
      <c r="H795" s="4"/>
      <c r="I795" s="4"/>
      <c r="J795" s="4"/>
      <c r="K795" s="4"/>
      <c r="L795" s="3"/>
      <c r="M795" s="3"/>
      <c r="N795" s="3"/>
      <c r="O795" s="3"/>
      <c r="P795" s="3"/>
      <c r="Q795" s="3"/>
      <c r="R795" s="3"/>
      <c r="S795" s="3"/>
      <c r="T795" s="3"/>
      <c r="U795" s="3"/>
      <c r="V795" s="8"/>
      <c r="W795" s="8"/>
    </row>
    <row r="796" spans="2:23" x14ac:dyDescent="0.2">
      <c r="B796" s="3"/>
      <c r="C796" s="3"/>
      <c r="D796" s="3"/>
      <c r="E796" s="4"/>
      <c r="F796" s="4"/>
      <c r="G796" s="4"/>
      <c r="H796" s="4"/>
      <c r="I796" s="4"/>
      <c r="J796" s="4"/>
      <c r="K796" s="4"/>
      <c r="L796" s="3"/>
      <c r="M796" s="3"/>
      <c r="N796" s="3"/>
      <c r="O796" s="3"/>
      <c r="P796" s="3"/>
      <c r="Q796" s="3"/>
      <c r="R796" s="3"/>
      <c r="S796" s="3"/>
      <c r="T796" s="3"/>
      <c r="U796" s="3"/>
      <c r="V796" s="8"/>
      <c r="W796" s="8"/>
    </row>
    <row r="797" spans="2:23" x14ac:dyDescent="0.2">
      <c r="B797" s="3"/>
      <c r="C797" s="3"/>
      <c r="D797" s="3"/>
      <c r="E797" s="4"/>
      <c r="F797" s="4"/>
      <c r="G797" s="4"/>
      <c r="H797" s="4"/>
      <c r="I797" s="4"/>
      <c r="J797" s="4"/>
      <c r="K797" s="4"/>
      <c r="L797" s="3"/>
      <c r="M797" s="3"/>
      <c r="N797" s="3"/>
      <c r="O797" s="3"/>
      <c r="P797" s="3"/>
      <c r="Q797" s="3"/>
      <c r="R797" s="3"/>
      <c r="S797" s="3"/>
      <c r="T797" s="3"/>
      <c r="U797" s="3"/>
      <c r="V797" s="8"/>
      <c r="W797" s="8"/>
    </row>
    <row r="798" spans="2:23" x14ac:dyDescent="0.2">
      <c r="B798" s="3"/>
      <c r="C798" s="3"/>
      <c r="D798" s="3"/>
      <c r="E798" s="4"/>
      <c r="F798" s="4"/>
      <c r="G798" s="4"/>
      <c r="H798" s="4"/>
      <c r="I798" s="4"/>
      <c r="J798" s="4"/>
      <c r="K798" s="4"/>
      <c r="L798" s="3"/>
      <c r="M798" s="3"/>
      <c r="N798" s="3"/>
      <c r="O798" s="3"/>
      <c r="P798" s="3"/>
      <c r="Q798" s="3"/>
      <c r="R798" s="3"/>
      <c r="S798" s="3"/>
      <c r="T798" s="3"/>
      <c r="U798" s="3"/>
      <c r="V798" s="8"/>
      <c r="W798" s="8"/>
    </row>
    <row r="799" spans="2:23" x14ac:dyDescent="0.2">
      <c r="B799" s="3"/>
      <c r="C799" s="3"/>
      <c r="D799" s="3"/>
      <c r="E799" s="4"/>
      <c r="F799" s="4"/>
      <c r="G799" s="4"/>
      <c r="H799" s="4"/>
      <c r="I799" s="4"/>
      <c r="J799" s="4"/>
      <c r="K799" s="4"/>
      <c r="L799" s="3"/>
      <c r="M799" s="3"/>
      <c r="N799" s="3"/>
      <c r="O799" s="3"/>
      <c r="P799" s="3"/>
      <c r="Q799" s="3"/>
      <c r="R799" s="3"/>
      <c r="S799" s="3"/>
      <c r="T799" s="3"/>
      <c r="U799" s="3"/>
      <c r="V799" s="8"/>
      <c r="W799" s="8"/>
    </row>
    <row r="800" spans="2:23" x14ac:dyDescent="0.2">
      <c r="B800" s="3"/>
      <c r="C800" s="3"/>
      <c r="D800" s="3"/>
      <c r="E800" s="4"/>
      <c r="F800" s="4"/>
      <c r="G800" s="4"/>
      <c r="H800" s="4"/>
      <c r="I800" s="4"/>
      <c r="J800" s="4"/>
      <c r="K800" s="4"/>
      <c r="L800" s="3"/>
      <c r="M800" s="3"/>
      <c r="N800" s="3"/>
      <c r="O800" s="3"/>
      <c r="P800" s="3"/>
      <c r="Q800" s="3"/>
      <c r="R800" s="3"/>
      <c r="S800" s="3"/>
      <c r="T800" s="3"/>
      <c r="U800" s="3"/>
      <c r="V800" s="8"/>
      <c r="W800" s="8"/>
    </row>
    <row r="801" spans="2:23" x14ac:dyDescent="0.2">
      <c r="B801" s="3"/>
      <c r="C801" s="3"/>
      <c r="D801" s="3"/>
      <c r="E801" s="4"/>
      <c r="F801" s="4"/>
      <c r="G801" s="4"/>
      <c r="H801" s="4"/>
      <c r="I801" s="4"/>
      <c r="J801" s="4"/>
      <c r="K801" s="4"/>
      <c r="L801" s="3"/>
      <c r="M801" s="3"/>
      <c r="N801" s="3"/>
      <c r="O801" s="3"/>
      <c r="P801" s="3"/>
      <c r="Q801" s="3"/>
      <c r="R801" s="3"/>
      <c r="S801" s="3"/>
      <c r="T801" s="3"/>
      <c r="U801" s="3"/>
      <c r="V801" s="8"/>
      <c r="W801" s="8"/>
    </row>
    <row r="802" spans="2:23" x14ac:dyDescent="0.2">
      <c r="B802" s="3"/>
      <c r="C802" s="3"/>
      <c r="D802" s="3"/>
      <c r="E802" s="4"/>
      <c r="F802" s="4"/>
      <c r="G802" s="4"/>
      <c r="H802" s="4"/>
      <c r="I802" s="4"/>
      <c r="J802" s="4"/>
      <c r="K802" s="4"/>
      <c r="L802" s="3"/>
      <c r="M802" s="3"/>
      <c r="N802" s="3"/>
      <c r="O802" s="3"/>
      <c r="P802" s="3"/>
      <c r="Q802" s="3"/>
      <c r="R802" s="3"/>
      <c r="S802" s="3"/>
      <c r="T802" s="3"/>
      <c r="U802" s="3"/>
      <c r="V802" s="8"/>
      <c r="W802" s="8"/>
    </row>
    <row r="803" spans="2:23" x14ac:dyDescent="0.2">
      <c r="B803" s="3"/>
      <c r="C803" s="3"/>
      <c r="D803" s="3"/>
      <c r="E803" s="4"/>
      <c r="F803" s="4"/>
      <c r="G803" s="4"/>
      <c r="H803" s="4"/>
      <c r="I803" s="4"/>
      <c r="J803" s="4"/>
      <c r="K803" s="4"/>
      <c r="L803" s="3"/>
      <c r="M803" s="3"/>
      <c r="N803" s="3"/>
      <c r="O803" s="3"/>
      <c r="P803" s="3"/>
      <c r="Q803" s="3"/>
      <c r="R803" s="3"/>
      <c r="S803" s="3"/>
      <c r="T803" s="3"/>
      <c r="U803" s="3"/>
      <c r="V803" s="8"/>
      <c r="W803" s="8"/>
    </row>
    <row r="804" spans="2:23" x14ac:dyDescent="0.2">
      <c r="B804" s="3"/>
      <c r="C804" s="3"/>
      <c r="D804" s="3"/>
      <c r="E804" s="4"/>
      <c r="F804" s="4"/>
      <c r="G804" s="4"/>
      <c r="H804" s="4"/>
      <c r="I804" s="4"/>
      <c r="J804" s="4"/>
      <c r="K804" s="4"/>
      <c r="L804" s="3"/>
      <c r="M804" s="3"/>
      <c r="N804" s="3"/>
      <c r="O804" s="3"/>
      <c r="P804" s="3"/>
      <c r="Q804" s="3"/>
      <c r="R804" s="3"/>
      <c r="S804" s="3"/>
      <c r="T804" s="3"/>
      <c r="U804" s="3"/>
      <c r="V804" s="8"/>
      <c r="W804" s="8"/>
    </row>
    <row r="805" spans="2:23" x14ac:dyDescent="0.2">
      <c r="B805" s="3"/>
      <c r="C805" s="3"/>
      <c r="D805" s="3"/>
      <c r="E805" s="4"/>
      <c r="F805" s="4"/>
      <c r="G805" s="4"/>
      <c r="H805" s="4"/>
      <c r="I805" s="4"/>
      <c r="J805" s="4"/>
      <c r="K805" s="4"/>
      <c r="L805" s="3"/>
      <c r="M805" s="3"/>
      <c r="N805" s="3"/>
      <c r="O805" s="3"/>
      <c r="P805" s="3"/>
      <c r="Q805" s="3"/>
      <c r="R805" s="3"/>
      <c r="S805" s="3"/>
      <c r="T805" s="3"/>
      <c r="U805" s="3"/>
      <c r="V805" s="8"/>
      <c r="W805" s="8"/>
    </row>
    <row r="806" spans="2:23" x14ac:dyDescent="0.2">
      <c r="B806" s="3"/>
      <c r="C806" s="3"/>
      <c r="D806" s="3"/>
      <c r="E806" s="4"/>
      <c r="F806" s="4"/>
      <c r="G806" s="4"/>
      <c r="H806" s="4"/>
      <c r="I806" s="4"/>
      <c r="J806" s="4"/>
      <c r="K806" s="4"/>
      <c r="L806" s="3"/>
      <c r="M806" s="3"/>
      <c r="N806" s="3"/>
      <c r="O806" s="3"/>
      <c r="P806" s="3"/>
      <c r="Q806" s="3"/>
      <c r="R806" s="3"/>
      <c r="S806" s="3"/>
      <c r="T806" s="3"/>
      <c r="U806" s="3"/>
      <c r="V806" s="8"/>
      <c r="W806" s="8"/>
    </row>
    <row r="807" spans="2:23" x14ac:dyDescent="0.2">
      <c r="B807" s="3"/>
      <c r="C807" s="3"/>
      <c r="D807" s="3"/>
      <c r="E807" s="4"/>
      <c r="F807" s="4"/>
      <c r="G807" s="4"/>
      <c r="H807" s="4"/>
      <c r="I807" s="4"/>
      <c r="J807" s="4"/>
      <c r="K807" s="4"/>
      <c r="L807" s="3"/>
      <c r="M807" s="3"/>
      <c r="N807" s="3"/>
      <c r="O807" s="3"/>
      <c r="P807" s="3"/>
      <c r="Q807" s="3"/>
      <c r="R807" s="3"/>
      <c r="S807" s="3"/>
      <c r="T807" s="3"/>
      <c r="U807" s="3"/>
      <c r="V807" s="8"/>
      <c r="W807" s="8"/>
    </row>
    <row r="808" spans="2:23" x14ac:dyDescent="0.2">
      <c r="B808" s="3"/>
      <c r="C808" s="3"/>
      <c r="D808" s="3"/>
      <c r="E808" s="4"/>
      <c r="F808" s="4"/>
      <c r="G808" s="4"/>
      <c r="H808" s="4"/>
      <c r="I808" s="4"/>
      <c r="J808" s="4"/>
      <c r="K808" s="4"/>
      <c r="L808" s="3"/>
      <c r="M808" s="3"/>
      <c r="N808" s="3"/>
      <c r="O808" s="3"/>
      <c r="P808" s="3"/>
      <c r="Q808" s="3"/>
      <c r="R808" s="3"/>
      <c r="S808" s="3"/>
      <c r="T808" s="3"/>
      <c r="U808" s="3"/>
      <c r="V808" s="8"/>
      <c r="W808" s="8"/>
    </row>
    <row r="809" spans="2:23" x14ac:dyDescent="0.2">
      <c r="B809" s="3"/>
      <c r="C809" s="3"/>
      <c r="D809" s="3"/>
      <c r="E809" s="4"/>
      <c r="F809" s="4"/>
      <c r="G809" s="4"/>
      <c r="H809" s="4"/>
      <c r="I809" s="4"/>
      <c r="J809" s="4"/>
      <c r="K809" s="4"/>
      <c r="L809" s="3"/>
      <c r="M809" s="3"/>
      <c r="N809" s="3"/>
      <c r="O809" s="3"/>
      <c r="P809" s="3"/>
      <c r="Q809" s="3"/>
      <c r="R809" s="3"/>
      <c r="S809" s="3"/>
      <c r="T809" s="3"/>
      <c r="U809" s="3"/>
      <c r="V809" s="8"/>
      <c r="W809" s="8"/>
    </row>
    <row r="810" spans="2:23" x14ac:dyDescent="0.2">
      <c r="B810" s="3"/>
      <c r="C810" s="3"/>
      <c r="D810" s="3"/>
      <c r="E810" s="4"/>
      <c r="F810" s="4"/>
      <c r="G810" s="4"/>
      <c r="H810" s="4"/>
      <c r="I810" s="4"/>
      <c r="J810" s="4"/>
      <c r="K810" s="4"/>
      <c r="L810" s="3"/>
      <c r="M810" s="3"/>
      <c r="N810" s="3"/>
      <c r="O810" s="3"/>
      <c r="P810" s="3"/>
      <c r="Q810" s="3"/>
      <c r="R810" s="3"/>
      <c r="S810" s="3"/>
      <c r="T810" s="3"/>
      <c r="U810" s="3"/>
      <c r="V810" s="8"/>
      <c r="W810" s="8"/>
    </row>
    <row r="811" spans="2:23" x14ac:dyDescent="0.2">
      <c r="B811" s="3"/>
      <c r="C811" s="3"/>
      <c r="D811" s="3"/>
      <c r="E811" s="4"/>
      <c r="F811" s="4"/>
      <c r="G811" s="4"/>
      <c r="H811" s="4"/>
      <c r="I811" s="4"/>
      <c r="J811" s="4"/>
      <c r="K811" s="4"/>
      <c r="L811" s="3"/>
      <c r="M811" s="3"/>
      <c r="N811" s="3"/>
      <c r="O811" s="3"/>
      <c r="P811" s="3"/>
      <c r="Q811" s="3"/>
      <c r="R811" s="3"/>
      <c r="S811" s="3"/>
      <c r="T811" s="3"/>
      <c r="U811" s="3"/>
      <c r="V811" s="8"/>
      <c r="W811" s="8"/>
    </row>
    <row r="812" spans="2:23" x14ac:dyDescent="0.2">
      <c r="B812" s="3"/>
      <c r="C812" s="3"/>
      <c r="D812" s="3"/>
      <c r="E812" s="4"/>
      <c r="F812" s="4"/>
      <c r="G812" s="4"/>
      <c r="H812" s="4"/>
      <c r="I812" s="4"/>
      <c r="J812" s="4"/>
      <c r="K812" s="4"/>
      <c r="L812" s="3"/>
      <c r="M812" s="3"/>
      <c r="N812" s="3"/>
      <c r="O812" s="3"/>
      <c r="P812" s="3"/>
      <c r="Q812" s="3"/>
      <c r="R812" s="3"/>
      <c r="S812" s="3"/>
      <c r="T812" s="3"/>
      <c r="U812" s="3"/>
      <c r="V812" s="8"/>
      <c r="W812" s="8"/>
    </row>
    <row r="813" spans="2:23" x14ac:dyDescent="0.2">
      <c r="B813" s="3"/>
      <c r="C813" s="3"/>
      <c r="D813" s="3"/>
      <c r="E813" s="4"/>
      <c r="F813" s="4"/>
      <c r="G813" s="4"/>
      <c r="H813" s="4"/>
      <c r="I813" s="4"/>
      <c r="J813" s="4"/>
      <c r="K813" s="4"/>
      <c r="L813" s="3"/>
      <c r="M813" s="3"/>
      <c r="N813" s="3"/>
      <c r="O813" s="3"/>
      <c r="P813" s="3"/>
      <c r="Q813" s="3"/>
      <c r="R813" s="3"/>
      <c r="S813" s="3"/>
      <c r="T813" s="3"/>
      <c r="U813" s="3"/>
      <c r="V813" s="8"/>
      <c r="W813" s="8"/>
    </row>
    <row r="814" spans="2:23" x14ac:dyDescent="0.2">
      <c r="B814" s="3"/>
      <c r="C814" s="3"/>
      <c r="D814" s="3"/>
      <c r="E814" s="4"/>
      <c r="F814" s="4"/>
      <c r="G814" s="4"/>
      <c r="H814" s="4"/>
      <c r="I814" s="4"/>
      <c r="J814" s="4"/>
      <c r="K814" s="4"/>
      <c r="L814" s="3"/>
      <c r="M814" s="3"/>
      <c r="N814" s="3"/>
      <c r="O814" s="3"/>
      <c r="P814" s="3"/>
      <c r="Q814" s="3"/>
      <c r="R814" s="3"/>
      <c r="S814" s="3"/>
      <c r="T814" s="3"/>
      <c r="U814" s="3"/>
      <c r="V814" s="8"/>
      <c r="W814" s="8"/>
    </row>
    <row r="815" spans="2:23" x14ac:dyDescent="0.2">
      <c r="B815" s="3"/>
      <c r="C815" s="3"/>
      <c r="D815" s="3"/>
      <c r="E815" s="4"/>
      <c r="F815" s="4"/>
      <c r="G815" s="4"/>
      <c r="H815" s="4"/>
      <c r="I815" s="4"/>
      <c r="J815" s="4"/>
      <c r="K815" s="4"/>
      <c r="L815" s="3"/>
      <c r="M815" s="3"/>
      <c r="N815" s="3"/>
      <c r="O815" s="3"/>
      <c r="P815" s="3"/>
      <c r="Q815" s="3"/>
      <c r="R815" s="3"/>
      <c r="S815" s="3"/>
      <c r="T815" s="3"/>
      <c r="U815" s="3"/>
      <c r="V815" s="8"/>
      <c r="W815" s="8"/>
    </row>
    <row r="816" spans="2:23" x14ac:dyDescent="0.2">
      <c r="B816" s="3"/>
      <c r="C816" s="3"/>
      <c r="D816" s="3"/>
      <c r="E816" s="4"/>
      <c r="F816" s="4"/>
      <c r="G816" s="4"/>
      <c r="H816" s="4"/>
      <c r="I816" s="4"/>
      <c r="J816" s="4"/>
      <c r="K816" s="4"/>
      <c r="L816" s="3"/>
      <c r="M816" s="3"/>
      <c r="N816" s="3"/>
      <c r="O816" s="3"/>
      <c r="P816" s="3"/>
      <c r="Q816" s="3"/>
      <c r="R816" s="3"/>
      <c r="S816" s="3"/>
      <c r="T816" s="3"/>
      <c r="U816" s="3"/>
      <c r="V816" s="8"/>
      <c r="W816" s="8"/>
    </row>
    <row r="817" spans="2:23" x14ac:dyDescent="0.2">
      <c r="B817" s="3"/>
      <c r="C817" s="3"/>
      <c r="D817" s="3"/>
      <c r="E817" s="4"/>
      <c r="F817" s="4"/>
      <c r="G817" s="4"/>
      <c r="H817" s="4"/>
      <c r="I817" s="4"/>
      <c r="J817" s="4"/>
      <c r="K817" s="4"/>
      <c r="L817" s="3"/>
      <c r="M817" s="3"/>
      <c r="N817" s="3"/>
      <c r="O817" s="3"/>
      <c r="P817" s="3"/>
      <c r="Q817" s="3"/>
      <c r="R817" s="3"/>
      <c r="S817" s="3"/>
      <c r="T817" s="3"/>
      <c r="U817" s="3"/>
      <c r="V817" s="8"/>
      <c r="W817" s="8"/>
    </row>
    <row r="818" spans="2:23" x14ac:dyDescent="0.2">
      <c r="B818" s="3"/>
      <c r="C818" s="3"/>
      <c r="D818" s="3"/>
      <c r="E818" s="4"/>
      <c r="F818" s="4"/>
      <c r="G818" s="4"/>
      <c r="H818" s="4"/>
      <c r="I818" s="4"/>
      <c r="J818" s="4"/>
      <c r="K818" s="4"/>
      <c r="L818" s="3"/>
      <c r="M818" s="3"/>
      <c r="N818" s="3"/>
      <c r="O818" s="3"/>
      <c r="P818" s="3"/>
      <c r="Q818" s="3"/>
      <c r="R818" s="3"/>
      <c r="S818" s="3"/>
      <c r="T818" s="3"/>
      <c r="U818" s="3"/>
      <c r="V818" s="8"/>
      <c r="W818" s="8"/>
    </row>
    <row r="819" spans="2:23" x14ac:dyDescent="0.2">
      <c r="B819" s="3"/>
      <c r="C819" s="3"/>
      <c r="D819" s="3"/>
      <c r="E819" s="4"/>
      <c r="F819" s="4"/>
      <c r="G819" s="4"/>
      <c r="H819" s="4"/>
      <c r="I819" s="4"/>
      <c r="J819" s="4"/>
      <c r="K819" s="4"/>
      <c r="L819" s="3"/>
      <c r="M819" s="3"/>
      <c r="N819" s="3"/>
      <c r="O819" s="3"/>
      <c r="P819" s="3"/>
      <c r="Q819" s="3"/>
      <c r="R819" s="3"/>
      <c r="S819" s="3"/>
      <c r="T819" s="3"/>
      <c r="U819" s="3"/>
      <c r="V819" s="8"/>
      <c r="W819" s="8"/>
    </row>
    <row r="820" spans="2:23" x14ac:dyDescent="0.2">
      <c r="B820" s="3"/>
      <c r="C820" s="3"/>
      <c r="D820" s="3"/>
      <c r="E820" s="4"/>
      <c r="F820" s="4"/>
      <c r="G820" s="4"/>
      <c r="H820" s="4"/>
      <c r="I820" s="4"/>
      <c r="J820" s="4"/>
      <c r="K820" s="4"/>
      <c r="L820" s="3"/>
      <c r="M820" s="3"/>
      <c r="N820" s="3"/>
      <c r="O820" s="3"/>
      <c r="P820" s="3"/>
      <c r="Q820" s="3"/>
      <c r="R820" s="3"/>
      <c r="S820" s="3"/>
      <c r="T820" s="3"/>
      <c r="U820" s="3"/>
      <c r="V820" s="8"/>
      <c r="W820" s="8"/>
    </row>
    <row r="821" spans="2:23" x14ac:dyDescent="0.2">
      <c r="B821" s="3"/>
      <c r="C821" s="3"/>
      <c r="D821" s="3"/>
      <c r="E821" s="4"/>
      <c r="F821" s="4"/>
      <c r="G821" s="4"/>
      <c r="H821" s="4"/>
      <c r="I821" s="4"/>
      <c r="J821" s="4"/>
      <c r="K821" s="4"/>
      <c r="L821" s="3"/>
      <c r="M821" s="3"/>
      <c r="N821" s="3"/>
      <c r="O821" s="3"/>
      <c r="P821" s="3"/>
      <c r="Q821" s="3"/>
      <c r="R821" s="3"/>
      <c r="S821" s="3"/>
      <c r="T821" s="3"/>
      <c r="U821" s="3"/>
      <c r="V821" s="8"/>
      <c r="W821" s="8"/>
    </row>
    <row r="822" spans="2:23" x14ac:dyDescent="0.2">
      <c r="B822" s="3"/>
      <c r="C822" s="3"/>
      <c r="D822" s="3"/>
      <c r="E822" s="4"/>
      <c r="F822" s="4"/>
      <c r="G822" s="4"/>
      <c r="H822" s="4"/>
      <c r="I822" s="4"/>
      <c r="J822" s="4"/>
      <c r="K822" s="4"/>
      <c r="L822" s="3"/>
      <c r="M822" s="3"/>
      <c r="N822" s="3"/>
      <c r="O822" s="3"/>
      <c r="P822" s="3"/>
      <c r="Q822" s="3"/>
      <c r="R822" s="3"/>
      <c r="S822" s="3"/>
      <c r="T822" s="3"/>
      <c r="U822" s="3"/>
      <c r="V822" s="8"/>
      <c r="W822" s="8"/>
    </row>
    <row r="823" spans="2:23" x14ac:dyDescent="0.2">
      <c r="B823" s="3"/>
      <c r="C823" s="3"/>
      <c r="D823" s="3"/>
      <c r="E823" s="4"/>
      <c r="F823" s="4"/>
      <c r="G823" s="4"/>
      <c r="H823" s="4"/>
      <c r="I823" s="4"/>
      <c r="J823" s="4"/>
      <c r="K823" s="4"/>
      <c r="L823" s="3"/>
      <c r="M823" s="3"/>
      <c r="N823" s="3"/>
      <c r="O823" s="3"/>
      <c r="P823" s="3"/>
      <c r="Q823" s="3"/>
      <c r="R823" s="3"/>
      <c r="S823" s="3"/>
      <c r="T823" s="3"/>
      <c r="U823" s="3"/>
      <c r="V823" s="8"/>
      <c r="W823" s="8"/>
    </row>
    <row r="824" spans="2:23" x14ac:dyDescent="0.2">
      <c r="B824" s="3"/>
      <c r="C824" s="3"/>
      <c r="D824" s="3"/>
      <c r="E824" s="4"/>
      <c r="F824" s="4"/>
      <c r="G824" s="4"/>
      <c r="H824" s="4"/>
      <c r="I824" s="4"/>
      <c r="J824" s="4"/>
      <c r="K824" s="4"/>
      <c r="L824" s="3"/>
      <c r="M824" s="3"/>
      <c r="N824" s="3"/>
      <c r="O824" s="3"/>
      <c r="P824" s="3"/>
      <c r="Q824" s="3"/>
      <c r="R824" s="3"/>
      <c r="S824" s="3"/>
      <c r="T824" s="3"/>
      <c r="U824" s="3"/>
      <c r="V824" s="8"/>
      <c r="W824" s="8"/>
    </row>
    <row r="825" spans="2:23" x14ac:dyDescent="0.2">
      <c r="B825" s="3"/>
      <c r="C825" s="3"/>
      <c r="D825" s="3"/>
      <c r="E825" s="4"/>
      <c r="F825" s="4"/>
      <c r="G825" s="4"/>
      <c r="H825" s="4"/>
      <c r="I825" s="4"/>
      <c r="J825" s="4"/>
      <c r="K825" s="4"/>
      <c r="L825" s="3"/>
      <c r="M825" s="3"/>
      <c r="N825" s="3"/>
      <c r="O825" s="3"/>
      <c r="P825" s="3"/>
      <c r="Q825" s="3"/>
      <c r="R825" s="3"/>
      <c r="S825" s="3"/>
      <c r="T825" s="3"/>
      <c r="U825" s="3"/>
      <c r="V825" s="8"/>
      <c r="W825" s="8"/>
    </row>
    <row r="826" spans="2:23" x14ac:dyDescent="0.2">
      <c r="B826" s="3"/>
      <c r="C826" s="3"/>
      <c r="D826" s="3"/>
      <c r="E826" s="4"/>
      <c r="F826" s="4"/>
      <c r="G826" s="4"/>
      <c r="H826" s="4"/>
      <c r="I826" s="4"/>
      <c r="J826" s="4"/>
      <c r="K826" s="4"/>
      <c r="L826" s="3"/>
      <c r="M826" s="3"/>
      <c r="N826" s="3"/>
      <c r="O826" s="3"/>
      <c r="P826" s="3"/>
      <c r="Q826" s="3"/>
      <c r="R826" s="3"/>
      <c r="S826" s="3"/>
      <c r="T826" s="3"/>
      <c r="U826" s="3"/>
      <c r="V826" s="8"/>
      <c r="W826" s="8"/>
    </row>
    <row r="827" spans="2:23" x14ac:dyDescent="0.2">
      <c r="B827" s="3"/>
      <c r="C827" s="3"/>
      <c r="D827" s="3"/>
      <c r="E827" s="4"/>
      <c r="F827" s="4"/>
      <c r="G827" s="4"/>
      <c r="H827" s="4"/>
      <c r="I827" s="4"/>
      <c r="J827" s="4"/>
      <c r="K827" s="4"/>
      <c r="L827" s="3"/>
      <c r="M827" s="3"/>
      <c r="N827" s="3"/>
      <c r="O827" s="3"/>
      <c r="P827" s="3"/>
      <c r="Q827" s="3"/>
      <c r="R827" s="3"/>
      <c r="S827" s="3"/>
      <c r="T827" s="3"/>
      <c r="U827" s="3"/>
      <c r="V827" s="8"/>
      <c r="W827" s="8"/>
    </row>
    <row r="828" spans="2:23" x14ac:dyDescent="0.2">
      <c r="B828" s="3"/>
      <c r="C828" s="3"/>
      <c r="D828" s="3"/>
      <c r="E828" s="4"/>
      <c r="F828" s="4"/>
      <c r="G828" s="4"/>
      <c r="H828" s="4"/>
      <c r="I828" s="4"/>
      <c r="J828" s="4"/>
      <c r="K828" s="4"/>
      <c r="L828" s="3"/>
      <c r="M828" s="3"/>
      <c r="N828" s="3"/>
      <c r="O828" s="3"/>
      <c r="P828" s="3"/>
      <c r="Q828" s="3"/>
      <c r="R828" s="3"/>
      <c r="S828" s="3"/>
      <c r="T828" s="3"/>
      <c r="U828" s="3"/>
      <c r="V828" s="8"/>
      <c r="W828" s="8"/>
    </row>
    <row r="829" spans="2:23" x14ac:dyDescent="0.2">
      <c r="B829" s="3"/>
      <c r="C829" s="3"/>
      <c r="D829" s="3"/>
      <c r="E829" s="4"/>
      <c r="F829" s="4"/>
      <c r="G829" s="4"/>
      <c r="H829" s="4"/>
      <c r="I829" s="4"/>
      <c r="J829" s="4"/>
      <c r="K829" s="4"/>
      <c r="L829" s="3"/>
      <c r="M829" s="3"/>
      <c r="N829" s="3"/>
      <c r="O829" s="3"/>
      <c r="P829" s="3"/>
      <c r="Q829" s="3"/>
      <c r="R829" s="3"/>
      <c r="S829" s="3"/>
      <c r="T829" s="3"/>
      <c r="U829" s="3"/>
      <c r="V829" s="8"/>
      <c r="W829" s="8"/>
    </row>
    <row r="830" spans="2:23" x14ac:dyDescent="0.2">
      <c r="B830" s="3"/>
      <c r="C830" s="3"/>
      <c r="D830" s="3"/>
      <c r="E830" s="4"/>
      <c r="F830" s="4"/>
      <c r="G830" s="4"/>
      <c r="H830" s="4"/>
      <c r="I830" s="4"/>
      <c r="J830" s="4"/>
      <c r="K830" s="4"/>
      <c r="L830" s="3"/>
      <c r="M830" s="3"/>
      <c r="N830" s="3"/>
      <c r="O830" s="3"/>
      <c r="P830" s="3"/>
      <c r="Q830" s="3"/>
      <c r="R830" s="3"/>
      <c r="S830" s="3"/>
      <c r="T830" s="3"/>
      <c r="U830" s="3"/>
      <c r="V830" s="8"/>
      <c r="W830" s="8"/>
    </row>
    <row r="831" spans="2:23" x14ac:dyDescent="0.2">
      <c r="B831" s="3"/>
      <c r="C831" s="3"/>
      <c r="D831" s="3"/>
      <c r="E831" s="4"/>
      <c r="F831" s="4"/>
      <c r="G831" s="4"/>
      <c r="H831" s="4"/>
      <c r="I831" s="4"/>
      <c r="J831" s="4"/>
      <c r="K831" s="4"/>
      <c r="L831" s="3"/>
      <c r="M831" s="3"/>
      <c r="N831" s="3"/>
      <c r="O831" s="3"/>
      <c r="P831" s="3"/>
      <c r="Q831" s="3"/>
      <c r="R831" s="3"/>
      <c r="S831" s="3"/>
      <c r="T831" s="3"/>
      <c r="U831" s="3"/>
      <c r="V831" s="8"/>
      <c r="W831" s="8"/>
    </row>
    <row r="832" spans="2:23" x14ac:dyDescent="0.2">
      <c r="B832" s="3"/>
      <c r="C832" s="3"/>
      <c r="D832" s="3"/>
      <c r="E832" s="4"/>
      <c r="F832" s="4"/>
      <c r="G832" s="4"/>
      <c r="H832" s="4"/>
      <c r="I832" s="4"/>
      <c r="J832" s="4"/>
      <c r="K832" s="4"/>
      <c r="L832" s="3"/>
      <c r="M832" s="3"/>
      <c r="N832" s="3"/>
      <c r="O832" s="3"/>
      <c r="P832" s="3"/>
      <c r="Q832" s="3"/>
      <c r="R832" s="3"/>
      <c r="S832" s="3"/>
      <c r="T832" s="3"/>
      <c r="U832" s="3"/>
      <c r="V832" s="8"/>
      <c r="W832" s="8"/>
    </row>
    <row r="833" spans="2:23" x14ac:dyDescent="0.2">
      <c r="B833" s="3"/>
      <c r="C833" s="3"/>
      <c r="D833" s="3"/>
      <c r="E833" s="4"/>
      <c r="F833" s="4"/>
      <c r="G833" s="4"/>
      <c r="H833" s="4"/>
      <c r="I833" s="4"/>
      <c r="J833" s="4"/>
      <c r="K833" s="4"/>
      <c r="L833" s="3"/>
      <c r="M833" s="3"/>
      <c r="N833" s="3"/>
      <c r="O833" s="3"/>
      <c r="P833" s="3"/>
      <c r="Q833" s="3"/>
      <c r="R833" s="3"/>
      <c r="S833" s="3"/>
      <c r="T833" s="3"/>
      <c r="U833" s="3"/>
      <c r="V833" s="8"/>
      <c r="W833" s="8"/>
    </row>
    <row r="834" spans="2:23" x14ac:dyDescent="0.2">
      <c r="B834" s="3"/>
      <c r="C834" s="3"/>
      <c r="D834" s="3"/>
      <c r="E834" s="4"/>
      <c r="F834" s="4"/>
      <c r="G834" s="4"/>
      <c r="H834" s="4"/>
      <c r="I834" s="4"/>
      <c r="J834" s="4"/>
      <c r="K834" s="4"/>
      <c r="L834" s="3"/>
      <c r="M834" s="3"/>
      <c r="N834" s="3"/>
      <c r="O834" s="3"/>
      <c r="P834" s="3"/>
      <c r="Q834" s="3"/>
      <c r="R834" s="3"/>
      <c r="S834" s="3"/>
      <c r="T834" s="3"/>
      <c r="U834" s="3"/>
      <c r="V834" s="8"/>
      <c r="W834" s="8"/>
    </row>
    <row r="835" spans="2:23" x14ac:dyDescent="0.2">
      <c r="B835" s="3"/>
      <c r="C835" s="3"/>
      <c r="D835" s="3"/>
      <c r="E835" s="4"/>
      <c r="F835" s="4"/>
      <c r="G835" s="4"/>
      <c r="H835" s="4"/>
      <c r="I835" s="4"/>
      <c r="J835" s="4"/>
      <c r="K835" s="4"/>
      <c r="L835" s="3"/>
      <c r="M835" s="3"/>
      <c r="N835" s="3"/>
      <c r="O835" s="3"/>
      <c r="P835" s="3"/>
      <c r="Q835" s="3"/>
      <c r="R835" s="3"/>
      <c r="S835" s="3"/>
      <c r="T835" s="3"/>
      <c r="U835" s="3"/>
      <c r="V835" s="8"/>
      <c r="W835" s="8"/>
    </row>
    <row r="836" spans="2:23" x14ac:dyDescent="0.2">
      <c r="B836" s="3"/>
      <c r="C836" s="3"/>
      <c r="D836" s="3"/>
      <c r="E836" s="4"/>
      <c r="F836" s="4"/>
      <c r="G836" s="4"/>
      <c r="H836" s="4"/>
      <c r="I836" s="4"/>
      <c r="J836" s="4"/>
      <c r="K836" s="4"/>
      <c r="L836" s="3"/>
      <c r="M836" s="3"/>
      <c r="N836" s="3"/>
      <c r="O836" s="3"/>
      <c r="P836" s="3"/>
      <c r="Q836" s="3"/>
      <c r="R836" s="3"/>
      <c r="S836" s="3"/>
      <c r="T836" s="3"/>
      <c r="U836" s="3"/>
      <c r="V836" s="8"/>
      <c r="W836" s="8"/>
    </row>
    <row r="837" spans="2:23" x14ac:dyDescent="0.2">
      <c r="B837" s="3"/>
      <c r="C837" s="3"/>
      <c r="D837" s="3"/>
      <c r="E837" s="4"/>
      <c r="F837" s="4"/>
      <c r="G837" s="4"/>
      <c r="H837" s="4"/>
      <c r="I837" s="4"/>
      <c r="J837" s="4"/>
      <c r="K837" s="4"/>
      <c r="L837" s="3"/>
      <c r="M837" s="3"/>
      <c r="N837" s="3"/>
      <c r="O837" s="3"/>
      <c r="P837" s="3"/>
      <c r="Q837" s="3"/>
      <c r="R837" s="3"/>
      <c r="S837" s="3"/>
      <c r="T837" s="3"/>
      <c r="U837" s="3"/>
      <c r="V837" s="8"/>
      <c r="W837" s="8"/>
    </row>
    <row r="838" spans="2:23" x14ac:dyDescent="0.2">
      <c r="B838" s="3"/>
      <c r="C838" s="3"/>
      <c r="D838" s="3"/>
      <c r="E838" s="4"/>
      <c r="F838" s="4"/>
      <c r="G838" s="4"/>
      <c r="H838" s="4"/>
      <c r="I838" s="4"/>
      <c r="J838" s="4"/>
      <c r="K838" s="4"/>
      <c r="L838" s="3"/>
      <c r="M838" s="3"/>
      <c r="N838" s="3"/>
      <c r="O838" s="3"/>
      <c r="P838" s="3"/>
      <c r="Q838" s="3"/>
      <c r="R838" s="3"/>
      <c r="S838" s="3"/>
      <c r="T838" s="3"/>
      <c r="U838" s="3"/>
      <c r="V838" s="8"/>
      <c r="W838" s="8"/>
    </row>
    <row r="839" spans="2:23" x14ac:dyDescent="0.2">
      <c r="B839" s="3"/>
      <c r="C839" s="3"/>
      <c r="D839" s="3"/>
      <c r="E839" s="4"/>
      <c r="F839" s="4"/>
      <c r="G839" s="4"/>
      <c r="H839" s="4"/>
      <c r="I839" s="4"/>
      <c r="J839" s="4"/>
      <c r="K839" s="4"/>
      <c r="L839" s="3"/>
      <c r="M839" s="3"/>
      <c r="N839" s="3"/>
      <c r="O839" s="3"/>
      <c r="P839" s="3"/>
      <c r="Q839" s="3"/>
      <c r="R839" s="3"/>
      <c r="S839" s="3"/>
      <c r="T839" s="3"/>
      <c r="U839" s="3"/>
      <c r="V839" s="8"/>
      <c r="W839" s="8"/>
    </row>
    <row r="840" spans="2:23" x14ac:dyDescent="0.2">
      <c r="B840" s="3"/>
      <c r="C840" s="3"/>
      <c r="D840" s="3"/>
      <c r="E840" s="4"/>
      <c r="F840" s="4"/>
      <c r="G840" s="4"/>
      <c r="H840" s="4"/>
      <c r="I840" s="4"/>
      <c r="J840" s="4"/>
      <c r="K840" s="4"/>
      <c r="L840" s="3"/>
      <c r="M840" s="3"/>
      <c r="N840" s="3"/>
      <c r="O840" s="3"/>
      <c r="P840" s="3"/>
      <c r="Q840" s="3"/>
      <c r="R840" s="3"/>
      <c r="S840" s="3"/>
      <c r="T840" s="3"/>
      <c r="U840" s="3"/>
      <c r="V840" s="8"/>
      <c r="W840" s="8"/>
    </row>
    <row r="841" spans="2:23" x14ac:dyDescent="0.2">
      <c r="B841" s="3"/>
      <c r="C841" s="3"/>
      <c r="D841" s="3"/>
      <c r="E841" s="4"/>
      <c r="F841" s="4"/>
      <c r="G841" s="4"/>
      <c r="H841" s="4"/>
      <c r="I841" s="4"/>
      <c r="J841" s="4"/>
      <c r="K841" s="4"/>
      <c r="L841" s="3"/>
      <c r="M841" s="3"/>
      <c r="N841" s="3"/>
      <c r="O841" s="3"/>
      <c r="P841" s="3"/>
      <c r="Q841" s="3"/>
      <c r="R841" s="3"/>
      <c r="S841" s="3"/>
      <c r="T841" s="3"/>
      <c r="U841" s="3"/>
      <c r="V841" s="8"/>
      <c r="W841" s="8"/>
    </row>
    <row r="842" spans="2:23" x14ac:dyDescent="0.2">
      <c r="B842" s="3"/>
      <c r="C842" s="3"/>
      <c r="D842" s="3"/>
      <c r="E842" s="4"/>
      <c r="F842" s="4"/>
      <c r="G842" s="4"/>
      <c r="H842" s="4"/>
      <c r="I842" s="4"/>
      <c r="J842" s="4"/>
      <c r="K842" s="4"/>
      <c r="L842" s="3"/>
      <c r="M842" s="3"/>
      <c r="N842" s="3"/>
      <c r="O842" s="3"/>
      <c r="P842" s="3"/>
      <c r="Q842" s="3"/>
      <c r="R842" s="3"/>
      <c r="S842" s="3"/>
      <c r="T842" s="3"/>
      <c r="U842" s="3"/>
      <c r="V842" s="8"/>
      <c r="W842" s="8"/>
    </row>
    <row r="843" spans="2:23" x14ac:dyDescent="0.2">
      <c r="B843" s="3"/>
      <c r="C843" s="3"/>
      <c r="D843" s="3"/>
      <c r="E843" s="4"/>
      <c r="F843" s="4"/>
      <c r="G843" s="4"/>
      <c r="H843" s="4"/>
      <c r="I843" s="4"/>
      <c r="J843" s="4"/>
      <c r="K843" s="4"/>
      <c r="L843" s="3"/>
      <c r="M843" s="3"/>
      <c r="N843" s="3"/>
      <c r="O843" s="3"/>
      <c r="P843" s="3"/>
      <c r="Q843" s="3"/>
      <c r="R843" s="3"/>
      <c r="S843" s="3"/>
      <c r="T843" s="3"/>
      <c r="U843" s="3"/>
      <c r="V843" s="8"/>
      <c r="W843" s="8"/>
    </row>
    <row r="844" spans="2:23" x14ac:dyDescent="0.2">
      <c r="B844" s="3"/>
      <c r="C844" s="3"/>
      <c r="D844" s="3"/>
      <c r="E844" s="4"/>
      <c r="F844" s="4"/>
      <c r="G844" s="4"/>
      <c r="H844" s="4"/>
      <c r="I844" s="4"/>
      <c r="J844" s="4"/>
      <c r="K844" s="4"/>
      <c r="L844" s="3"/>
      <c r="M844" s="3"/>
      <c r="N844" s="3"/>
      <c r="O844" s="3"/>
      <c r="P844" s="3"/>
      <c r="Q844" s="3"/>
      <c r="R844" s="3"/>
      <c r="S844" s="3"/>
      <c r="T844" s="3"/>
      <c r="U844" s="3"/>
      <c r="V844" s="8"/>
      <c r="W844" s="8"/>
    </row>
    <row r="845" spans="2:23" x14ac:dyDescent="0.2">
      <c r="B845" s="3"/>
      <c r="C845" s="3"/>
      <c r="D845" s="3"/>
      <c r="E845" s="4"/>
      <c r="F845" s="4"/>
      <c r="G845" s="4"/>
      <c r="H845" s="4"/>
      <c r="I845" s="4"/>
      <c r="J845" s="4"/>
      <c r="K845" s="4"/>
      <c r="L845" s="3"/>
      <c r="M845" s="3"/>
      <c r="N845" s="3"/>
      <c r="O845" s="3"/>
      <c r="P845" s="3"/>
      <c r="Q845" s="3"/>
      <c r="R845" s="3"/>
      <c r="S845" s="3"/>
      <c r="T845" s="3"/>
      <c r="U845" s="3"/>
      <c r="V845" s="8"/>
      <c r="W845" s="8"/>
    </row>
    <row r="846" spans="2:23" x14ac:dyDescent="0.2">
      <c r="B846" s="3"/>
      <c r="C846" s="3"/>
      <c r="D846" s="3"/>
      <c r="E846" s="4"/>
      <c r="F846" s="4"/>
      <c r="G846" s="4"/>
      <c r="H846" s="4"/>
      <c r="I846" s="4"/>
      <c r="J846" s="4"/>
      <c r="K846" s="4"/>
      <c r="L846" s="3"/>
      <c r="M846" s="3"/>
      <c r="N846" s="3"/>
      <c r="O846" s="3"/>
      <c r="P846" s="3"/>
      <c r="Q846" s="3"/>
      <c r="R846" s="3"/>
      <c r="S846" s="3"/>
      <c r="T846" s="3"/>
      <c r="U846" s="3"/>
      <c r="V846" s="8"/>
      <c r="W846" s="8"/>
    </row>
    <row r="847" spans="2:23" x14ac:dyDescent="0.2">
      <c r="B847" s="3"/>
      <c r="C847" s="3"/>
      <c r="D847" s="3"/>
      <c r="E847" s="4"/>
      <c r="F847" s="4"/>
      <c r="G847" s="4"/>
      <c r="H847" s="4"/>
      <c r="I847" s="4"/>
      <c r="J847" s="4"/>
      <c r="K847" s="4"/>
      <c r="L847" s="3"/>
      <c r="M847" s="3"/>
      <c r="N847" s="3"/>
      <c r="O847" s="3"/>
      <c r="P847" s="3"/>
      <c r="Q847" s="3"/>
      <c r="R847" s="3"/>
      <c r="S847" s="3"/>
      <c r="T847" s="3"/>
      <c r="U847" s="3"/>
      <c r="V847" s="8"/>
      <c r="W847" s="8"/>
    </row>
    <row r="848" spans="2:23" x14ac:dyDescent="0.2">
      <c r="B848" s="3"/>
      <c r="C848" s="3"/>
      <c r="D848" s="3"/>
      <c r="E848" s="4"/>
      <c r="F848" s="4"/>
      <c r="G848" s="4"/>
      <c r="H848" s="4"/>
      <c r="I848" s="4"/>
      <c r="J848" s="4"/>
      <c r="K848" s="4"/>
      <c r="L848" s="3"/>
      <c r="M848" s="3"/>
      <c r="N848" s="3"/>
      <c r="O848" s="3"/>
      <c r="P848" s="3"/>
      <c r="Q848" s="3"/>
      <c r="R848" s="3"/>
      <c r="S848" s="3"/>
      <c r="T848" s="3"/>
      <c r="U848" s="3"/>
      <c r="V848" s="8"/>
      <c r="W848" s="8"/>
    </row>
    <row r="849" spans="2:23" x14ac:dyDescent="0.2">
      <c r="B849" s="3"/>
      <c r="C849" s="3"/>
      <c r="D849" s="3"/>
      <c r="E849" s="4"/>
      <c r="F849" s="4"/>
      <c r="G849" s="4"/>
      <c r="H849" s="4"/>
      <c r="I849" s="4"/>
      <c r="J849" s="4"/>
      <c r="K849" s="4"/>
      <c r="L849" s="3"/>
      <c r="M849" s="3"/>
      <c r="N849" s="3"/>
      <c r="O849" s="3"/>
      <c r="P849" s="3"/>
      <c r="Q849" s="3"/>
      <c r="R849" s="3"/>
      <c r="S849" s="3"/>
      <c r="T849" s="3"/>
      <c r="U849" s="3"/>
      <c r="V849" s="8"/>
      <c r="W849" s="8"/>
    </row>
    <row r="850" spans="2:23" x14ac:dyDescent="0.2">
      <c r="B850" s="3"/>
      <c r="C850" s="3"/>
      <c r="D850" s="3"/>
      <c r="E850" s="4"/>
      <c r="F850" s="4"/>
      <c r="G850" s="4"/>
      <c r="H850" s="4"/>
      <c r="I850" s="4"/>
      <c r="J850" s="4"/>
      <c r="K850" s="4"/>
      <c r="L850" s="3"/>
      <c r="M850" s="3"/>
      <c r="N850" s="3"/>
      <c r="O850" s="3"/>
      <c r="P850" s="3"/>
      <c r="Q850" s="3"/>
      <c r="R850" s="3"/>
      <c r="S850" s="3"/>
      <c r="T850" s="3"/>
      <c r="U850" s="3"/>
      <c r="V850" s="8"/>
      <c r="W850" s="8"/>
    </row>
    <row r="851" spans="2:23" x14ac:dyDescent="0.2">
      <c r="B851" s="3"/>
      <c r="C851" s="3"/>
      <c r="D851" s="3"/>
      <c r="E851" s="4"/>
      <c r="F851" s="4"/>
      <c r="G851" s="4"/>
      <c r="H851" s="4"/>
      <c r="I851" s="4"/>
      <c r="J851" s="4"/>
      <c r="K851" s="4"/>
      <c r="L851" s="3"/>
      <c r="M851" s="3"/>
      <c r="N851" s="3"/>
      <c r="O851" s="3"/>
      <c r="P851" s="3"/>
      <c r="Q851" s="3"/>
      <c r="R851" s="3"/>
      <c r="S851" s="3"/>
      <c r="T851" s="3"/>
      <c r="U851" s="3"/>
      <c r="V851" s="8"/>
      <c r="W851" s="8"/>
    </row>
    <row r="852" spans="2:23" x14ac:dyDescent="0.2">
      <c r="B852" s="3"/>
      <c r="C852" s="3"/>
      <c r="D852" s="3"/>
      <c r="E852" s="4"/>
      <c r="F852" s="4"/>
      <c r="G852" s="4"/>
      <c r="H852" s="4"/>
      <c r="I852" s="4"/>
      <c r="J852" s="4"/>
      <c r="K852" s="4"/>
      <c r="L852" s="3"/>
      <c r="M852" s="3"/>
      <c r="N852" s="3"/>
      <c r="O852" s="3"/>
      <c r="P852" s="3"/>
      <c r="Q852" s="3"/>
      <c r="R852" s="3"/>
      <c r="S852" s="3"/>
      <c r="T852" s="3"/>
      <c r="U852" s="3"/>
      <c r="V852" s="8"/>
      <c r="W852" s="8"/>
    </row>
    <row r="853" spans="2:23" x14ac:dyDescent="0.2">
      <c r="B853" s="3"/>
      <c r="C853" s="3"/>
      <c r="D853" s="3"/>
      <c r="E853" s="4"/>
      <c r="F853" s="4"/>
      <c r="G853" s="4"/>
      <c r="H853" s="4"/>
      <c r="I853" s="4"/>
      <c r="J853" s="4"/>
      <c r="K853" s="4"/>
      <c r="L853" s="3"/>
      <c r="M853" s="3"/>
      <c r="N853" s="3"/>
      <c r="O853" s="3"/>
      <c r="P853" s="3"/>
      <c r="Q853" s="3"/>
      <c r="R853" s="3"/>
      <c r="S853" s="3"/>
      <c r="T853" s="3"/>
      <c r="U853" s="3"/>
      <c r="V853" s="8"/>
      <c r="W853" s="8"/>
    </row>
    <row r="854" spans="2:23" x14ac:dyDescent="0.2">
      <c r="B854" s="3"/>
      <c r="C854" s="3"/>
      <c r="D854" s="3"/>
      <c r="E854" s="4"/>
      <c r="F854" s="4"/>
      <c r="G854" s="4"/>
      <c r="H854" s="4"/>
      <c r="I854" s="4"/>
      <c r="J854" s="4"/>
      <c r="K854" s="4"/>
      <c r="L854" s="3"/>
      <c r="M854" s="3"/>
      <c r="N854" s="3"/>
      <c r="O854" s="3"/>
      <c r="P854" s="3"/>
      <c r="Q854" s="3"/>
      <c r="R854" s="3"/>
      <c r="S854" s="3"/>
      <c r="T854" s="3"/>
      <c r="U854" s="3"/>
      <c r="V854" s="8"/>
      <c r="W854" s="8"/>
    </row>
    <row r="855" spans="2:23" x14ac:dyDescent="0.2">
      <c r="B855" s="3"/>
      <c r="C855" s="3"/>
      <c r="D855" s="3"/>
      <c r="E855" s="4"/>
      <c r="F855" s="4"/>
      <c r="G855" s="4"/>
      <c r="H855" s="4"/>
      <c r="I855" s="4"/>
      <c r="J855" s="4"/>
      <c r="K855" s="4"/>
      <c r="L855" s="3"/>
      <c r="M855" s="3"/>
      <c r="N855" s="3"/>
      <c r="O855" s="3"/>
      <c r="P855" s="3"/>
      <c r="Q855" s="3"/>
      <c r="R855" s="3"/>
      <c r="S855" s="3"/>
      <c r="T855" s="3"/>
      <c r="U855" s="3"/>
      <c r="V855" s="8"/>
      <c r="W855" s="8"/>
    </row>
    <row r="856" spans="2:23" x14ac:dyDescent="0.2">
      <c r="B856" s="3"/>
      <c r="C856" s="3"/>
      <c r="D856" s="3"/>
      <c r="E856" s="4"/>
      <c r="F856" s="4"/>
      <c r="G856" s="4"/>
      <c r="H856" s="4"/>
      <c r="I856" s="4"/>
      <c r="J856" s="4"/>
      <c r="K856" s="4"/>
      <c r="L856" s="3"/>
      <c r="M856" s="3"/>
      <c r="N856" s="3"/>
      <c r="O856" s="3"/>
      <c r="P856" s="3"/>
      <c r="Q856" s="3"/>
      <c r="R856" s="3"/>
      <c r="S856" s="3"/>
      <c r="T856" s="3"/>
      <c r="U856" s="3"/>
      <c r="V856" s="8"/>
      <c r="W856" s="8"/>
    </row>
    <row r="857" spans="2:23" x14ac:dyDescent="0.2">
      <c r="B857" s="3"/>
      <c r="C857" s="3"/>
      <c r="D857" s="3"/>
      <c r="E857" s="4"/>
      <c r="F857" s="4"/>
      <c r="G857" s="4"/>
      <c r="H857" s="4"/>
      <c r="I857" s="4"/>
      <c r="J857" s="4"/>
      <c r="K857" s="4"/>
      <c r="L857" s="3"/>
      <c r="M857" s="3"/>
      <c r="N857" s="3"/>
      <c r="O857" s="3"/>
      <c r="P857" s="3"/>
      <c r="Q857" s="3"/>
      <c r="R857" s="3"/>
      <c r="S857" s="3"/>
      <c r="T857" s="3"/>
      <c r="U857" s="3"/>
      <c r="V857" s="8"/>
      <c r="W857" s="8"/>
    </row>
    <row r="858" spans="2:23" x14ac:dyDescent="0.2">
      <c r="B858" s="3"/>
      <c r="C858" s="3"/>
      <c r="D858" s="3"/>
      <c r="E858" s="4"/>
      <c r="F858" s="4"/>
      <c r="G858" s="4"/>
      <c r="H858" s="4"/>
      <c r="I858" s="4"/>
      <c r="J858" s="4"/>
      <c r="K858" s="4"/>
      <c r="L858" s="3"/>
      <c r="M858" s="3"/>
      <c r="N858" s="3"/>
      <c r="O858" s="3"/>
      <c r="P858" s="3"/>
      <c r="Q858" s="3"/>
      <c r="R858" s="3"/>
      <c r="S858" s="3"/>
      <c r="T858" s="3"/>
      <c r="U858" s="3"/>
      <c r="V858" s="8"/>
      <c r="W858" s="8"/>
    </row>
    <row r="859" spans="2:23" x14ac:dyDescent="0.2">
      <c r="B859" s="3"/>
      <c r="C859" s="3"/>
      <c r="D859" s="3"/>
      <c r="E859" s="4"/>
      <c r="F859" s="4"/>
      <c r="G859" s="4"/>
      <c r="H859" s="4"/>
      <c r="I859" s="4"/>
      <c r="J859" s="4"/>
      <c r="K859" s="4"/>
      <c r="L859" s="3"/>
      <c r="M859" s="3"/>
      <c r="N859" s="3"/>
      <c r="O859" s="3"/>
      <c r="P859" s="3"/>
      <c r="Q859" s="3"/>
      <c r="R859" s="3"/>
      <c r="S859" s="3"/>
      <c r="T859" s="3"/>
      <c r="U859" s="3"/>
      <c r="V859" s="8"/>
      <c r="W859" s="8"/>
    </row>
    <row r="860" spans="2:23" x14ac:dyDescent="0.2">
      <c r="B860" s="3"/>
      <c r="C860" s="3"/>
      <c r="D860" s="3"/>
      <c r="E860" s="4"/>
      <c r="F860" s="4"/>
      <c r="G860" s="4"/>
      <c r="H860" s="4"/>
      <c r="I860" s="4"/>
      <c r="J860" s="4"/>
      <c r="K860" s="4"/>
      <c r="L860" s="3"/>
      <c r="M860" s="3"/>
      <c r="N860" s="3"/>
      <c r="O860" s="3"/>
      <c r="P860" s="3"/>
      <c r="Q860" s="3"/>
      <c r="R860" s="3"/>
      <c r="S860" s="3"/>
      <c r="T860" s="3"/>
      <c r="U860" s="3"/>
      <c r="V860" s="8"/>
      <c r="W860" s="8"/>
    </row>
    <row r="861" spans="2:23" x14ac:dyDescent="0.2">
      <c r="B861" s="3"/>
      <c r="C861" s="3"/>
      <c r="D861" s="3"/>
      <c r="E861" s="4"/>
      <c r="F861" s="4"/>
      <c r="G861" s="4"/>
      <c r="H861" s="4"/>
      <c r="I861" s="4"/>
      <c r="J861" s="4"/>
      <c r="K861" s="4"/>
      <c r="L861" s="3"/>
      <c r="M861" s="3"/>
      <c r="N861" s="3"/>
      <c r="O861" s="3"/>
      <c r="P861" s="3"/>
      <c r="Q861" s="3"/>
      <c r="R861" s="3"/>
      <c r="S861" s="3"/>
      <c r="T861" s="3"/>
      <c r="U861" s="3"/>
      <c r="V861" s="8"/>
      <c r="W861" s="8"/>
    </row>
    <row r="862" spans="2:23" x14ac:dyDescent="0.2">
      <c r="B862" s="3"/>
      <c r="C862" s="3"/>
      <c r="D862" s="3"/>
      <c r="E862" s="4"/>
      <c r="F862" s="4"/>
      <c r="G862" s="4"/>
      <c r="H862" s="4"/>
      <c r="I862" s="4"/>
      <c r="J862" s="4"/>
      <c r="K862" s="4"/>
      <c r="L862" s="3"/>
      <c r="M862" s="3"/>
      <c r="N862" s="3"/>
      <c r="O862" s="3"/>
      <c r="P862" s="3"/>
      <c r="Q862" s="3"/>
      <c r="R862" s="3"/>
      <c r="S862" s="3"/>
      <c r="T862" s="3"/>
      <c r="U862" s="3"/>
      <c r="V862" s="8"/>
      <c r="W862" s="8"/>
    </row>
    <row r="863" spans="2:23" x14ac:dyDescent="0.2">
      <c r="B863" s="3"/>
      <c r="C863" s="3"/>
      <c r="D863" s="3"/>
      <c r="E863" s="4"/>
      <c r="F863" s="4"/>
      <c r="G863" s="4"/>
      <c r="H863" s="4"/>
      <c r="I863" s="4"/>
      <c r="J863" s="4"/>
      <c r="K863" s="4"/>
      <c r="L863" s="3"/>
      <c r="M863" s="3"/>
      <c r="N863" s="3"/>
      <c r="O863" s="3"/>
      <c r="P863" s="3"/>
      <c r="Q863" s="3"/>
      <c r="R863" s="3"/>
      <c r="S863" s="3"/>
      <c r="T863" s="3"/>
      <c r="U863" s="3"/>
      <c r="V863" s="8"/>
      <c r="W863" s="8"/>
    </row>
    <row r="864" spans="2:23" x14ac:dyDescent="0.2">
      <c r="B864" s="3"/>
      <c r="C864" s="3"/>
      <c r="D864" s="3"/>
      <c r="E864" s="4"/>
      <c r="F864" s="4"/>
      <c r="G864" s="4"/>
      <c r="H864" s="4"/>
      <c r="I864" s="4"/>
      <c r="J864" s="4"/>
      <c r="K864" s="4"/>
      <c r="L864" s="3"/>
      <c r="M864" s="3"/>
      <c r="N864" s="3"/>
      <c r="O864" s="3"/>
      <c r="P864" s="3"/>
      <c r="Q864" s="3"/>
      <c r="R864" s="3"/>
      <c r="S864" s="3"/>
      <c r="T864" s="3"/>
      <c r="U864" s="3"/>
      <c r="V864" s="8"/>
      <c r="W864" s="8"/>
    </row>
    <row r="865" spans="2:23" x14ac:dyDescent="0.2">
      <c r="B865" s="3"/>
      <c r="C865" s="3"/>
      <c r="D865" s="3"/>
      <c r="E865" s="4"/>
      <c r="F865" s="4"/>
      <c r="G865" s="4"/>
      <c r="H865" s="4"/>
      <c r="I865" s="4"/>
      <c r="J865" s="4"/>
      <c r="K865" s="4"/>
      <c r="L865" s="3"/>
      <c r="M865" s="3"/>
      <c r="N865" s="3"/>
      <c r="O865" s="3"/>
      <c r="P865" s="3"/>
      <c r="Q865" s="3"/>
      <c r="R865" s="3"/>
      <c r="S865" s="3"/>
      <c r="T865" s="3"/>
      <c r="U865" s="3"/>
      <c r="V865" s="8"/>
      <c r="W865" s="8"/>
    </row>
    <row r="866" spans="2:23" x14ac:dyDescent="0.2">
      <c r="B866" s="3"/>
      <c r="C866" s="3"/>
      <c r="D866" s="3"/>
      <c r="E866" s="4"/>
      <c r="F866" s="4"/>
      <c r="G866" s="4"/>
      <c r="H866" s="4"/>
      <c r="I866" s="4"/>
      <c r="J866" s="4"/>
      <c r="K866" s="4"/>
      <c r="L866" s="3"/>
      <c r="M866" s="3"/>
      <c r="N866" s="3"/>
      <c r="O866" s="3"/>
      <c r="P866" s="3"/>
      <c r="Q866" s="3"/>
      <c r="R866" s="3"/>
      <c r="S866" s="3"/>
      <c r="T866" s="3"/>
      <c r="U866" s="3"/>
      <c r="V866" s="8"/>
      <c r="W866" s="8"/>
    </row>
    <row r="867" spans="2:23" x14ac:dyDescent="0.2">
      <c r="B867" s="3"/>
      <c r="C867" s="3"/>
      <c r="D867" s="3"/>
      <c r="E867" s="4"/>
      <c r="F867" s="4"/>
      <c r="G867" s="4"/>
      <c r="H867" s="4"/>
      <c r="I867" s="4"/>
      <c r="J867" s="4"/>
      <c r="K867" s="4"/>
      <c r="L867" s="3"/>
      <c r="M867" s="3"/>
      <c r="N867" s="3"/>
      <c r="O867" s="3"/>
      <c r="P867" s="3"/>
      <c r="Q867" s="3"/>
      <c r="R867" s="3"/>
      <c r="S867" s="3"/>
      <c r="T867" s="3"/>
      <c r="U867" s="3"/>
      <c r="V867" s="8"/>
      <c r="W867" s="8"/>
    </row>
    <row r="868" spans="2:23" x14ac:dyDescent="0.2">
      <c r="B868" s="3"/>
      <c r="C868" s="3"/>
      <c r="D868" s="3"/>
      <c r="E868" s="4"/>
      <c r="F868" s="4"/>
      <c r="G868" s="4"/>
      <c r="H868" s="4"/>
      <c r="I868" s="4"/>
      <c r="J868" s="4"/>
      <c r="K868" s="4"/>
      <c r="L868" s="3"/>
      <c r="M868" s="3"/>
      <c r="N868" s="3"/>
      <c r="O868" s="3"/>
      <c r="P868" s="3"/>
      <c r="Q868" s="3"/>
      <c r="R868" s="3"/>
      <c r="S868" s="3"/>
      <c r="T868" s="3"/>
      <c r="U868" s="3"/>
      <c r="V868" s="8"/>
      <c r="W868" s="8"/>
    </row>
    <row r="869" spans="2:23" x14ac:dyDescent="0.2">
      <c r="B869" s="3"/>
      <c r="C869" s="3"/>
      <c r="D869" s="3"/>
      <c r="E869" s="4"/>
      <c r="F869" s="4"/>
      <c r="G869" s="4"/>
      <c r="H869" s="4"/>
      <c r="I869" s="4"/>
      <c r="J869" s="4"/>
      <c r="K869" s="4"/>
      <c r="L869" s="3"/>
      <c r="M869" s="3"/>
      <c r="N869" s="3"/>
      <c r="O869" s="3"/>
      <c r="P869" s="3"/>
      <c r="Q869" s="3"/>
      <c r="R869" s="3"/>
      <c r="S869" s="3"/>
      <c r="T869" s="3"/>
      <c r="U869" s="3"/>
      <c r="V869" s="8"/>
      <c r="W869" s="8"/>
    </row>
    <row r="870" spans="2:23" x14ac:dyDescent="0.2">
      <c r="B870" s="3"/>
      <c r="C870" s="3"/>
      <c r="D870" s="3"/>
      <c r="E870" s="4"/>
      <c r="F870" s="4"/>
      <c r="G870" s="4"/>
      <c r="H870" s="4"/>
      <c r="I870" s="4"/>
      <c r="J870" s="4"/>
      <c r="K870" s="4"/>
      <c r="L870" s="3"/>
      <c r="M870" s="3"/>
      <c r="N870" s="3"/>
      <c r="O870" s="3"/>
      <c r="P870" s="3"/>
      <c r="Q870" s="3"/>
      <c r="R870" s="3"/>
      <c r="S870" s="3"/>
      <c r="T870" s="3"/>
      <c r="U870" s="3"/>
      <c r="V870" s="8"/>
      <c r="W870" s="8"/>
    </row>
    <row r="871" spans="2:23" x14ac:dyDescent="0.2">
      <c r="B871" s="3"/>
      <c r="C871" s="3"/>
      <c r="D871" s="3"/>
      <c r="E871" s="4"/>
      <c r="F871" s="4"/>
      <c r="G871" s="4"/>
      <c r="H871" s="4"/>
      <c r="I871" s="4"/>
      <c r="J871" s="4"/>
      <c r="K871" s="4"/>
      <c r="L871" s="3"/>
      <c r="M871" s="3"/>
      <c r="N871" s="3"/>
      <c r="O871" s="3"/>
      <c r="P871" s="3"/>
      <c r="Q871" s="3"/>
      <c r="R871" s="3"/>
      <c r="S871" s="3"/>
      <c r="T871" s="3"/>
      <c r="U871" s="3"/>
      <c r="V871" s="8"/>
      <c r="W871" s="8"/>
    </row>
    <row r="872" spans="2:23" x14ac:dyDescent="0.2">
      <c r="B872" s="3"/>
      <c r="C872" s="3"/>
      <c r="D872" s="3"/>
      <c r="E872" s="4"/>
      <c r="F872" s="4"/>
      <c r="G872" s="4"/>
      <c r="H872" s="4"/>
      <c r="I872" s="4"/>
      <c r="J872" s="4"/>
      <c r="K872" s="4"/>
      <c r="L872" s="3"/>
      <c r="M872" s="3"/>
      <c r="N872" s="3"/>
      <c r="O872" s="3"/>
      <c r="P872" s="3"/>
      <c r="Q872" s="3"/>
      <c r="R872" s="3"/>
      <c r="S872" s="3"/>
      <c r="T872" s="3"/>
      <c r="U872" s="3"/>
      <c r="V872" s="8"/>
      <c r="W872" s="8"/>
    </row>
    <row r="873" spans="2:23" x14ac:dyDescent="0.2">
      <c r="B873" s="3"/>
      <c r="C873" s="3"/>
      <c r="D873" s="3"/>
      <c r="E873" s="4"/>
      <c r="F873" s="4"/>
      <c r="G873" s="4"/>
      <c r="H873" s="4"/>
      <c r="I873" s="4"/>
      <c r="J873" s="4"/>
      <c r="K873" s="4"/>
      <c r="L873" s="3"/>
      <c r="M873" s="3"/>
      <c r="N873" s="3"/>
      <c r="O873" s="3"/>
      <c r="P873" s="3"/>
      <c r="Q873" s="3"/>
      <c r="R873" s="3"/>
      <c r="S873" s="3"/>
      <c r="T873" s="3"/>
      <c r="U873" s="3"/>
      <c r="V873" s="8"/>
      <c r="W873" s="8"/>
    </row>
    <row r="874" spans="2:23" x14ac:dyDescent="0.2">
      <c r="B874" s="3"/>
      <c r="C874" s="3"/>
      <c r="D874" s="3"/>
      <c r="E874" s="4"/>
      <c r="F874" s="4"/>
      <c r="G874" s="4"/>
      <c r="H874" s="4"/>
      <c r="I874" s="4"/>
      <c r="J874" s="4"/>
      <c r="K874" s="4"/>
      <c r="L874" s="3"/>
      <c r="M874" s="3"/>
      <c r="N874" s="3"/>
      <c r="O874" s="3"/>
      <c r="P874" s="3"/>
      <c r="Q874" s="3"/>
      <c r="R874" s="3"/>
      <c r="S874" s="3"/>
      <c r="T874" s="3"/>
      <c r="U874" s="3"/>
      <c r="V874" s="8"/>
      <c r="W874" s="8"/>
    </row>
    <row r="875" spans="2:23" x14ac:dyDescent="0.2">
      <c r="B875" s="3"/>
      <c r="C875" s="3"/>
      <c r="D875" s="3"/>
      <c r="E875" s="4"/>
      <c r="F875" s="4"/>
      <c r="G875" s="4"/>
      <c r="H875" s="4"/>
      <c r="I875" s="4"/>
      <c r="J875" s="4"/>
      <c r="K875" s="4"/>
      <c r="L875" s="3"/>
      <c r="M875" s="3"/>
      <c r="N875" s="3"/>
      <c r="O875" s="3"/>
      <c r="P875" s="3"/>
      <c r="Q875" s="3"/>
      <c r="R875" s="3"/>
      <c r="S875" s="3"/>
      <c r="T875" s="3"/>
      <c r="U875" s="3"/>
      <c r="V875" s="8"/>
      <c r="W875" s="8"/>
    </row>
    <row r="876" spans="2:23" x14ac:dyDescent="0.2">
      <c r="B876" s="3"/>
      <c r="C876" s="3"/>
      <c r="D876" s="3"/>
      <c r="E876" s="4"/>
      <c r="F876" s="4"/>
      <c r="G876" s="4"/>
      <c r="H876" s="4"/>
      <c r="I876" s="4"/>
      <c r="J876" s="4"/>
      <c r="K876" s="4"/>
      <c r="L876" s="3"/>
      <c r="M876" s="3"/>
      <c r="N876" s="3"/>
      <c r="O876" s="3"/>
      <c r="P876" s="3"/>
      <c r="Q876" s="3"/>
      <c r="R876" s="3"/>
      <c r="S876" s="3"/>
      <c r="T876" s="3"/>
      <c r="U876" s="3"/>
      <c r="V876" s="8"/>
      <c r="W876" s="8"/>
    </row>
    <row r="877" spans="2:23" x14ac:dyDescent="0.2">
      <c r="B877" s="3"/>
      <c r="C877" s="3"/>
      <c r="D877" s="3"/>
      <c r="E877" s="4"/>
      <c r="F877" s="4"/>
      <c r="G877" s="4"/>
      <c r="H877" s="4"/>
      <c r="I877" s="4"/>
      <c r="J877" s="4"/>
      <c r="K877" s="4"/>
      <c r="L877" s="3"/>
      <c r="M877" s="3"/>
      <c r="N877" s="3"/>
      <c r="O877" s="3"/>
      <c r="P877" s="3"/>
      <c r="Q877" s="3"/>
      <c r="R877" s="3"/>
      <c r="S877" s="3"/>
      <c r="T877" s="3"/>
      <c r="U877" s="3"/>
      <c r="V877" s="8"/>
      <c r="W877" s="8"/>
    </row>
    <row r="878" spans="2:23" x14ac:dyDescent="0.2">
      <c r="B878" s="3"/>
      <c r="C878" s="3"/>
      <c r="D878" s="3"/>
      <c r="E878" s="4"/>
      <c r="F878" s="4"/>
      <c r="G878" s="4"/>
      <c r="H878" s="4"/>
      <c r="I878" s="4"/>
      <c r="J878" s="4"/>
      <c r="K878" s="4"/>
      <c r="L878" s="3"/>
      <c r="M878" s="3"/>
      <c r="N878" s="3"/>
      <c r="O878" s="3"/>
      <c r="P878" s="3"/>
      <c r="Q878" s="3"/>
      <c r="R878" s="3"/>
      <c r="S878" s="3"/>
      <c r="T878" s="3"/>
      <c r="U878" s="3"/>
      <c r="V878" s="8"/>
      <c r="W878" s="8"/>
    </row>
    <row r="879" spans="2:23" x14ac:dyDescent="0.2">
      <c r="B879" s="3"/>
      <c r="C879" s="3"/>
      <c r="D879" s="3"/>
      <c r="E879" s="4"/>
      <c r="F879" s="4"/>
      <c r="G879" s="4"/>
      <c r="H879" s="4"/>
      <c r="I879" s="4"/>
      <c r="J879" s="4"/>
      <c r="K879" s="4"/>
      <c r="L879" s="3"/>
      <c r="M879" s="3"/>
      <c r="N879" s="3"/>
      <c r="O879" s="3"/>
      <c r="P879" s="3"/>
      <c r="Q879" s="3"/>
      <c r="R879" s="3"/>
      <c r="S879" s="3"/>
      <c r="T879" s="3"/>
      <c r="U879" s="3"/>
      <c r="V879" s="8"/>
      <c r="W879" s="8"/>
    </row>
    <row r="880" spans="2:23" x14ac:dyDescent="0.2">
      <c r="B880" s="3"/>
      <c r="C880" s="3"/>
      <c r="D880" s="3"/>
      <c r="E880" s="4"/>
      <c r="F880" s="4"/>
      <c r="G880" s="4"/>
      <c r="H880" s="4"/>
      <c r="I880" s="4"/>
      <c r="J880" s="4"/>
      <c r="K880" s="4"/>
      <c r="L880" s="3"/>
      <c r="M880" s="3"/>
      <c r="N880" s="3"/>
      <c r="O880" s="3"/>
      <c r="P880" s="3"/>
      <c r="Q880" s="3"/>
      <c r="R880" s="3"/>
      <c r="S880" s="3"/>
      <c r="T880" s="3"/>
      <c r="U880" s="3"/>
      <c r="V880" s="8"/>
      <c r="W880" s="8"/>
    </row>
    <row r="881" spans="2:23" x14ac:dyDescent="0.2">
      <c r="B881" s="3"/>
      <c r="C881" s="3"/>
      <c r="D881" s="3"/>
      <c r="E881" s="4"/>
      <c r="F881" s="4"/>
      <c r="G881" s="4"/>
      <c r="H881" s="4"/>
      <c r="I881" s="4"/>
      <c r="J881" s="4"/>
      <c r="K881" s="4"/>
      <c r="L881" s="3"/>
      <c r="M881" s="3"/>
      <c r="N881" s="3"/>
      <c r="O881" s="3"/>
      <c r="P881" s="3"/>
      <c r="Q881" s="3"/>
      <c r="R881" s="3"/>
      <c r="S881" s="3"/>
      <c r="T881" s="3"/>
      <c r="U881" s="3"/>
      <c r="V881" s="8"/>
      <c r="W881" s="8"/>
    </row>
    <row r="882" spans="2:23" x14ac:dyDescent="0.2">
      <c r="B882" s="3"/>
      <c r="C882" s="3"/>
      <c r="D882" s="3"/>
      <c r="E882" s="4"/>
      <c r="F882" s="4"/>
      <c r="G882" s="4"/>
      <c r="H882" s="4"/>
      <c r="I882" s="4"/>
      <c r="J882" s="4"/>
      <c r="K882" s="4"/>
      <c r="L882" s="3"/>
      <c r="M882" s="3"/>
      <c r="N882" s="3"/>
      <c r="O882" s="3"/>
      <c r="P882" s="3"/>
      <c r="Q882" s="3"/>
      <c r="R882" s="3"/>
      <c r="S882" s="3"/>
      <c r="T882" s="3"/>
      <c r="U882" s="3"/>
      <c r="V882" s="8"/>
      <c r="W882" s="8"/>
    </row>
    <row r="883" spans="2:23" x14ac:dyDescent="0.2">
      <c r="B883" s="3"/>
      <c r="C883" s="3"/>
      <c r="D883" s="3"/>
      <c r="E883" s="4"/>
      <c r="F883" s="4"/>
      <c r="G883" s="4"/>
      <c r="H883" s="4"/>
      <c r="I883" s="4"/>
      <c r="J883" s="4"/>
      <c r="K883" s="4"/>
      <c r="L883" s="3"/>
      <c r="M883" s="3"/>
      <c r="N883" s="3"/>
      <c r="O883" s="3"/>
      <c r="P883" s="3"/>
      <c r="Q883" s="3"/>
      <c r="R883" s="3"/>
      <c r="S883" s="3"/>
      <c r="T883" s="3"/>
      <c r="U883" s="3"/>
      <c r="V883" s="8"/>
      <c r="W883" s="8"/>
    </row>
    <row r="884" spans="2:23" x14ac:dyDescent="0.2">
      <c r="B884" s="3"/>
      <c r="C884" s="3"/>
      <c r="D884" s="3"/>
      <c r="E884" s="4"/>
      <c r="F884" s="4"/>
      <c r="G884" s="4"/>
      <c r="H884" s="4"/>
      <c r="I884" s="4"/>
      <c r="J884" s="4"/>
      <c r="K884" s="4"/>
      <c r="L884" s="3"/>
      <c r="M884" s="3"/>
      <c r="N884" s="3"/>
      <c r="O884" s="3"/>
      <c r="P884" s="3"/>
      <c r="Q884" s="3"/>
      <c r="R884" s="3"/>
      <c r="S884" s="3"/>
      <c r="T884" s="3"/>
      <c r="U884" s="3"/>
      <c r="V884" s="8"/>
      <c r="W884" s="8"/>
    </row>
    <row r="885" spans="2:23" x14ac:dyDescent="0.2">
      <c r="B885" s="3"/>
      <c r="C885" s="3"/>
      <c r="D885" s="3"/>
      <c r="E885" s="4"/>
      <c r="F885" s="4"/>
      <c r="G885" s="4"/>
      <c r="H885" s="4"/>
      <c r="I885" s="4"/>
      <c r="J885" s="4"/>
      <c r="K885" s="4"/>
      <c r="L885" s="3"/>
      <c r="M885" s="3"/>
      <c r="N885" s="3"/>
      <c r="O885" s="3"/>
      <c r="P885" s="3"/>
      <c r="Q885" s="3"/>
      <c r="R885" s="3"/>
      <c r="S885" s="3"/>
      <c r="T885" s="3"/>
      <c r="U885" s="3"/>
      <c r="V885" s="8"/>
      <c r="W885" s="8"/>
    </row>
    <row r="886" spans="2:23" x14ac:dyDescent="0.2">
      <c r="B886" s="3"/>
      <c r="C886" s="3"/>
      <c r="D886" s="3"/>
      <c r="E886" s="4"/>
      <c r="F886" s="4"/>
      <c r="G886" s="4"/>
      <c r="H886" s="4"/>
      <c r="I886" s="4"/>
      <c r="J886" s="4"/>
      <c r="K886" s="4"/>
      <c r="L886" s="3"/>
      <c r="M886" s="3"/>
      <c r="N886" s="3"/>
      <c r="O886" s="3"/>
      <c r="P886" s="3"/>
      <c r="Q886" s="3"/>
      <c r="R886" s="3"/>
      <c r="S886" s="3"/>
      <c r="T886" s="3"/>
      <c r="U886" s="3"/>
      <c r="V886" s="8"/>
      <c r="W886" s="8"/>
    </row>
    <row r="887" spans="2:23" x14ac:dyDescent="0.2">
      <c r="B887" s="3"/>
      <c r="C887" s="3"/>
      <c r="D887" s="3"/>
      <c r="E887" s="4"/>
      <c r="F887" s="4"/>
      <c r="G887" s="4"/>
      <c r="H887" s="4"/>
      <c r="I887" s="4"/>
      <c r="J887" s="4"/>
      <c r="K887" s="4"/>
      <c r="L887" s="3"/>
      <c r="M887" s="3"/>
      <c r="N887" s="3"/>
      <c r="O887" s="3"/>
      <c r="P887" s="3"/>
      <c r="Q887" s="3"/>
      <c r="R887" s="3"/>
      <c r="S887" s="3"/>
      <c r="T887" s="3"/>
      <c r="U887" s="3"/>
      <c r="V887" s="8"/>
      <c r="W887" s="8"/>
    </row>
    <row r="888" spans="2:23" x14ac:dyDescent="0.2">
      <c r="B888" s="3"/>
      <c r="C888" s="3"/>
      <c r="D888" s="3"/>
      <c r="E888" s="4"/>
      <c r="F888" s="4"/>
      <c r="G888" s="4"/>
      <c r="H888" s="4"/>
      <c r="I888" s="4"/>
      <c r="J888" s="4"/>
      <c r="K888" s="4"/>
      <c r="L888" s="3"/>
      <c r="M888" s="3"/>
      <c r="N888" s="3"/>
      <c r="O888" s="3"/>
      <c r="P888" s="3"/>
      <c r="Q888" s="3"/>
      <c r="R888" s="3"/>
      <c r="S888" s="3"/>
      <c r="T888" s="3"/>
      <c r="U888" s="3"/>
      <c r="V888" s="8"/>
      <c r="W888" s="8"/>
    </row>
    <row r="889" spans="2:23" x14ac:dyDescent="0.2">
      <c r="B889" s="3"/>
      <c r="C889" s="3"/>
      <c r="D889" s="3"/>
      <c r="E889" s="4"/>
      <c r="F889" s="4"/>
      <c r="G889" s="4"/>
      <c r="H889" s="4"/>
      <c r="I889" s="4"/>
      <c r="J889" s="4"/>
      <c r="K889" s="4"/>
      <c r="L889" s="3"/>
      <c r="M889" s="3"/>
      <c r="N889" s="3"/>
      <c r="O889" s="3"/>
      <c r="P889" s="3"/>
      <c r="Q889" s="3"/>
      <c r="R889" s="3"/>
      <c r="S889" s="3"/>
      <c r="T889" s="3"/>
      <c r="U889" s="3"/>
      <c r="V889" s="8"/>
      <c r="W889" s="8"/>
    </row>
    <row r="890" spans="2:23" x14ac:dyDescent="0.2">
      <c r="B890" s="3"/>
      <c r="C890" s="3"/>
      <c r="D890" s="3"/>
      <c r="E890" s="4"/>
      <c r="F890" s="4"/>
      <c r="G890" s="4"/>
      <c r="H890" s="4"/>
      <c r="I890" s="4"/>
      <c r="J890" s="4"/>
      <c r="K890" s="4"/>
      <c r="L890" s="3"/>
      <c r="M890" s="3"/>
      <c r="N890" s="3"/>
      <c r="O890" s="3"/>
      <c r="P890" s="3"/>
      <c r="Q890" s="3"/>
      <c r="R890" s="3"/>
      <c r="S890" s="3"/>
      <c r="T890" s="3"/>
      <c r="U890" s="3"/>
      <c r="V890" s="8"/>
      <c r="W890" s="8"/>
    </row>
    <row r="891" spans="2:23" x14ac:dyDescent="0.2">
      <c r="B891" s="3"/>
      <c r="C891" s="3"/>
      <c r="D891" s="3"/>
      <c r="E891" s="4"/>
      <c r="F891" s="4"/>
      <c r="G891" s="4"/>
      <c r="H891" s="4"/>
      <c r="I891" s="4"/>
      <c r="J891" s="4"/>
      <c r="K891" s="4"/>
      <c r="L891" s="3"/>
      <c r="M891" s="3"/>
      <c r="N891" s="3"/>
      <c r="O891" s="3"/>
      <c r="P891" s="3"/>
      <c r="Q891" s="3"/>
      <c r="R891" s="3"/>
      <c r="S891" s="3"/>
      <c r="T891" s="3"/>
      <c r="U891" s="3"/>
      <c r="V891" s="8"/>
      <c r="W891" s="8"/>
    </row>
    <row r="892" spans="2:23" x14ac:dyDescent="0.2">
      <c r="B892" s="3"/>
      <c r="C892" s="3"/>
      <c r="D892" s="3"/>
      <c r="E892" s="4"/>
      <c r="F892" s="4"/>
      <c r="G892" s="4"/>
      <c r="H892" s="4"/>
      <c r="I892" s="4"/>
      <c r="J892" s="4"/>
      <c r="K892" s="4"/>
      <c r="L892" s="3"/>
      <c r="M892" s="3"/>
      <c r="N892" s="3"/>
      <c r="O892" s="3"/>
      <c r="P892" s="3"/>
      <c r="Q892" s="3"/>
      <c r="R892" s="3"/>
      <c r="S892" s="3"/>
      <c r="T892" s="3"/>
      <c r="U892" s="3"/>
      <c r="V892" s="8"/>
      <c r="W892" s="8"/>
    </row>
    <row r="893" spans="2:23" x14ac:dyDescent="0.2">
      <c r="B893" s="3"/>
      <c r="C893" s="3"/>
      <c r="D893" s="3"/>
      <c r="E893" s="4"/>
      <c r="F893" s="4"/>
      <c r="G893" s="4"/>
      <c r="H893" s="4"/>
      <c r="I893" s="4"/>
      <c r="J893" s="4"/>
      <c r="K893" s="4"/>
      <c r="L893" s="3"/>
      <c r="M893" s="3"/>
      <c r="N893" s="3"/>
      <c r="O893" s="3"/>
      <c r="P893" s="3"/>
      <c r="Q893" s="3"/>
      <c r="R893" s="3"/>
      <c r="S893" s="3"/>
      <c r="T893" s="3"/>
      <c r="U893" s="3"/>
      <c r="V893" s="8"/>
      <c r="W893" s="8"/>
    </row>
    <row r="894" spans="2:23" x14ac:dyDescent="0.2">
      <c r="B894" s="3"/>
      <c r="C894" s="3"/>
      <c r="D894" s="3"/>
      <c r="E894" s="4"/>
      <c r="F894" s="4"/>
      <c r="G894" s="4"/>
      <c r="H894" s="4"/>
      <c r="I894" s="4"/>
      <c r="J894" s="4"/>
      <c r="K894" s="4"/>
      <c r="L894" s="3"/>
      <c r="M894" s="3"/>
      <c r="N894" s="3"/>
      <c r="O894" s="3"/>
      <c r="P894" s="3"/>
      <c r="Q894" s="3"/>
      <c r="R894" s="3"/>
      <c r="S894" s="3"/>
      <c r="T894" s="3"/>
      <c r="U894" s="3"/>
      <c r="V894" s="8"/>
      <c r="W894" s="8"/>
    </row>
    <row r="895" spans="2:23" x14ac:dyDescent="0.2">
      <c r="B895" s="3"/>
      <c r="C895" s="3"/>
      <c r="D895" s="3"/>
      <c r="E895" s="4"/>
      <c r="F895" s="4"/>
      <c r="G895" s="4"/>
      <c r="H895" s="4"/>
      <c r="I895" s="4"/>
      <c r="J895" s="4"/>
      <c r="K895" s="4"/>
      <c r="L895" s="3"/>
      <c r="M895" s="3"/>
      <c r="N895" s="3"/>
      <c r="O895" s="3"/>
      <c r="P895" s="3"/>
      <c r="Q895" s="3"/>
      <c r="R895" s="3"/>
      <c r="S895" s="3"/>
      <c r="T895" s="3"/>
      <c r="U895" s="3"/>
      <c r="V895" s="8"/>
      <c r="W895" s="8"/>
    </row>
    <row r="896" spans="2:23" x14ac:dyDescent="0.2">
      <c r="B896" s="3"/>
      <c r="C896" s="3"/>
      <c r="D896" s="3"/>
      <c r="E896" s="4"/>
      <c r="F896" s="4"/>
      <c r="G896" s="4"/>
      <c r="H896" s="4"/>
      <c r="I896" s="4"/>
      <c r="J896" s="4"/>
      <c r="K896" s="4"/>
      <c r="L896" s="3"/>
      <c r="M896" s="3"/>
      <c r="N896" s="3"/>
      <c r="O896" s="3"/>
      <c r="P896" s="3"/>
      <c r="Q896" s="3"/>
      <c r="R896" s="3"/>
      <c r="S896" s="3"/>
      <c r="T896" s="3"/>
      <c r="U896" s="3"/>
      <c r="V896" s="8"/>
      <c r="W896" s="8"/>
    </row>
    <row r="897" spans="2:23" x14ac:dyDescent="0.2">
      <c r="B897" s="3"/>
      <c r="C897" s="3"/>
      <c r="D897" s="3"/>
      <c r="E897" s="4"/>
      <c r="F897" s="4"/>
      <c r="G897" s="4"/>
      <c r="H897" s="4"/>
      <c r="I897" s="4"/>
      <c r="J897" s="4"/>
      <c r="K897" s="4"/>
      <c r="L897" s="3"/>
      <c r="M897" s="3"/>
      <c r="N897" s="3"/>
      <c r="O897" s="3"/>
      <c r="P897" s="3"/>
      <c r="Q897" s="3"/>
      <c r="R897" s="3"/>
      <c r="S897" s="3"/>
      <c r="T897" s="3"/>
      <c r="U897" s="3"/>
      <c r="V897" s="8"/>
      <c r="W897" s="8"/>
    </row>
    <row r="898" spans="2:23" x14ac:dyDescent="0.2">
      <c r="B898" s="3"/>
      <c r="C898" s="3"/>
      <c r="D898" s="3"/>
      <c r="E898" s="4"/>
      <c r="F898" s="4"/>
      <c r="G898" s="4"/>
      <c r="H898" s="4"/>
      <c r="I898" s="4"/>
      <c r="J898" s="4"/>
      <c r="K898" s="4"/>
      <c r="L898" s="3"/>
      <c r="M898" s="3"/>
      <c r="N898" s="3"/>
      <c r="O898" s="3"/>
      <c r="P898" s="3"/>
      <c r="Q898" s="3"/>
      <c r="R898" s="3"/>
      <c r="S898" s="3"/>
      <c r="T898" s="3"/>
      <c r="U898" s="3"/>
      <c r="V898" s="8"/>
      <c r="W898" s="8"/>
    </row>
    <row r="899" spans="2:23" x14ac:dyDescent="0.2">
      <c r="B899" s="3"/>
      <c r="C899" s="3"/>
      <c r="D899" s="3"/>
      <c r="E899" s="4"/>
      <c r="F899" s="4"/>
      <c r="G899" s="4"/>
      <c r="H899" s="4"/>
      <c r="I899" s="4"/>
      <c r="J899" s="4"/>
      <c r="K899" s="4"/>
      <c r="L899" s="3"/>
      <c r="M899" s="3"/>
      <c r="N899" s="3"/>
      <c r="O899" s="3"/>
      <c r="P899" s="3"/>
      <c r="Q899" s="3"/>
      <c r="R899" s="3"/>
      <c r="S899" s="3"/>
      <c r="T899" s="3"/>
      <c r="U899" s="3"/>
      <c r="V899" s="8"/>
      <c r="W899" s="8"/>
    </row>
    <row r="900" spans="2:23" x14ac:dyDescent="0.2">
      <c r="B900" s="3"/>
      <c r="C900" s="3"/>
      <c r="D900" s="3"/>
      <c r="E900" s="4"/>
      <c r="F900" s="4"/>
      <c r="G900" s="4"/>
      <c r="H900" s="4"/>
      <c r="I900" s="4"/>
      <c r="J900" s="4"/>
      <c r="K900" s="4"/>
      <c r="L900" s="3"/>
      <c r="M900" s="3"/>
      <c r="N900" s="3"/>
      <c r="O900" s="3"/>
      <c r="P900" s="3"/>
      <c r="Q900" s="3"/>
      <c r="R900" s="3"/>
      <c r="S900" s="3"/>
      <c r="T900" s="3"/>
      <c r="U900" s="3"/>
      <c r="V900" s="8"/>
      <c r="W900" s="8"/>
    </row>
    <row r="901" spans="2:23" x14ac:dyDescent="0.2">
      <c r="B901" s="3"/>
      <c r="C901" s="3"/>
      <c r="D901" s="3"/>
      <c r="E901" s="4"/>
      <c r="F901" s="4"/>
      <c r="G901" s="4"/>
      <c r="H901" s="4"/>
      <c r="I901" s="4"/>
      <c r="J901" s="4"/>
      <c r="K901" s="4"/>
      <c r="L901" s="3"/>
      <c r="M901" s="3"/>
      <c r="N901" s="3"/>
      <c r="O901" s="3"/>
      <c r="P901" s="3"/>
      <c r="Q901" s="3"/>
      <c r="R901" s="3"/>
      <c r="S901" s="3"/>
      <c r="T901" s="3"/>
      <c r="U901" s="3"/>
      <c r="V901" s="8"/>
      <c r="W901" s="8"/>
    </row>
    <row r="902" spans="2:23" x14ac:dyDescent="0.2">
      <c r="B902" s="3"/>
      <c r="C902" s="3"/>
      <c r="D902" s="3"/>
      <c r="E902" s="4"/>
      <c r="F902" s="4"/>
      <c r="G902" s="4"/>
      <c r="H902" s="4"/>
      <c r="I902" s="4"/>
      <c r="J902" s="4"/>
      <c r="K902" s="4"/>
      <c r="L902" s="3"/>
      <c r="M902" s="3"/>
      <c r="N902" s="3"/>
      <c r="O902" s="3"/>
      <c r="P902" s="3"/>
      <c r="Q902" s="3"/>
      <c r="R902" s="3"/>
      <c r="S902" s="3"/>
      <c r="T902" s="3"/>
      <c r="U902" s="3"/>
      <c r="V902" s="8"/>
      <c r="W902" s="8"/>
    </row>
    <row r="903" spans="2:23" x14ac:dyDescent="0.2">
      <c r="B903" s="3"/>
      <c r="C903" s="3"/>
      <c r="D903" s="3"/>
      <c r="E903" s="4"/>
      <c r="F903" s="4"/>
      <c r="G903" s="4"/>
      <c r="H903" s="4"/>
      <c r="I903" s="4"/>
      <c r="J903" s="4"/>
      <c r="K903" s="4"/>
      <c r="L903" s="3"/>
      <c r="M903" s="3"/>
      <c r="N903" s="3"/>
      <c r="O903" s="3"/>
      <c r="P903" s="3"/>
      <c r="Q903" s="3"/>
      <c r="R903" s="3"/>
      <c r="S903" s="3"/>
      <c r="T903" s="3"/>
      <c r="U903" s="3"/>
      <c r="V903" s="8"/>
      <c r="W903" s="8"/>
    </row>
    <row r="904" spans="2:23" x14ac:dyDescent="0.2">
      <c r="B904" s="3"/>
      <c r="C904" s="3"/>
      <c r="D904" s="3"/>
      <c r="E904" s="4"/>
      <c r="F904" s="4"/>
      <c r="G904" s="4"/>
      <c r="H904" s="4"/>
      <c r="I904" s="4"/>
      <c r="J904" s="4"/>
      <c r="K904" s="4"/>
      <c r="L904" s="3"/>
      <c r="M904" s="3"/>
      <c r="N904" s="3"/>
      <c r="O904" s="3"/>
      <c r="P904" s="3"/>
      <c r="Q904" s="3"/>
      <c r="R904" s="3"/>
      <c r="S904" s="3"/>
      <c r="T904" s="3"/>
      <c r="U904" s="3"/>
      <c r="V904" s="8"/>
      <c r="W904" s="8"/>
    </row>
    <row r="905" spans="2:23" x14ac:dyDescent="0.2">
      <c r="B905" s="3"/>
      <c r="C905" s="3"/>
      <c r="D905" s="3"/>
      <c r="E905" s="4"/>
      <c r="F905" s="4"/>
      <c r="G905" s="4"/>
      <c r="H905" s="4"/>
      <c r="I905" s="4"/>
      <c r="J905" s="4"/>
      <c r="K905" s="4"/>
      <c r="L905" s="3"/>
      <c r="M905" s="3"/>
      <c r="N905" s="3"/>
      <c r="O905" s="3"/>
      <c r="P905" s="3"/>
      <c r="Q905" s="3"/>
      <c r="R905" s="3"/>
      <c r="S905" s="3"/>
      <c r="T905" s="3"/>
      <c r="U905" s="3"/>
      <c r="V905" s="8"/>
      <c r="W905" s="8"/>
    </row>
    <row r="906" spans="2:23" x14ac:dyDescent="0.2">
      <c r="B906" s="3"/>
      <c r="C906" s="3"/>
      <c r="D906" s="3"/>
      <c r="E906" s="4"/>
      <c r="F906" s="4"/>
      <c r="G906" s="4"/>
      <c r="H906" s="4"/>
      <c r="I906" s="4"/>
      <c r="J906" s="4"/>
      <c r="K906" s="4"/>
      <c r="L906" s="3"/>
      <c r="M906" s="3"/>
      <c r="N906" s="3"/>
      <c r="O906" s="3"/>
      <c r="P906" s="3"/>
      <c r="Q906" s="3"/>
      <c r="R906" s="3"/>
      <c r="S906" s="3"/>
      <c r="T906" s="3"/>
      <c r="U906" s="3"/>
      <c r="V906" s="8"/>
      <c r="W906" s="8"/>
    </row>
    <row r="907" spans="2:23" x14ac:dyDescent="0.2">
      <c r="B907" s="3"/>
      <c r="C907" s="3"/>
      <c r="D907" s="3"/>
      <c r="E907" s="4"/>
      <c r="F907" s="4"/>
      <c r="G907" s="4"/>
      <c r="H907" s="4"/>
      <c r="I907" s="4"/>
      <c r="J907" s="4"/>
      <c r="K907" s="4"/>
      <c r="L907" s="3"/>
      <c r="M907" s="3"/>
      <c r="N907" s="3"/>
      <c r="O907" s="3"/>
      <c r="P907" s="3"/>
      <c r="Q907" s="3"/>
      <c r="R907" s="3"/>
      <c r="S907" s="3"/>
      <c r="T907" s="3"/>
      <c r="U907" s="3"/>
      <c r="V907" s="8"/>
      <c r="W907" s="8"/>
    </row>
    <row r="908" spans="2:23" x14ac:dyDescent="0.2">
      <c r="B908" s="3"/>
      <c r="C908" s="3"/>
      <c r="D908" s="3"/>
      <c r="E908" s="4"/>
      <c r="F908" s="4"/>
      <c r="G908" s="4"/>
      <c r="H908" s="4"/>
      <c r="I908" s="4"/>
      <c r="J908" s="4"/>
      <c r="K908" s="4"/>
      <c r="L908" s="3"/>
      <c r="M908" s="3"/>
      <c r="N908" s="3"/>
      <c r="O908" s="3"/>
      <c r="P908" s="3"/>
      <c r="Q908" s="3"/>
      <c r="R908" s="3"/>
      <c r="S908" s="3"/>
      <c r="T908" s="3"/>
      <c r="U908" s="3"/>
      <c r="V908" s="8"/>
      <c r="W908" s="8"/>
    </row>
    <row r="909" spans="2:23" x14ac:dyDescent="0.2">
      <c r="B909" s="3"/>
      <c r="C909" s="3"/>
      <c r="D909" s="3"/>
      <c r="E909" s="4"/>
      <c r="F909" s="4"/>
      <c r="G909" s="4"/>
      <c r="H909" s="4"/>
      <c r="I909" s="4"/>
      <c r="J909" s="4"/>
      <c r="K909" s="4"/>
      <c r="L909" s="3"/>
      <c r="M909" s="3"/>
      <c r="N909" s="3"/>
      <c r="O909" s="3"/>
      <c r="P909" s="3"/>
      <c r="Q909" s="3"/>
      <c r="R909" s="3"/>
      <c r="S909" s="3"/>
      <c r="T909" s="3"/>
      <c r="U909" s="3"/>
      <c r="V909" s="8"/>
      <c r="W909" s="8"/>
    </row>
    <row r="910" spans="2:23" x14ac:dyDescent="0.2">
      <c r="B910" s="3"/>
      <c r="C910" s="3"/>
      <c r="D910" s="3"/>
      <c r="E910" s="4"/>
      <c r="F910" s="4"/>
      <c r="G910" s="4"/>
      <c r="H910" s="4"/>
      <c r="I910" s="4"/>
      <c r="J910" s="4"/>
      <c r="K910" s="4"/>
      <c r="L910" s="3"/>
      <c r="M910" s="3"/>
      <c r="N910" s="3"/>
      <c r="O910" s="3"/>
      <c r="P910" s="3"/>
      <c r="Q910" s="3"/>
      <c r="R910" s="3"/>
      <c r="S910" s="3"/>
      <c r="T910" s="3"/>
      <c r="U910" s="3"/>
      <c r="V910" s="8"/>
      <c r="W910" s="8"/>
    </row>
    <row r="911" spans="2:23" x14ac:dyDescent="0.2">
      <c r="B911" s="3"/>
      <c r="C911" s="3"/>
      <c r="D911" s="3"/>
      <c r="E911" s="4"/>
      <c r="F911" s="4"/>
      <c r="G911" s="4"/>
      <c r="H911" s="4"/>
      <c r="I911" s="4"/>
      <c r="J911" s="4"/>
      <c r="K911" s="4"/>
      <c r="L911" s="3"/>
      <c r="M911" s="3"/>
      <c r="N911" s="3"/>
      <c r="O911" s="3"/>
      <c r="P911" s="3"/>
      <c r="Q911" s="3"/>
      <c r="R911" s="3"/>
      <c r="S911" s="3"/>
      <c r="T911" s="3"/>
      <c r="U911" s="3"/>
      <c r="V911" s="8"/>
      <c r="W911" s="8"/>
    </row>
    <row r="912" spans="2:23" x14ac:dyDescent="0.2">
      <c r="B912" s="3"/>
      <c r="C912" s="3"/>
      <c r="D912" s="3"/>
      <c r="E912" s="4"/>
      <c r="F912" s="4"/>
      <c r="G912" s="4"/>
      <c r="H912" s="4"/>
      <c r="I912" s="4"/>
      <c r="J912" s="4"/>
      <c r="K912" s="4"/>
      <c r="L912" s="3"/>
      <c r="M912" s="3"/>
      <c r="N912" s="3"/>
      <c r="O912" s="3"/>
      <c r="P912" s="3"/>
      <c r="Q912" s="3"/>
      <c r="R912" s="3"/>
      <c r="S912" s="3"/>
      <c r="T912" s="3"/>
      <c r="U912" s="3"/>
      <c r="V912" s="8"/>
      <c r="W912" s="8"/>
    </row>
    <row r="913" spans="2:23" x14ac:dyDescent="0.2">
      <c r="B913" s="3"/>
      <c r="C913" s="3"/>
      <c r="D913" s="3"/>
      <c r="E913" s="4"/>
      <c r="F913" s="4"/>
      <c r="G913" s="4"/>
      <c r="H913" s="4"/>
      <c r="I913" s="4"/>
      <c r="J913" s="4"/>
      <c r="K913" s="4"/>
      <c r="L913" s="3"/>
      <c r="M913" s="3"/>
      <c r="N913" s="3"/>
      <c r="O913" s="3"/>
      <c r="P913" s="3"/>
      <c r="Q913" s="3"/>
      <c r="R913" s="3"/>
      <c r="S913" s="3"/>
      <c r="T913" s="3"/>
      <c r="U913" s="3"/>
      <c r="V913" s="8"/>
      <c r="W913" s="8"/>
    </row>
    <row r="914" spans="2:23" x14ac:dyDescent="0.2">
      <c r="B914" s="3"/>
      <c r="C914" s="3"/>
      <c r="D914" s="3"/>
      <c r="E914" s="4"/>
      <c r="F914" s="4"/>
      <c r="G914" s="4"/>
      <c r="H914" s="4"/>
      <c r="I914" s="4"/>
      <c r="J914" s="4"/>
      <c r="K914" s="4"/>
      <c r="L914" s="3"/>
      <c r="M914" s="3"/>
      <c r="N914" s="3"/>
      <c r="O914" s="3"/>
      <c r="P914" s="3"/>
      <c r="Q914" s="3"/>
      <c r="R914" s="3"/>
      <c r="S914" s="3"/>
      <c r="T914" s="3"/>
      <c r="U914" s="3"/>
      <c r="V914" s="8"/>
      <c r="W914" s="8"/>
    </row>
    <row r="915" spans="2:23" x14ac:dyDescent="0.2">
      <c r="B915" s="3"/>
      <c r="C915" s="3"/>
      <c r="D915" s="3"/>
      <c r="E915" s="4"/>
      <c r="F915" s="4"/>
      <c r="G915" s="4"/>
      <c r="H915" s="4"/>
      <c r="I915" s="4"/>
      <c r="J915" s="4"/>
      <c r="K915" s="4"/>
      <c r="L915" s="3"/>
      <c r="M915" s="3"/>
      <c r="N915" s="3"/>
      <c r="O915" s="3"/>
      <c r="P915" s="3"/>
      <c r="Q915" s="3"/>
      <c r="R915" s="3"/>
      <c r="S915" s="3"/>
      <c r="T915" s="3"/>
      <c r="U915" s="3"/>
      <c r="V915" s="8"/>
      <c r="W915" s="8"/>
    </row>
    <row r="916" spans="2:23" x14ac:dyDescent="0.2">
      <c r="B916" s="3"/>
      <c r="C916" s="3"/>
      <c r="D916" s="3"/>
      <c r="E916" s="4"/>
      <c r="F916" s="4"/>
      <c r="G916" s="4"/>
      <c r="H916" s="4"/>
      <c r="I916" s="4"/>
      <c r="J916" s="4"/>
      <c r="K916" s="4"/>
      <c r="L916" s="3"/>
      <c r="M916" s="3"/>
      <c r="N916" s="3"/>
      <c r="O916" s="3"/>
      <c r="P916" s="3"/>
      <c r="Q916" s="3"/>
      <c r="R916" s="3"/>
      <c r="S916" s="3"/>
      <c r="T916" s="3"/>
      <c r="U916" s="3"/>
      <c r="V916" s="8"/>
      <c r="W916" s="8"/>
    </row>
    <row r="917" spans="2:23" x14ac:dyDescent="0.2">
      <c r="B917" s="3"/>
      <c r="C917" s="3"/>
      <c r="D917" s="3"/>
      <c r="E917" s="4"/>
      <c r="F917" s="4"/>
      <c r="G917" s="4"/>
      <c r="H917" s="4"/>
      <c r="I917" s="4"/>
      <c r="J917" s="4"/>
      <c r="K917" s="4"/>
      <c r="L917" s="3"/>
      <c r="M917" s="3"/>
      <c r="N917" s="3"/>
      <c r="O917" s="3"/>
      <c r="P917" s="3"/>
      <c r="Q917" s="3"/>
      <c r="R917" s="3"/>
      <c r="S917" s="3"/>
      <c r="T917" s="3"/>
      <c r="U917" s="3"/>
      <c r="V917" s="8"/>
      <c r="W917" s="8"/>
    </row>
    <row r="918" spans="2:23" x14ac:dyDescent="0.2">
      <c r="B918" s="3"/>
      <c r="C918" s="3"/>
      <c r="D918" s="3"/>
      <c r="E918" s="4"/>
      <c r="F918" s="4"/>
      <c r="G918" s="4"/>
      <c r="H918" s="4"/>
      <c r="I918" s="4"/>
      <c r="J918" s="4"/>
      <c r="K918" s="4"/>
      <c r="L918" s="3"/>
      <c r="M918" s="3"/>
      <c r="N918" s="3"/>
      <c r="O918" s="3"/>
      <c r="P918" s="3"/>
      <c r="Q918" s="3"/>
      <c r="R918" s="3"/>
      <c r="S918" s="3"/>
      <c r="T918" s="3"/>
      <c r="U918" s="3"/>
      <c r="V918" s="8"/>
      <c r="W918" s="8"/>
    </row>
    <row r="919" spans="2:23" x14ac:dyDescent="0.2">
      <c r="B919" s="3"/>
      <c r="C919" s="3"/>
      <c r="D919" s="3"/>
      <c r="E919" s="4"/>
      <c r="F919" s="4"/>
      <c r="G919" s="4"/>
      <c r="H919" s="4"/>
      <c r="I919" s="4"/>
      <c r="J919" s="4"/>
      <c r="K919" s="4"/>
      <c r="L919" s="3"/>
      <c r="M919" s="3"/>
      <c r="N919" s="3"/>
      <c r="O919" s="3"/>
      <c r="P919" s="3"/>
      <c r="Q919" s="3"/>
      <c r="R919" s="3"/>
      <c r="S919" s="3"/>
      <c r="T919" s="3"/>
      <c r="U919" s="3"/>
      <c r="V919" s="8"/>
      <c r="W919" s="8"/>
    </row>
    <row r="920" spans="2:23" x14ac:dyDescent="0.2">
      <c r="B920" s="3"/>
      <c r="C920" s="3"/>
      <c r="D920" s="3"/>
      <c r="E920" s="4"/>
      <c r="F920" s="4"/>
      <c r="G920" s="4"/>
      <c r="H920" s="4"/>
      <c r="I920" s="4"/>
      <c r="J920" s="4"/>
      <c r="K920" s="4"/>
      <c r="L920" s="3"/>
      <c r="M920" s="3"/>
      <c r="N920" s="3"/>
      <c r="O920" s="3"/>
      <c r="P920" s="3"/>
      <c r="Q920" s="3"/>
      <c r="R920" s="3"/>
      <c r="S920" s="3"/>
      <c r="T920" s="3"/>
      <c r="U920" s="3"/>
      <c r="V920" s="8"/>
      <c r="W920" s="8"/>
    </row>
    <row r="921" spans="2:23" x14ac:dyDescent="0.2">
      <c r="B921" s="3"/>
      <c r="C921" s="3"/>
      <c r="D921" s="3"/>
      <c r="E921" s="4"/>
      <c r="F921" s="4"/>
      <c r="G921" s="4"/>
      <c r="H921" s="4"/>
      <c r="I921" s="4"/>
      <c r="J921" s="4"/>
      <c r="K921" s="4"/>
      <c r="L921" s="3"/>
      <c r="M921" s="3"/>
      <c r="N921" s="3"/>
      <c r="O921" s="3"/>
      <c r="P921" s="3"/>
      <c r="Q921" s="3"/>
      <c r="R921" s="3"/>
      <c r="S921" s="3"/>
      <c r="T921" s="3"/>
      <c r="U921" s="3"/>
      <c r="V921" s="8"/>
      <c r="W921" s="8"/>
    </row>
    <row r="922" spans="2:23" x14ac:dyDescent="0.2">
      <c r="B922" s="3"/>
      <c r="C922" s="3"/>
      <c r="D922" s="3"/>
      <c r="E922" s="4"/>
      <c r="F922" s="4"/>
      <c r="G922" s="4"/>
      <c r="H922" s="4"/>
      <c r="I922" s="4"/>
      <c r="J922" s="4"/>
      <c r="K922" s="4"/>
      <c r="L922" s="3"/>
      <c r="M922" s="3"/>
      <c r="N922" s="3"/>
      <c r="O922" s="3"/>
      <c r="P922" s="3"/>
      <c r="Q922" s="3"/>
      <c r="R922" s="3"/>
      <c r="S922" s="3"/>
      <c r="T922" s="3"/>
      <c r="U922" s="3"/>
      <c r="V922" s="8"/>
      <c r="W922" s="8"/>
    </row>
    <row r="923" spans="2:23" x14ac:dyDescent="0.2">
      <c r="B923" s="3"/>
      <c r="C923" s="3"/>
      <c r="D923" s="3"/>
      <c r="E923" s="4"/>
      <c r="F923" s="4"/>
      <c r="G923" s="4"/>
      <c r="H923" s="4"/>
      <c r="I923" s="4"/>
      <c r="J923" s="4"/>
      <c r="K923" s="4"/>
      <c r="L923" s="3"/>
      <c r="M923" s="3"/>
      <c r="N923" s="3"/>
      <c r="O923" s="3"/>
      <c r="P923" s="3"/>
      <c r="Q923" s="3"/>
      <c r="R923" s="3"/>
      <c r="S923" s="3"/>
      <c r="T923" s="3"/>
      <c r="U923" s="3"/>
      <c r="V923" s="8"/>
      <c r="W923" s="8"/>
    </row>
    <row r="924" spans="2:23" x14ac:dyDescent="0.2">
      <c r="B924" s="3"/>
      <c r="C924" s="3"/>
      <c r="D924" s="3"/>
      <c r="E924" s="4"/>
      <c r="F924" s="4"/>
      <c r="G924" s="4"/>
      <c r="H924" s="4"/>
      <c r="I924" s="4"/>
      <c r="J924" s="4"/>
      <c r="K924" s="4"/>
      <c r="L924" s="3"/>
      <c r="M924" s="3"/>
      <c r="N924" s="3"/>
      <c r="O924" s="3"/>
      <c r="P924" s="3"/>
      <c r="Q924" s="3"/>
      <c r="R924" s="3"/>
      <c r="S924" s="3"/>
      <c r="T924" s="3"/>
      <c r="U924" s="3"/>
      <c r="V924" s="8"/>
      <c r="W924" s="8"/>
    </row>
    <row r="925" spans="2:23" x14ac:dyDescent="0.2">
      <c r="B925" s="3"/>
      <c r="C925" s="3"/>
      <c r="D925" s="3"/>
      <c r="E925" s="4"/>
      <c r="F925" s="4"/>
      <c r="G925" s="4"/>
      <c r="H925" s="4"/>
      <c r="I925" s="4"/>
      <c r="J925" s="4"/>
      <c r="K925" s="4"/>
      <c r="L925" s="3"/>
      <c r="M925" s="3"/>
      <c r="N925" s="3"/>
      <c r="O925" s="3"/>
      <c r="P925" s="3"/>
      <c r="Q925" s="3"/>
      <c r="R925" s="3"/>
      <c r="S925" s="3"/>
      <c r="T925" s="3"/>
      <c r="U925" s="3"/>
      <c r="V925" s="8"/>
      <c r="W925" s="8"/>
    </row>
    <row r="926" spans="2:23" x14ac:dyDescent="0.2">
      <c r="B926" s="3"/>
      <c r="C926" s="3"/>
      <c r="D926" s="3"/>
      <c r="E926" s="4"/>
      <c r="F926" s="4"/>
      <c r="G926" s="4"/>
      <c r="H926" s="4"/>
      <c r="I926" s="4"/>
      <c r="J926" s="4"/>
      <c r="K926" s="4"/>
      <c r="L926" s="3"/>
      <c r="M926" s="3"/>
      <c r="N926" s="3"/>
      <c r="O926" s="3"/>
      <c r="P926" s="3"/>
      <c r="Q926" s="3"/>
      <c r="R926" s="3"/>
      <c r="S926" s="3"/>
      <c r="T926" s="3"/>
      <c r="U926" s="3"/>
      <c r="V926" s="8"/>
      <c r="W926" s="8"/>
    </row>
    <row r="927" spans="2:23" x14ac:dyDescent="0.2">
      <c r="B927" s="3"/>
      <c r="C927" s="3"/>
      <c r="D927" s="3"/>
      <c r="E927" s="4"/>
      <c r="F927" s="4"/>
      <c r="G927" s="4"/>
      <c r="H927" s="4"/>
      <c r="I927" s="4"/>
      <c r="J927" s="4"/>
      <c r="K927" s="4"/>
      <c r="L927" s="3"/>
      <c r="M927" s="3"/>
      <c r="N927" s="3"/>
      <c r="O927" s="3"/>
      <c r="P927" s="3"/>
      <c r="Q927" s="3"/>
      <c r="R927" s="3"/>
      <c r="S927" s="3"/>
      <c r="T927" s="3"/>
      <c r="U927" s="3"/>
      <c r="V927" s="8"/>
      <c r="W927" s="8"/>
    </row>
    <row r="928" spans="2:23" x14ac:dyDescent="0.2">
      <c r="B928" s="3"/>
      <c r="C928" s="3"/>
      <c r="D928" s="3"/>
      <c r="E928" s="4"/>
      <c r="F928" s="4"/>
      <c r="G928" s="4"/>
      <c r="H928" s="4"/>
      <c r="I928" s="4"/>
      <c r="J928" s="4"/>
      <c r="K928" s="4"/>
      <c r="L928" s="3"/>
      <c r="M928" s="3"/>
      <c r="N928" s="3"/>
      <c r="O928" s="3"/>
      <c r="P928" s="3"/>
      <c r="Q928" s="3"/>
      <c r="R928" s="3"/>
      <c r="S928" s="3"/>
      <c r="T928" s="3"/>
      <c r="U928" s="3"/>
      <c r="V928" s="8"/>
      <c r="W928" s="8"/>
    </row>
    <row r="929" spans="2:23" x14ac:dyDescent="0.2">
      <c r="B929" s="3"/>
      <c r="C929" s="3"/>
      <c r="D929" s="3"/>
      <c r="E929" s="4"/>
      <c r="F929" s="4"/>
      <c r="G929" s="4"/>
      <c r="H929" s="4"/>
      <c r="I929" s="4"/>
      <c r="J929" s="4"/>
      <c r="K929" s="4"/>
      <c r="L929" s="3"/>
      <c r="M929" s="3"/>
      <c r="N929" s="3"/>
      <c r="O929" s="3"/>
      <c r="P929" s="3"/>
      <c r="Q929" s="3"/>
      <c r="R929" s="3"/>
      <c r="S929" s="3"/>
      <c r="T929" s="3"/>
      <c r="U929" s="3"/>
      <c r="V929" s="8"/>
      <c r="W929" s="8"/>
    </row>
    <row r="930" spans="2:23" x14ac:dyDescent="0.2">
      <c r="B930" s="3"/>
      <c r="C930" s="3"/>
      <c r="D930" s="3"/>
      <c r="E930" s="4"/>
      <c r="F930" s="4"/>
      <c r="G930" s="4"/>
      <c r="H930" s="4"/>
      <c r="I930" s="4"/>
      <c r="J930" s="4"/>
      <c r="K930" s="4"/>
      <c r="L930" s="3"/>
      <c r="M930" s="3"/>
      <c r="N930" s="3"/>
      <c r="O930" s="3"/>
      <c r="P930" s="3"/>
      <c r="Q930" s="3"/>
      <c r="R930" s="3"/>
      <c r="S930" s="3"/>
      <c r="T930" s="3"/>
      <c r="U930" s="3"/>
      <c r="V930" s="8"/>
      <c r="W930" s="8"/>
    </row>
    <row r="931" spans="2:23" x14ac:dyDescent="0.2">
      <c r="B931" s="3"/>
      <c r="C931" s="3"/>
      <c r="D931" s="3"/>
      <c r="E931" s="4"/>
      <c r="F931" s="4"/>
      <c r="G931" s="4"/>
      <c r="H931" s="4"/>
      <c r="I931" s="4"/>
      <c r="J931" s="4"/>
      <c r="K931" s="4"/>
      <c r="L931" s="3"/>
      <c r="M931" s="3"/>
      <c r="N931" s="3"/>
      <c r="O931" s="3"/>
      <c r="P931" s="3"/>
      <c r="Q931" s="3"/>
      <c r="R931" s="3"/>
      <c r="S931" s="3"/>
      <c r="T931" s="3"/>
      <c r="U931" s="3"/>
      <c r="V931" s="8"/>
      <c r="W931" s="8"/>
    </row>
    <row r="932" spans="2:23" x14ac:dyDescent="0.2">
      <c r="B932" s="3"/>
      <c r="C932" s="3"/>
      <c r="D932" s="3"/>
      <c r="E932" s="4"/>
      <c r="F932" s="4"/>
      <c r="G932" s="4"/>
      <c r="H932" s="4"/>
      <c r="I932" s="4"/>
      <c r="J932" s="4"/>
      <c r="K932" s="4"/>
      <c r="L932" s="3"/>
      <c r="M932" s="3"/>
      <c r="N932" s="3"/>
      <c r="O932" s="3"/>
      <c r="P932" s="3"/>
      <c r="Q932" s="3"/>
      <c r="R932" s="3"/>
      <c r="S932" s="3"/>
      <c r="T932" s="3"/>
      <c r="U932" s="3"/>
      <c r="V932" s="8"/>
      <c r="W932" s="8"/>
    </row>
    <row r="933" spans="2:23" x14ac:dyDescent="0.2">
      <c r="B933" s="3"/>
      <c r="C933" s="3"/>
      <c r="D933" s="3"/>
      <c r="E933" s="4"/>
      <c r="F933" s="4"/>
      <c r="G933" s="4"/>
      <c r="H933" s="4"/>
      <c r="I933" s="4"/>
      <c r="J933" s="4"/>
      <c r="K933" s="4"/>
      <c r="L933" s="3"/>
      <c r="M933" s="3"/>
      <c r="N933" s="3"/>
      <c r="O933" s="3"/>
      <c r="P933" s="3"/>
      <c r="Q933" s="3"/>
      <c r="R933" s="3"/>
      <c r="S933" s="3"/>
      <c r="T933" s="3"/>
      <c r="U933" s="3"/>
      <c r="V933" s="8"/>
      <c r="W933" s="8"/>
    </row>
    <row r="934" spans="2:23" x14ac:dyDescent="0.2">
      <c r="B934" s="3"/>
      <c r="C934" s="3"/>
      <c r="D934" s="3"/>
      <c r="E934" s="4"/>
      <c r="F934" s="4"/>
      <c r="G934" s="4"/>
      <c r="H934" s="4"/>
      <c r="I934" s="4"/>
      <c r="J934" s="4"/>
      <c r="K934" s="4"/>
      <c r="L934" s="3"/>
      <c r="M934" s="3"/>
      <c r="N934" s="3"/>
      <c r="O934" s="3"/>
      <c r="P934" s="3"/>
      <c r="Q934" s="3"/>
      <c r="R934" s="3"/>
      <c r="S934" s="3"/>
      <c r="T934" s="3"/>
      <c r="U934" s="3"/>
      <c r="V934" s="8"/>
      <c r="W934" s="8"/>
    </row>
    <row r="935" spans="2:23" x14ac:dyDescent="0.2">
      <c r="B935" s="3"/>
      <c r="C935" s="3"/>
      <c r="D935" s="3"/>
      <c r="E935" s="4"/>
      <c r="F935" s="4"/>
      <c r="G935" s="4"/>
      <c r="H935" s="4"/>
      <c r="I935" s="4"/>
      <c r="J935" s="4"/>
      <c r="K935" s="4"/>
      <c r="L935" s="3"/>
      <c r="M935" s="3"/>
      <c r="N935" s="3"/>
      <c r="O935" s="3"/>
      <c r="P935" s="3"/>
      <c r="Q935" s="3"/>
      <c r="R935" s="3"/>
      <c r="S935" s="3"/>
      <c r="T935" s="3"/>
      <c r="U935" s="3"/>
      <c r="V935" s="8"/>
      <c r="W935" s="8"/>
    </row>
    <row r="936" spans="2:23" x14ac:dyDescent="0.2">
      <c r="B936" s="3"/>
      <c r="C936" s="3"/>
      <c r="D936" s="3"/>
      <c r="E936" s="4"/>
      <c r="F936" s="4"/>
      <c r="G936" s="4"/>
      <c r="H936" s="4"/>
      <c r="I936" s="4"/>
      <c r="J936" s="4"/>
      <c r="K936" s="4"/>
      <c r="L936" s="3"/>
      <c r="M936" s="3"/>
      <c r="N936" s="3"/>
      <c r="O936" s="3"/>
      <c r="P936" s="3"/>
      <c r="Q936" s="3"/>
      <c r="R936" s="3"/>
      <c r="S936" s="3"/>
      <c r="T936" s="3"/>
      <c r="U936" s="3"/>
      <c r="V936" s="8"/>
      <c r="W936" s="8"/>
    </row>
    <row r="937" spans="2:23" x14ac:dyDescent="0.2">
      <c r="B937" s="3"/>
      <c r="C937" s="3"/>
      <c r="D937" s="3"/>
      <c r="E937" s="4"/>
      <c r="F937" s="4"/>
      <c r="G937" s="4"/>
      <c r="H937" s="4"/>
      <c r="I937" s="4"/>
      <c r="J937" s="4"/>
      <c r="K937" s="4"/>
      <c r="L937" s="3"/>
      <c r="M937" s="3"/>
      <c r="N937" s="3"/>
      <c r="O937" s="3"/>
      <c r="P937" s="3"/>
      <c r="Q937" s="3"/>
      <c r="R937" s="3"/>
      <c r="S937" s="3"/>
      <c r="T937" s="3"/>
      <c r="U937" s="3"/>
      <c r="V937" s="8"/>
      <c r="W937" s="8"/>
    </row>
    <row r="938" spans="2:23" x14ac:dyDescent="0.2">
      <c r="B938" s="3"/>
      <c r="C938" s="3"/>
      <c r="D938" s="3"/>
      <c r="E938" s="4"/>
      <c r="F938" s="4"/>
      <c r="G938" s="4"/>
      <c r="H938" s="4"/>
      <c r="I938" s="4"/>
      <c r="J938" s="4"/>
      <c r="K938" s="4"/>
      <c r="L938" s="3"/>
      <c r="M938" s="3"/>
      <c r="N938" s="3"/>
      <c r="O938" s="3"/>
      <c r="P938" s="3"/>
      <c r="Q938" s="3"/>
      <c r="R938" s="3"/>
      <c r="S938" s="3"/>
      <c r="T938" s="3"/>
      <c r="U938" s="3"/>
      <c r="V938" s="8"/>
      <c r="W938" s="8"/>
    </row>
    <row r="939" spans="2:23" x14ac:dyDescent="0.2">
      <c r="B939" s="3"/>
      <c r="C939" s="3"/>
      <c r="D939" s="3"/>
      <c r="E939" s="4"/>
      <c r="F939" s="4"/>
      <c r="G939" s="4"/>
      <c r="H939" s="4"/>
      <c r="I939" s="4"/>
      <c r="J939" s="4"/>
      <c r="K939" s="4"/>
      <c r="L939" s="3"/>
      <c r="M939" s="3"/>
      <c r="N939" s="3"/>
      <c r="O939" s="3"/>
      <c r="P939" s="3"/>
      <c r="Q939" s="3"/>
      <c r="R939" s="3"/>
      <c r="S939" s="3"/>
      <c r="T939" s="3"/>
      <c r="U939" s="3"/>
      <c r="V939" s="8"/>
      <c r="W939" s="8"/>
    </row>
    <row r="940" spans="2:23" x14ac:dyDescent="0.2">
      <c r="B940" s="3"/>
      <c r="C940" s="3"/>
      <c r="D940" s="3"/>
      <c r="E940" s="4"/>
      <c r="F940" s="4"/>
      <c r="G940" s="4"/>
      <c r="H940" s="4"/>
      <c r="I940" s="4"/>
      <c r="J940" s="4"/>
      <c r="K940" s="4"/>
      <c r="L940" s="3"/>
      <c r="M940" s="3"/>
      <c r="N940" s="3"/>
      <c r="O940" s="3"/>
      <c r="P940" s="3"/>
      <c r="Q940" s="3"/>
      <c r="R940" s="3"/>
      <c r="S940" s="3"/>
      <c r="T940" s="3"/>
      <c r="U940" s="3"/>
      <c r="V940" s="8"/>
      <c r="W940" s="8"/>
    </row>
    <row r="941" spans="2:23" x14ac:dyDescent="0.2">
      <c r="B941" s="3"/>
      <c r="C941" s="3"/>
      <c r="D941" s="3"/>
      <c r="E941" s="4"/>
      <c r="F941" s="4"/>
      <c r="G941" s="4"/>
      <c r="H941" s="4"/>
      <c r="I941" s="4"/>
      <c r="J941" s="4"/>
      <c r="K941" s="4"/>
      <c r="L941" s="3"/>
      <c r="M941" s="3"/>
      <c r="N941" s="3"/>
      <c r="O941" s="3"/>
      <c r="P941" s="3"/>
      <c r="Q941" s="3"/>
      <c r="R941" s="3"/>
      <c r="S941" s="3"/>
      <c r="T941" s="3"/>
      <c r="U941" s="3"/>
      <c r="V941" s="8"/>
      <c r="W941" s="8"/>
    </row>
    <row r="942" spans="2:23" x14ac:dyDescent="0.2">
      <c r="B942" s="3"/>
      <c r="C942" s="3"/>
      <c r="D942" s="3"/>
      <c r="E942" s="4"/>
      <c r="F942" s="4"/>
      <c r="G942" s="4"/>
      <c r="H942" s="4"/>
      <c r="I942" s="4"/>
      <c r="J942" s="4"/>
      <c r="K942" s="4"/>
      <c r="L942" s="3"/>
      <c r="M942" s="3"/>
      <c r="N942" s="3"/>
      <c r="O942" s="3"/>
      <c r="P942" s="3"/>
      <c r="Q942" s="3"/>
      <c r="R942" s="3"/>
      <c r="S942" s="3"/>
      <c r="T942" s="3"/>
      <c r="U942" s="3"/>
      <c r="V942" s="8"/>
      <c r="W942" s="8"/>
    </row>
    <row r="943" spans="2:23" x14ac:dyDescent="0.2">
      <c r="B943" s="3"/>
      <c r="C943" s="3"/>
      <c r="D943" s="3"/>
      <c r="E943" s="4"/>
      <c r="F943" s="4"/>
      <c r="G943" s="4"/>
      <c r="H943" s="4"/>
      <c r="I943" s="4"/>
      <c r="J943" s="4"/>
      <c r="K943" s="4"/>
      <c r="L943" s="3"/>
      <c r="M943" s="3"/>
      <c r="N943" s="3"/>
      <c r="O943" s="3"/>
      <c r="P943" s="3"/>
      <c r="Q943" s="3"/>
      <c r="R943" s="3"/>
      <c r="S943" s="3"/>
      <c r="T943" s="3"/>
      <c r="U943" s="3"/>
      <c r="V943" s="8"/>
      <c r="W943" s="8"/>
    </row>
    <row r="944" spans="2:23" x14ac:dyDescent="0.2">
      <c r="B944" s="3"/>
      <c r="C944" s="3"/>
      <c r="D944" s="3"/>
      <c r="E944" s="4"/>
      <c r="F944" s="4"/>
      <c r="G944" s="4"/>
      <c r="H944" s="4"/>
      <c r="I944" s="4"/>
      <c r="J944" s="4"/>
      <c r="K944" s="4"/>
      <c r="L944" s="3"/>
      <c r="M944" s="3"/>
      <c r="N944" s="3"/>
      <c r="O944" s="3"/>
      <c r="P944" s="3"/>
      <c r="Q944" s="3"/>
      <c r="R944" s="3"/>
      <c r="S944" s="3"/>
      <c r="T944" s="3"/>
      <c r="U944" s="3"/>
      <c r="V944" s="8"/>
      <c r="W944" s="8"/>
    </row>
    <row r="945" spans="2:23" x14ac:dyDescent="0.2">
      <c r="B945" s="3"/>
      <c r="C945" s="3"/>
      <c r="D945" s="3"/>
      <c r="E945" s="4"/>
      <c r="F945" s="4"/>
      <c r="G945" s="4"/>
      <c r="H945" s="4"/>
      <c r="I945" s="4"/>
      <c r="J945" s="4"/>
      <c r="K945" s="4"/>
      <c r="L945" s="3"/>
      <c r="M945" s="3"/>
      <c r="N945" s="3"/>
      <c r="O945" s="3"/>
      <c r="P945" s="3"/>
      <c r="Q945" s="3"/>
      <c r="R945" s="3"/>
      <c r="S945" s="3"/>
      <c r="T945" s="3"/>
      <c r="U945" s="3"/>
      <c r="V945" s="8"/>
      <c r="W945" s="8"/>
    </row>
    <row r="946" spans="2:23" x14ac:dyDescent="0.2">
      <c r="B946" s="3"/>
      <c r="C946" s="3"/>
      <c r="D946" s="3"/>
      <c r="E946" s="4"/>
      <c r="F946" s="4"/>
      <c r="G946" s="4"/>
      <c r="H946" s="4"/>
      <c r="I946" s="4"/>
      <c r="J946" s="4"/>
      <c r="K946" s="4"/>
      <c r="L946" s="3"/>
      <c r="M946" s="3"/>
      <c r="N946" s="3"/>
      <c r="O946" s="3"/>
      <c r="P946" s="3"/>
      <c r="Q946" s="3"/>
      <c r="R946" s="3"/>
      <c r="S946" s="3"/>
      <c r="T946" s="3"/>
      <c r="U946" s="3"/>
      <c r="V946" s="8"/>
      <c r="W946" s="8"/>
    </row>
    <row r="947" spans="2:23" x14ac:dyDescent="0.2">
      <c r="B947" s="3"/>
      <c r="C947" s="3"/>
      <c r="D947" s="3"/>
      <c r="E947" s="4"/>
      <c r="F947" s="4"/>
      <c r="G947" s="4"/>
      <c r="H947" s="4"/>
      <c r="I947" s="4"/>
      <c r="J947" s="4"/>
      <c r="K947" s="4"/>
      <c r="L947" s="3"/>
      <c r="M947" s="3"/>
      <c r="N947" s="3"/>
      <c r="O947" s="3"/>
      <c r="P947" s="3"/>
      <c r="Q947" s="3"/>
      <c r="R947" s="3"/>
      <c r="S947" s="3"/>
      <c r="T947" s="3"/>
      <c r="U947" s="3"/>
      <c r="V947" s="8"/>
      <c r="W947" s="8"/>
    </row>
    <row r="948" spans="2:23" x14ac:dyDescent="0.2">
      <c r="B948" s="3"/>
      <c r="C948" s="3"/>
      <c r="D948" s="3"/>
      <c r="E948" s="4"/>
      <c r="F948" s="4"/>
      <c r="G948" s="4"/>
      <c r="H948" s="4"/>
      <c r="I948" s="4"/>
      <c r="J948" s="4"/>
      <c r="K948" s="4"/>
      <c r="L948" s="3"/>
      <c r="M948" s="3"/>
      <c r="N948" s="3"/>
      <c r="O948" s="3"/>
      <c r="P948" s="3"/>
      <c r="Q948" s="3"/>
      <c r="R948" s="3"/>
      <c r="S948" s="3"/>
      <c r="T948" s="3"/>
      <c r="U948" s="3"/>
      <c r="V948" s="8"/>
      <c r="W948" s="8"/>
    </row>
    <row r="949" spans="2:23" x14ac:dyDescent="0.2">
      <c r="B949" s="3"/>
      <c r="C949" s="3"/>
      <c r="D949" s="3"/>
      <c r="E949" s="4"/>
      <c r="F949" s="4"/>
      <c r="G949" s="4"/>
      <c r="H949" s="4"/>
      <c r="I949" s="4"/>
      <c r="J949" s="4"/>
      <c r="K949" s="4"/>
      <c r="L949" s="3"/>
      <c r="M949" s="3"/>
      <c r="N949" s="3"/>
      <c r="O949" s="3"/>
      <c r="P949" s="3"/>
      <c r="Q949" s="3"/>
      <c r="R949" s="3"/>
      <c r="S949" s="3"/>
      <c r="T949" s="3"/>
      <c r="U949" s="3"/>
      <c r="V949" s="8"/>
      <c r="W949" s="8"/>
    </row>
    <row r="950" spans="2:23" x14ac:dyDescent="0.2">
      <c r="B950" s="3"/>
      <c r="C950" s="3"/>
      <c r="D950" s="3"/>
      <c r="E950" s="4"/>
      <c r="F950" s="4"/>
      <c r="G950" s="4"/>
      <c r="H950" s="4"/>
      <c r="I950" s="4"/>
      <c r="J950" s="4"/>
      <c r="K950" s="4"/>
      <c r="L950" s="3"/>
      <c r="M950" s="3"/>
      <c r="N950" s="3"/>
      <c r="O950" s="3"/>
      <c r="P950" s="3"/>
      <c r="Q950" s="3"/>
      <c r="R950" s="3"/>
      <c r="S950" s="3"/>
      <c r="T950" s="3"/>
      <c r="U950" s="3"/>
      <c r="V950" s="8"/>
      <c r="W950" s="8"/>
    </row>
    <row r="951" spans="2:23" x14ac:dyDescent="0.2">
      <c r="B951" s="3"/>
      <c r="C951" s="3"/>
      <c r="D951" s="3"/>
      <c r="E951" s="4"/>
      <c r="F951" s="4"/>
      <c r="G951" s="4"/>
      <c r="H951" s="4"/>
      <c r="I951" s="4"/>
      <c r="J951" s="4"/>
      <c r="K951" s="4"/>
      <c r="L951" s="3"/>
      <c r="M951" s="3"/>
      <c r="N951" s="3"/>
      <c r="O951" s="3"/>
      <c r="P951" s="3"/>
      <c r="Q951" s="3"/>
      <c r="R951" s="3"/>
      <c r="S951" s="3"/>
      <c r="T951" s="3"/>
      <c r="U951" s="3"/>
      <c r="V951" s="8"/>
      <c r="W951" s="8"/>
    </row>
    <row r="952" spans="2:23" x14ac:dyDescent="0.2">
      <c r="B952" s="3"/>
      <c r="C952" s="3"/>
      <c r="D952" s="3"/>
      <c r="E952" s="4"/>
      <c r="F952" s="4"/>
      <c r="G952" s="4"/>
      <c r="H952" s="4"/>
      <c r="I952" s="4"/>
      <c r="J952" s="4"/>
      <c r="K952" s="4"/>
      <c r="L952" s="3"/>
      <c r="M952" s="3"/>
      <c r="N952" s="3"/>
      <c r="O952" s="3"/>
      <c r="P952" s="3"/>
      <c r="Q952" s="3"/>
      <c r="R952" s="3"/>
      <c r="S952" s="3"/>
      <c r="T952" s="3"/>
      <c r="U952" s="3"/>
      <c r="V952" s="8"/>
      <c r="W952" s="8"/>
    </row>
    <row r="953" spans="2:23" x14ac:dyDescent="0.2">
      <c r="B953" s="3"/>
      <c r="C953" s="3"/>
      <c r="D953" s="3"/>
      <c r="E953" s="4"/>
      <c r="F953" s="4"/>
      <c r="G953" s="4"/>
      <c r="H953" s="4"/>
      <c r="I953" s="4"/>
      <c r="J953" s="4"/>
      <c r="K953" s="4"/>
      <c r="L953" s="3"/>
      <c r="M953" s="3"/>
      <c r="N953" s="3"/>
      <c r="O953" s="3"/>
      <c r="P953" s="3"/>
      <c r="Q953" s="3"/>
      <c r="R953" s="3"/>
      <c r="S953" s="3"/>
      <c r="T953" s="3"/>
      <c r="U953" s="3"/>
      <c r="V953" s="8"/>
      <c r="W953" s="8"/>
    </row>
    <row r="954" spans="2:23" x14ac:dyDescent="0.2">
      <c r="B954" s="3"/>
      <c r="C954" s="3"/>
      <c r="D954" s="3"/>
      <c r="E954" s="4"/>
      <c r="F954" s="4"/>
      <c r="G954" s="4"/>
      <c r="H954" s="4"/>
      <c r="I954" s="4"/>
      <c r="J954" s="4"/>
      <c r="K954" s="4"/>
      <c r="L954" s="3"/>
      <c r="M954" s="3"/>
      <c r="N954" s="3"/>
      <c r="O954" s="3"/>
      <c r="P954" s="3"/>
      <c r="Q954" s="3"/>
      <c r="R954" s="3"/>
      <c r="S954" s="3"/>
      <c r="T954" s="3"/>
      <c r="U954" s="3"/>
      <c r="V954" s="8"/>
      <c r="W954" s="8"/>
    </row>
    <row r="955" spans="2:23" x14ac:dyDescent="0.2">
      <c r="B955" s="3"/>
      <c r="C955" s="3"/>
      <c r="D955" s="3"/>
      <c r="E955" s="4"/>
      <c r="F955" s="4"/>
      <c r="G955" s="4"/>
      <c r="H955" s="4"/>
      <c r="I955" s="4"/>
      <c r="J955" s="4"/>
      <c r="K955" s="4"/>
      <c r="L955" s="3"/>
      <c r="M955" s="3"/>
      <c r="N955" s="3"/>
      <c r="O955" s="3"/>
      <c r="P955" s="3"/>
      <c r="Q955" s="3"/>
      <c r="R955" s="3"/>
      <c r="S955" s="3"/>
      <c r="T955" s="3"/>
      <c r="U955" s="3"/>
      <c r="V955" s="8"/>
      <c r="W955" s="8"/>
    </row>
    <row r="956" spans="2:23" x14ac:dyDescent="0.2">
      <c r="B956" s="3"/>
      <c r="C956" s="3"/>
      <c r="D956" s="3"/>
      <c r="E956" s="4"/>
      <c r="F956" s="4"/>
      <c r="G956" s="4"/>
      <c r="H956" s="4"/>
      <c r="I956" s="4"/>
      <c r="J956" s="4"/>
      <c r="K956" s="4"/>
      <c r="L956" s="3"/>
      <c r="M956" s="3"/>
      <c r="N956" s="3"/>
      <c r="O956" s="3"/>
      <c r="P956" s="3"/>
      <c r="Q956" s="3"/>
      <c r="R956" s="3"/>
      <c r="S956" s="3"/>
      <c r="T956" s="3"/>
      <c r="U956" s="3"/>
      <c r="V956" s="8"/>
      <c r="W956" s="8"/>
    </row>
    <row r="957" spans="2:23" x14ac:dyDescent="0.2">
      <c r="B957" s="3"/>
      <c r="C957" s="3"/>
      <c r="D957" s="3"/>
      <c r="E957" s="4"/>
      <c r="F957" s="4"/>
      <c r="G957" s="4"/>
      <c r="H957" s="4"/>
      <c r="I957" s="4"/>
      <c r="J957" s="4"/>
      <c r="K957" s="4"/>
      <c r="L957" s="3"/>
      <c r="M957" s="3"/>
      <c r="N957" s="3"/>
      <c r="O957" s="3"/>
      <c r="P957" s="3"/>
      <c r="Q957" s="3"/>
      <c r="R957" s="3"/>
      <c r="S957" s="3"/>
      <c r="T957" s="3"/>
      <c r="U957" s="3"/>
      <c r="V957" s="8"/>
      <c r="W957" s="8"/>
    </row>
    <row r="958" spans="2:23" x14ac:dyDescent="0.2">
      <c r="B958" s="3"/>
      <c r="C958" s="3"/>
      <c r="D958" s="3"/>
      <c r="E958" s="4"/>
      <c r="F958" s="4"/>
      <c r="G958" s="4"/>
      <c r="H958" s="4"/>
      <c r="I958" s="4"/>
      <c r="J958" s="4"/>
      <c r="K958" s="4"/>
      <c r="L958" s="3"/>
      <c r="M958" s="3"/>
      <c r="N958" s="3"/>
      <c r="O958" s="3"/>
      <c r="P958" s="3"/>
      <c r="Q958" s="3"/>
      <c r="R958" s="3"/>
      <c r="S958" s="3"/>
      <c r="T958" s="3"/>
      <c r="U958" s="3"/>
      <c r="V958" s="8"/>
      <c r="W958" s="8"/>
    </row>
    <row r="959" spans="2:23" x14ac:dyDescent="0.2">
      <c r="B959" s="3"/>
      <c r="C959" s="3"/>
      <c r="D959" s="3"/>
      <c r="E959" s="4"/>
      <c r="F959" s="4"/>
      <c r="G959" s="4"/>
      <c r="H959" s="4"/>
      <c r="I959" s="4"/>
      <c r="J959" s="4"/>
      <c r="K959" s="4"/>
      <c r="L959" s="3"/>
      <c r="M959" s="3"/>
      <c r="N959" s="3"/>
      <c r="O959" s="3"/>
      <c r="P959" s="3"/>
      <c r="Q959" s="3"/>
      <c r="R959" s="3"/>
      <c r="S959" s="3"/>
      <c r="T959" s="3"/>
      <c r="U959" s="3"/>
      <c r="V959" s="8"/>
      <c r="W959" s="8"/>
    </row>
    <row r="960" spans="2:23" x14ac:dyDescent="0.2">
      <c r="B960" s="3"/>
      <c r="C960" s="3"/>
      <c r="D960" s="3"/>
      <c r="E960" s="4"/>
      <c r="F960" s="4"/>
      <c r="G960" s="4"/>
      <c r="H960" s="4"/>
      <c r="I960" s="4"/>
      <c r="J960" s="4"/>
      <c r="K960" s="4"/>
      <c r="L960" s="3"/>
      <c r="M960" s="3"/>
      <c r="N960" s="3"/>
      <c r="O960" s="3"/>
      <c r="P960" s="3"/>
      <c r="Q960" s="3"/>
      <c r="R960" s="3"/>
      <c r="S960" s="3"/>
      <c r="T960" s="3"/>
      <c r="U960" s="3"/>
      <c r="V960" s="8"/>
      <c r="W960" s="8"/>
    </row>
    <row r="961" spans="2:23" x14ac:dyDescent="0.2">
      <c r="B961" s="3"/>
      <c r="C961" s="3"/>
      <c r="D961" s="3"/>
      <c r="E961" s="4"/>
      <c r="F961" s="4"/>
      <c r="G961" s="4"/>
      <c r="H961" s="4"/>
      <c r="I961" s="4"/>
      <c r="J961" s="4"/>
      <c r="K961" s="4"/>
      <c r="L961" s="3"/>
      <c r="M961" s="3"/>
      <c r="N961" s="3"/>
      <c r="O961" s="3"/>
      <c r="P961" s="3"/>
      <c r="Q961" s="3"/>
      <c r="R961" s="3"/>
      <c r="S961" s="3"/>
      <c r="T961" s="3"/>
      <c r="U961" s="3"/>
      <c r="V961" s="8"/>
      <c r="W961" s="8"/>
    </row>
    <row r="962" spans="2:23" x14ac:dyDescent="0.2">
      <c r="B962" s="3"/>
      <c r="C962" s="3"/>
      <c r="D962" s="3"/>
      <c r="E962" s="4"/>
      <c r="F962" s="4"/>
      <c r="G962" s="4"/>
      <c r="H962" s="4"/>
      <c r="I962" s="4"/>
      <c r="J962" s="4"/>
      <c r="K962" s="4"/>
      <c r="L962" s="3"/>
      <c r="M962" s="3"/>
      <c r="N962" s="3"/>
      <c r="O962" s="3"/>
      <c r="P962" s="3"/>
      <c r="Q962" s="3"/>
      <c r="R962" s="3"/>
      <c r="S962" s="3"/>
      <c r="T962" s="3"/>
      <c r="U962" s="3"/>
      <c r="V962" s="8"/>
      <c r="W962" s="8"/>
    </row>
    <row r="963" spans="2:23" x14ac:dyDescent="0.2">
      <c r="B963" s="3"/>
      <c r="C963" s="3"/>
      <c r="D963" s="3"/>
      <c r="E963" s="4"/>
      <c r="F963" s="4"/>
      <c r="G963" s="4"/>
      <c r="H963" s="4"/>
      <c r="I963" s="4"/>
      <c r="J963" s="4"/>
      <c r="K963" s="4"/>
      <c r="L963" s="3"/>
      <c r="M963" s="3"/>
      <c r="N963" s="3"/>
      <c r="O963" s="3"/>
      <c r="P963" s="3"/>
      <c r="Q963" s="3"/>
      <c r="R963" s="3"/>
      <c r="S963" s="3"/>
      <c r="T963" s="3"/>
      <c r="U963" s="3"/>
      <c r="V963" s="8"/>
      <c r="W963" s="8"/>
    </row>
    <row r="964" spans="2:23" x14ac:dyDescent="0.2">
      <c r="B964" s="3"/>
      <c r="C964" s="3"/>
      <c r="D964" s="3"/>
      <c r="E964" s="4"/>
      <c r="F964" s="4"/>
      <c r="G964" s="4"/>
      <c r="H964" s="4"/>
      <c r="I964" s="4"/>
      <c r="J964" s="4"/>
      <c r="K964" s="4"/>
      <c r="L964" s="3"/>
      <c r="M964" s="3"/>
      <c r="N964" s="3"/>
      <c r="O964" s="3"/>
      <c r="P964" s="3"/>
      <c r="Q964" s="3"/>
      <c r="R964" s="3"/>
      <c r="S964" s="3"/>
      <c r="T964" s="3"/>
      <c r="U964" s="3"/>
      <c r="V964" s="8"/>
      <c r="W964" s="8"/>
    </row>
    <row r="965" spans="2:23" x14ac:dyDescent="0.2">
      <c r="B965" s="3"/>
      <c r="C965" s="3"/>
      <c r="D965" s="3"/>
      <c r="E965" s="4"/>
      <c r="F965" s="4"/>
      <c r="G965" s="4"/>
      <c r="H965" s="4"/>
      <c r="I965" s="4"/>
      <c r="J965" s="4"/>
      <c r="K965" s="4"/>
      <c r="L965" s="3"/>
      <c r="M965" s="3"/>
      <c r="N965" s="3"/>
      <c r="O965" s="3"/>
      <c r="P965" s="3"/>
      <c r="Q965" s="3"/>
      <c r="R965" s="3"/>
      <c r="S965" s="3"/>
      <c r="T965" s="3"/>
      <c r="U965" s="3"/>
      <c r="V965" s="8"/>
      <c r="W965" s="8"/>
    </row>
    <row r="966" spans="2:23" x14ac:dyDescent="0.2">
      <c r="B966" s="3"/>
      <c r="C966" s="3"/>
      <c r="D966" s="3"/>
      <c r="E966" s="4"/>
      <c r="F966" s="4"/>
      <c r="G966" s="4"/>
      <c r="H966" s="4"/>
      <c r="I966" s="4"/>
      <c r="J966" s="4"/>
      <c r="K966" s="4"/>
      <c r="L966" s="3"/>
      <c r="M966" s="3"/>
      <c r="N966" s="3"/>
      <c r="O966" s="3"/>
      <c r="P966" s="3"/>
      <c r="Q966" s="3"/>
      <c r="R966" s="3"/>
      <c r="S966" s="3"/>
      <c r="T966" s="3"/>
      <c r="U966" s="3"/>
      <c r="V966" s="8"/>
      <c r="W966" s="8"/>
    </row>
    <row r="967" spans="2:23" x14ac:dyDescent="0.2">
      <c r="B967" s="3"/>
      <c r="C967" s="3"/>
      <c r="D967" s="3"/>
      <c r="E967" s="4"/>
      <c r="F967" s="4"/>
      <c r="G967" s="4"/>
      <c r="H967" s="4"/>
      <c r="I967" s="4"/>
      <c r="J967" s="4"/>
      <c r="K967" s="4"/>
      <c r="L967" s="3"/>
      <c r="M967" s="3"/>
      <c r="N967" s="3"/>
      <c r="O967" s="3"/>
      <c r="P967" s="3"/>
      <c r="Q967" s="3"/>
      <c r="R967" s="3"/>
      <c r="S967" s="3"/>
      <c r="T967" s="3"/>
      <c r="U967" s="3"/>
      <c r="V967" s="8"/>
      <c r="W967" s="8"/>
    </row>
    <row r="968" spans="2:23" x14ac:dyDescent="0.2">
      <c r="B968" s="3"/>
      <c r="C968" s="3"/>
      <c r="D968" s="3"/>
      <c r="E968" s="4"/>
      <c r="F968" s="4"/>
      <c r="G968" s="4"/>
      <c r="H968" s="4"/>
      <c r="I968" s="4"/>
      <c r="J968" s="4"/>
      <c r="K968" s="4"/>
      <c r="L968" s="3"/>
      <c r="M968" s="3"/>
      <c r="N968" s="3"/>
      <c r="O968" s="3"/>
      <c r="P968" s="3"/>
      <c r="Q968" s="3"/>
      <c r="R968" s="3"/>
      <c r="S968" s="3"/>
      <c r="T968" s="3"/>
      <c r="U968" s="3"/>
      <c r="V968" s="8"/>
      <c r="W968" s="8"/>
    </row>
    <row r="969" spans="2:23" x14ac:dyDescent="0.2">
      <c r="B969" s="3"/>
      <c r="C969" s="3"/>
      <c r="D969" s="3"/>
      <c r="E969" s="4"/>
      <c r="F969" s="4"/>
      <c r="G969" s="4"/>
      <c r="H969" s="4"/>
      <c r="I969" s="4"/>
      <c r="J969" s="4"/>
      <c r="K969" s="4"/>
      <c r="L969" s="3"/>
      <c r="M969" s="3"/>
      <c r="N969" s="3"/>
      <c r="O969" s="3"/>
      <c r="P969" s="3"/>
      <c r="Q969" s="3"/>
      <c r="R969" s="3"/>
      <c r="S969" s="3"/>
      <c r="T969" s="3"/>
      <c r="U969" s="3"/>
      <c r="V969" s="8"/>
      <c r="W969" s="8"/>
    </row>
    <row r="970" spans="2:23" x14ac:dyDescent="0.2">
      <c r="B970" s="3"/>
      <c r="C970" s="3"/>
      <c r="D970" s="3"/>
      <c r="E970" s="4"/>
      <c r="F970" s="4"/>
      <c r="G970" s="4"/>
      <c r="H970" s="4"/>
      <c r="I970" s="4"/>
      <c r="J970" s="4"/>
      <c r="K970" s="4"/>
      <c r="L970" s="3"/>
      <c r="M970" s="3"/>
      <c r="N970" s="3"/>
      <c r="O970" s="3"/>
      <c r="P970" s="3"/>
      <c r="Q970" s="3"/>
      <c r="R970" s="3"/>
      <c r="S970" s="3"/>
      <c r="T970" s="3"/>
      <c r="U970" s="3"/>
      <c r="V970" s="8"/>
      <c r="W970" s="8"/>
    </row>
    <row r="971" spans="2:23" x14ac:dyDescent="0.2">
      <c r="B971" s="3"/>
      <c r="C971" s="3"/>
      <c r="D971" s="3"/>
      <c r="E971" s="4"/>
      <c r="F971" s="4"/>
      <c r="G971" s="4"/>
      <c r="H971" s="4"/>
      <c r="I971" s="4"/>
      <c r="J971" s="4"/>
      <c r="K971" s="4"/>
      <c r="L971" s="3"/>
      <c r="M971" s="3"/>
      <c r="N971" s="3"/>
      <c r="O971" s="3"/>
      <c r="P971" s="3"/>
      <c r="Q971" s="3"/>
      <c r="R971" s="3"/>
      <c r="S971" s="3"/>
      <c r="T971" s="3"/>
      <c r="U971" s="3"/>
      <c r="V971" s="8"/>
      <c r="W971" s="8"/>
    </row>
    <row r="972" spans="2:23" x14ac:dyDescent="0.2">
      <c r="B972" s="3"/>
      <c r="C972" s="3"/>
      <c r="D972" s="3"/>
      <c r="E972" s="4"/>
      <c r="F972" s="4"/>
      <c r="G972" s="4"/>
      <c r="H972" s="4"/>
      <c r="I972" s="4"/>
      <c r="J972" s="4"/>
      <c r="K972" s="4"/>
      <c r="L972" s="3"/>
      <c r="M972" s="3"/>
      <c r="N972" s="3"/>
      <c r="O972" s="3"/>
      <c r="P972" s="3"/>
      <c r="Q972" s="3"/>
      <c r="R972" s="3"/>
      <c r="S972" s="3"/>
      <c r="T972" s="3"/>
      <c r="U972" s="3"/>
      <c r="V972" s="8"/>
      <c r="W972" s="8"/>
    </row>
    <row r="973" spans="2:23" x14ac:dyDescent="0.2">
      <c r="B973" s="3"/>
      <c r="C973" s="3"/>
      <c r="D973" s="3"/>
      <c r="E973" s="4"/>
      <c r="F973" s="4"/>
      <c r="G973" s="4"/>
      <c r="H973" s="4"/>
      <c r="I973" s="4"/>
      <c r="J973" s="4"/>
      <c r="K973" s="4"/>
      <c r="L973" s="3"/>
      <c r="M973" s="3"/>
      <c r="N973" s="3"/>
      <c r="O973" s="3"/>
      <c r="P973" s="3"/>
      <c r="Q973" s="3"/>
      <c r="R973" s="3"/>
      <c r="S973" s="3"/>
      <c r="T973" s="3"/>
      <c r="U973" s="3"/>
      <c r="V973" s="8"/>
      <c r="W973" s="8"/>
    </row>
    <row r="974" spans="2:23" x14ac:dyDescent="0.2">
      <c r="B974" s="3"/>
      <c r="C974" s="3"/>
      <c r="D974" s="3"/>
      <c r="E974" s="4"/>
      <c r="F974" s="4"/>
      <c r="G974" s="4"/>
      <c r="H974" s="4"/>
      <c r="I974" s="4"/>
      <c r="J974" s="4"/>
      <c r="K974" s="4"/>
      <c r="L974" s="3"/>
      <c r="M974" s="3"/>
      <c r="N974" s="3"/>
      <c r="O974" s="3"/>
      <c r="P974" s="3"/>
      <c r="Q974" s="3"/>
      <c r="R974" s="3"/>
      <c r="S974" s="3"/>
      <c r="T974" s="3"/>
      <c r="U974" s="3"/>
      <c r="V974" s="8"/>
      <c r="W974" s="8"/>
    </row>
    <row r="975" spans="2:23" x14ac:dyDescent="0.2">
      <c r="B975" s="3"/>
      <c r="C975" s="3"/>
      <c r="D975" s="3"/>
      <c r="E975" s="4"/>
      <c r="F975" s="4"/>
      <c r="G975" s="4"/>
      <c r="H975" s="4"/>
      <c r="I975" s="4"/>
      <c r="J975" s="4"/>
      <c r="K975" s="4"/>
      <c r="L975" s="3"/>
      <c r="M975" s="3"/>
      <c r="N975" s="3"/>
      <c r="O975" s="3"/>
      <c r="P975" s="3"/>
      <c r="Q975" s="3"/>
      <c r="R975" s="3"/>
      <c r="S975" s="3"/>
      <c r="T975" s="3"/>
      <c r="U975" s="3"/>
      <c r="V975" s="8"/>
      <c r="W975" s="8"/>
    </row>
    <row r="976" spans="2:23" x14ac:dyDescent="0.2">
      <c r="B976" s="3"/>
      <c r="C976" s="3"/>
      <c r="D976" s="3"/>
      <c r="E976" s="4"/>
      <c r="F976" s="4"/>
      <c r="G976" s="4"/>
      <c r="H976" s="4"/>
      <c r="I976" s="4"/>
      <c r="J976" s="4"/>
      <c r="K976" s="4"/>
      <c r="L976" s="3"/>
      <c r="M976" s="3"/>
      <c r="N976" s="3"/>
      <c r="O976" s="3"/>
      <c r="P976" s="3"/>
      <c r="Q976" s="3"/>
      <c r="R976" s="3"/>
      <c r="S976" s="3"/>
      <c r="T976" s="3"/>
      <c r="U976" s="3"/>
      <c r="V976" s="8"/>
      <c r="W976" s="8"/>
    </row>
    <row r="977" spans="2:23" x14ac:dyDescent="0.2">
      <c r="B977" s="3"/>
      <c r="C977" s="3"/>
      <c r="D977" s="3"/>
      <c r="E977" s="4"/>
      <c r="F977" s="4"/>
      <c r="G977" s="4"/>
      <c r="H977" s="4"/>
      <c r="I977" s="4"/>
      <c r="J977" s="4"/>
      <c r="K977" s="4"/>
      <c r="L977" s="3"/>
      <c r="M977" s="3"/>
      <c r="N977" s="3"/>
      <c r="O977" s="3"/>
      <c r="P977" s="3"/>
      <c r="Q977" s="3"/>
      <c r="R977" s="3"/>
      <c r="S977" s="3"/>
      <c r="T977" s="3"/>
      <c r="U977" s="3"/>
      <c r="V977" s="8"/>
      <c r="W977" s="8"/>
    </row>
    <row r="978" spans="2:23" x14ac:dyDescent="0.2">
      <c r="B978" s="3"/>
      <c r="C978" s="3"/>
      <c r="D978" s="3"/>
      <c r="E978" s="4"/>
      <c r="F978" s="4"/>
      <c r="G978" s="4"/>
      <c r="H978" s="4"/>
      <c r="I978" s="4"/>
      <c r="J978" s="4"/>
      <c r="K978" s="4"/>
      <c r="L978" s="3"/>
      <c r="M978" s="3"/>
      <c r="N978" s="3"/>
      <c r="O978" s="3"/>
      <c r="P978" s="3"/>
      <c r="Q978" s="3"/>
      <c r="R978" s="3"/>
      <c r="S978" s="3"/>
      <c r="T978" s="3"/>
      <c r="U978" s="3"/>
      <c r="V978" s="8"/>
      <c r="W978" s="8"/>
    </row>
    <row r="979" spans="2:23" x14ac:dyDescent="0.2">
      <c r="B979" s="3"/>
      <c r="C979" s="3"/>
      <c r="D979" s="3"/>
      <c r="E979" s="4"/>
      <c r="F979" s="4"/>
      <c r="G979" s="4"/>
      <c r="H979" s="4"/>
      <c r="I979" s="4"/>
      <c r="J979" s="4"/>
      <c r="K979" s="4"/>
      <c r="L979" s="3"/>
      <c r="M979" s="3"/>
      <c r="N979" s="3"/>
      <c r="O979" s="3"/>
      <c r="P979" s="3"/>
      <c r="Q979" s="3"/>
      <c r="R979" s="3"/>
      <c r="S979" s="3"/>
      <c r="T979" s="3"/>
      <c r="U979" s="3"/>
      <c r="V979" s="8"/>
      <c r="W979" s="8"/>
    </row>
    <row r="980" spans="2:23" x14ac:dyDescent="0.2">
      <c r="B980" s="3"/>
      <c r="C980" s="3"/>
      <c r="D980" s="3"/>
      <c r="E980" s="4"/>
      <c r="F980" s="4"/>
      <c r="G980" s="4"/>
      <c r="H980" s="4"/>
      <c r="I980" s="4"/>
      <c r="J980" s="4"/>
      <c r="K980" s="4"/>
      <c r="L980" s="3"/>
      <c r="M980" s="3"/>
      <c r="N980" s="3"/>
      <c r="O980" s="3"/>
      <c r="P980" s="3"/>
      <c r="Q980" s="3"/>
      <c r="R980" s="3"/>
      <c r="S980" s="3"/>
      <c r="T980" s="3"/>
      <c r="U980" s="3"/>
      <c r="V980" s="8"/>
      <c r="W980" s="8"/>
    </row>
    <row r="981" spans="2:23" x14ac:dyDescent="0.2">
      <c r="B981" s="3"/>
      <c r="C981" s="3"/>
      <c r="D981" s="3"/>
      <c r="E981" s="4"/>
      <c r="F981" s="4"/>
      <c r="G981" s="4"/>
      <c r="H981" s="4"/>
      <c r="I981" s="4"/>
      <c r="J981" s="4"/>
      <c r="K981" s="4"/>
      <c r="L981" s="3"/>
      <c r="M981" s="3"/>
      <c r="N981" s="3"/>
      <c r="O981" s="3"/>
      <c r="P981" s="3"/>
      <c r="Q981" s="3"/>
      <c r="R981" s="3"/>
      <c r="S981" s="3"/>
      <c r="T981" s="3"/>
      <c r="U981" s="3"/>
      <c r="V981" s="8"/>
      <c r="W981" s="8"/>
    </row>
    <row r="982" spans="2:23" x14ac:dyDescent="0.2">
      <c r="B982" s="3"/>
      <c r="C982" s="3"/>
      <c r="D982" s="3"/>
      <c r="E982" s="4"/>
      <c r="F982" s="4"/>
      <c r="G982" s="4"/>
      <c r="H982" s="4"/>
      <c r="I982" s="4"/>
      <c r="J982" s="4"/>
      <c r="K982" s="4"/>
      <c r="L982" s="3"/>
      <c r="M982" s="3"/>
      <c r="N982" s="3"/>
      <c r="O982" s="3"/>
      <c r="P982" s="3"/>
      <c r="Q982" s="3"/>
      <c r="R982" s="3"/>
      <c r="S982" s="3"/>
      <c r="T982" s="3"/>
      <c r="U982" s="3"/>
      <c r="V982" s="8"/>
      <c r="W982" s="8"/>
    </row>
    <row r="983" spans="2:23" x14ac:dyDescent="0.2">
      <c r="B983" s="3"/>
      <c r="C983" s="3"/>
      <c r="D983" s="3"/>
      <c r="E983" s="4"/>
      <c r="F983" s="4"/>
      <c r="G983" s="4"/>
      <c r="H983" s="4"/>
      <c r="I983" s="4"/>
      <c r="J983" s="4"/>
      <c r="K983" s="4"/>
      <c r="L983" s="3"/>
      <c r="M983" s="3"/>
      <c r="N983" s="3"/>
      <c r="O983" s="3"/>
      <c r="P983" s="3"/>
      <c r="Q983" s="3"/>
      <c r="R983" s="3"/>
      <c r="S983" s="3"/>
      <c r="T983" s="3"/>
      <c r="U983" s="3"/>
      <c r="V983" s="8"/>
      <c r="W983" s="8"/>
    </row>
    <row r="984" spans="2:23" x14ac:dyDescent="0.2">
      <c r="B984" s="3"/>
      <c r="C984" s="3"/>
      <c r="D984" s="3"/>
      <c r="E984" s="4"/>
      <c r="F984" s="4"/>
      <c r="G984" s="4"/>
      <c r="H984" s="4"/>
      <c r="I984" s="4"/>
      <c r="J984" s="4"/>
      <c r="K984" s="4"/>
      <c r="L984" s="3"/>
      <c r="M984" s="3"/>
      <c r="N984" s="3"/>
      <c r="O984" s="3"/>
      <c r="P984" s="3"/>
      <c r="Q984" s="3"/>
      <c r="R984" s="3"/>
      <c r="S984" s="3"/>
      <c r="T984" s="3"/>
      <c r="U984" s="3"/>
      <c r="V984" s="8"/>
      <c r="W984" s="8"/>
    </row>
    <row r="985" spans="2:23" x14ac:dyDescent="0.2">
      <c r="B985" s="3"/>
      <c r="C985" s="3"/>
      <c r="D985" s="3"/>
      <c r="E985" s="4"/>
      <c r="F985" s="4"/>
      <c r="G985" s="4"/>
      <c r="H985" s="4"/>
      <c r="I985" s="4"/>
      <c r="J985" s="4"/>
      <c r="K985" s="4"/>
      <c r="L985" s="3"/>
      <c r="M985" s="3"/>
      <c r="N985" s="3"/>
      <c r="O985" s="3"/>
      <c r="P985" s="3"/>
      <c r="Q985" s="3"/>
      <c r="R985" s="3"/>
      <c r="S985" s="3"/>
      <c r="T985" s="3"/>
      <c r="U985" s="3"/>
      <c r="V985" s="8"/>
      <c r="W985" s="8"/>
    </row>
    <row r="986" spans="2:23" x14ac:dyDescent="0.2">
      <c r="B986" s="3"/>
      <c r="C986" s="3"/>
      <c r="D986" s="3"/>
      <c r="E986" s="4"/>
      <c r="F986" s="4"/>
      <c r="G986" s="4"/>
      <c r="H986" s="4"/>
      <c r="I986" s="4"/>
      <c r="J986" s="4"/>
      <c r="K986" s="4"/>
      <c r="L986" s="3"/>
      <c r="M986" s="3"/>
      <c r="N986" s="3"/>
      <c r="O986" s="3"/>
      <c r="P986" s="3"/>
      <c r="Q986" s="3"/>
      <c r="R986" s="3"/>
      <c r="S986" s="3"/>
      <c r="T986" s="3"/>
      <c r="U986" s="3"/>
      <c r="V986" s="8"/>
      <c r="W986" s="8"/>
    </row>
    <row r="987" spans="2:23" x14ac:dyDescent="0.2">
      <c r="B987" s="3"/>
      <c r="C987" s="3"/>
      <c r="D987" s="3"/>
      <c r="E987" s="4"/>
      <c r="F987" s="4"/>
      <c r="G987" s="4"/>
      <c r="H987" s="4"/>
      <c r="I987" s="4"/>
      <c r="J987" s="4"/>
      <c r="K987" s="4"/>
      <c r="L987" s="3"/>
      <c r="M987" s="3"/>
      <c r="N987" s="3"/>
      <c r="O987" s="3"/>
      <c r="P987" s="3"/>
      <c r="Q987" s="3"/>
      <c r="R987" s="3"/>
      <c r="S987" s="3"/>
      <c r="T987" s="3"/>
      <c r="U987" s="3"/>
      <c r="V987" s="8"/>
      <c r="W987" s="8"/>
    </row>
    <row r="988" spans="2:23" x14ac:dyDescent="0.2">
      <c r="B988" s="3"/>
      <c r="C988" s="3"/>
      <c r="D988" s="3"/>
      <c r="E988" s="4"/>
      <c r="F988" s="4"/>
      <c r="G988" s="4"/>
      <c r="H988" s="4"/>
      <c r="I988" s="4"/>
      <c r="J988" s="4"/>
      <c r="K988" s="4"/>
      <c r="L988" s="3"/>
      <c r="M988" s="3"/>
      <c r="N988" s="3"/>
      <c r="O988" s="3"/>
      <c r="P988" s="3"/>
      <c r="Q988" s="3"/>
      <c r="R988" s="3"/>
      <c r="S988" s="3"/>
      <c r="T988" s="3"/>
      <c r="U988" s="3"/>
      <c r="V988" s="8"/>
      <c r="W988" s="8"/>
    </row>
    <row r="989" spans="2:23" x14ac:dyDescent="0.2">
      <c r="B989" s="3"/>
      <c r="C989" s="3"/>
      <c r="D989" s="3"/>
      <c r="E989" s="4"/>
      <c r="F989" s="4"/>
      <c r="G989" s="4"/>
      <c r="H989" s="4"/>
      <c r="I989" s="4"/>
      <c r="J989" s="4"/>
      <c r="K989" s="4"/>
      <c r="L989" s="3"/>
      <c r="M989" s="3"/>
      <c r="N989" s="3"/>
      <c r="O989" s="3"/>
      <c r="P989" s="3"/>
      <c r="Q989" s="3"/>
      <c r="R989" s="3"/>
      <c r="S989" s="3"/>
      <c r="T989" s="3"/>
      <c r="U989" s="3"/>
      <c r="V989" s="8"/>
      <c r="W989" s="8"/>
    </row>
    <row r="990" spans="2:23" x14ac:dyDescent="0.2">
      <c r="B990" s="3"/>
      <c r="C990" s="3"/>
      <c r="D990" s="3"/>
      <c r="E990" s="4"/>
      <c r="F990" s="4"/>
      <c r="G990" s="4"/>
      <c r="H990" s="4"/>
      <c r="I990" s="4"/>
      <c r="J990" s="4"/>
      <c r="K990" s="4"/>
      <c r="L990" s="3"/>
      <c r="M990" s="3"/>
      <c r="N990" s="3"/>
      <c r="O990" s="3"/>
      <c r="P990" s="3"/>
      <c r="Q990" s="3"/>
      <c r="R990" s="3"/>
      <c r="S990" s="3"/>
      <c r="T990" s="3"/>
      <c r="U990" s="3"/>
      <c r="V990" s="8"/>
      <c r="W990" s="8"/>
    </row>
    <row r="991" spans="2:23" x14ac:dyDescent="0.2">
      <c r="B991" s="3"/>
      <c r="C991" s="3"/>
      <c r="D991" s="3"/>
      <c r="E991" s="4"/>
      <c r="F991" s="4"/>
      <c r="G991" s="4"/>
      <c r="H991" s="4"/>
      <c r="I991" s="4"/>
      <c r="J991" s="4"/>
      <c r="K991" s="4"/>
      <c r="L991" s="3"/>
      <c r="M991" s="3"/>
      <c r="N991" s="3"/>
      <c r="O991" s="3"/>
      <c r="P991" s="3"/>
      <c r="Q991" s="3"/>
      <c r="R991" s="3"/>
      <c r="S991" s="3"/>
      <c r="T991" s="3"/>
      <c r="U991" s="3"/>
      <c r="V991" s="8"/>
      <c r="W991" s="8"/>
    </row>
    <row r="992" spans="2:23" x14ac:dyDescent="0.2">
      <c r="B992" s="3"/>
      <c r="C992" s="3"/>
      <c r="D992" s="3"/>
      <c r="E992" s="4"/>
      <c r="F992" s="4"/>
      <c r="G992" s="4"/>
      <c r="H992" s="4"/>
      <c r="I992" s="4"/>
      <c r="J992" s="4"/>
      <c r="K992" s="4"/>
      <c r="L992" s="3"/>
      <c r="M992" s="3"/>
      <c r="N992" s="3"/>
      <c r="O992" s="3"/>
      <c r="P992" s="3"/>
      <c r="Q992" s="3"/>
      <c r="R992" s="3"/>
      <c r="S992" s="3"/>
      <c r="T992" s="3"/>
      <c r="U992" s="3"/>
      <c r="V992" s="8"/>
      <c r="W992" s="8"/>
    </row>
    <row r="993" spans="2:23" x14ac:dyDescent="0.2">
      <c r="B993" s="3"/>
      <c r="C993" s="3"/>
      <c r="D993" s="3"/>
      <c r="E993" s="4"/>
      <c r="F993" s="4"/>
      <c r="G993" s="4"/>
      <c r="H993" s="4"/>
      <c r="I993" s="4"/>
      <c r="J993" s="4"/>
      <c r="K993" s="4"/>
      <c r="L993" s="3"/>
      <c r="M993" s="3"/>
      <c r="N993" s="3"/>
      <c r="O993" s="3"/>
      <c r="P993" s="3"/>
      <c r="Q993" s="3"/>
      <c r="R993" s="3"/>
      <c r="S993" s="3"/>
      <c r="T993" s="3"/>
      <c r="U993" s="3"/>
      <c r="V993" s="8"/>
      <c r="W993" s="8"/>
    </row>
    <row r="994" spans="2:23" x14ac:dyDescent="0.2">
      <c r="B994" s="3"/>
      <c r="C994" s="3"/>
      <c r="D994" s="3"/>
      <c r="E994" s="4"/>
      <c r="F994" s="4"/>
      <c r="G994" s="4"/>
      <c r="H994" s="4"/>
      <c r="I994" s="4"/>
      <c r="J994" s="4"/>
      <c r="K994" s="4"/>
      <c r="L994" s="3"/>
      <c r="M994" s="3"/>
      <c r="N994" s="3"/>
      <c r="O994" s="3"/>
      <c r="P994" s="3"/>
      <c r="Q994" s="3"/>
      <c r="R994" s="3"/>
      <c r="S994" s="3"/>
      <c r="T994" s="3"/>
      <c r="U994" s="3"/>
      <c r="V994" s="8"/>
      <c r="W994" s="8"/>
    </row>
    <row r="995" spans="2:23" x14ac:dyDescent="0.2">
      <c r="B995" s="3"/>
      <c r="C995" s="3"/>
      <c r="D995" s="3"/>
      <c r="E995" s="4"/>
      <c r="F995" s="4"/>
      <c r="G995" s="4"/>
      <c r="H995" s="4"/>
      <c r="I995" s="4"/>
      <c r="J995" s="4"/>
      <c r="K995" s="4"/>
      <c r="L995" s="3"/>
      <c r="M995" s="3"/>
      <c r="N995" s="3"/>
      <c r="O995" s="3"/>
      <c r="P995" s="3"/>
      <c r="Q995" s="3"/>
      <c r="R995" s="3"/>
      <c r="S995" s="3"/>
      <c r="T995" s="3"/>
      <c r="U995" s="3"/>
      <c r="V995" s="8"/>
      <c r="W995" s="8"/>
    </row>
    <row r="996" spans="2:23" x14ac:dyDescent="0.2">
      <c r="B996" s="3"/>
      <c r="C996" s="3"/>
      <c r="D996" s="3"/>
      <c r="E996" s="4"/>
      <c r="F996" s="4"/>
      <c r="G996" s="4"/>
      <c r="H996" s="4"/>
      <c r="I996" s="4"/>
      <c r="J996" s="4"/>
      <c r="K996" s="4"/>
      <c r="L996" s="3"/>
      <c r="M996" s="3"/>
      <c r="N996" s="3"/>
      <c r="O996" s="3"/>
      <c r="P996" s="3"/>
      <c r="Q996" s="3"/>
      <c r="R996" s="3"/>
      <c r="S996" s="3"/>
      <c r="T996" s="3"/>
      <c r="U996" s="3"/>
      <c r="V996" s="8"/>
      <c r="W996" s="8"/>
    </row>
    <row r="997" spans="2:23" x14ac:dyDescent="0.2">
      <c r="B997" s="3"/>
      <c r="C997" s="3"/>
      <c r="D997" s="3"/>
      <c r="E997" s="4"/>
      <c r="F997" s="4"/>
      <c r="G997" s="4"/>
      <c r="H997" s="4"/>
      <c r="I997" s="4"/>
      <c r="J997" s="4"/>
      <c r="K997" s="4"/>
      <c r="L997" s="3"/>
      <c r="M997" s="3"/>
      <c r="N997" s="3"/>
      <c r="O997" s="3"/>
      <c r="P997" s="3"/>
      <c r="Q997" s="3"/>
      <c r="R997" s="3"/>
      <c r="S997" s="3"/>
      <c r="T997" s="3"/>
      <c r="U997" s="3"/>
      <c r="V997" s="8"/>
      <c r="W997" s="8"/>
    </row>
    <row r="998" spans="2:23" x14ac:dyDescent="0.2">
      <c r="B998" s="3"/>
      <c r="C998" s="3"/>
      <c r="D998" s="3"/>
      <c r="E998" s="4"/>
      <c r="F998" s="4"/>
      <c r="G998" s="4"/>
      <c r="H998" s="4"/>
      <c r="I998" s="4"/>
      <c r="J998" s="4"/>
      <c r="K998" s="4"/>
      <c r="L998" s="3"/>
      <c r="M998" s="3"/>
      <c r="N998" s="3"/>
      <c r="O998" s="3"/>
      <c r="P998" s="3"/>
      <c r="Q998" s="3"/>
      <c r="R998" s="3"/>
      <c r="S998" s="3"/>
      <c r="T998" s="3"/>
      <c r="U998" s="3"/>
      <c r="V998" s="8"/>
      <c r="W998" s="8"/>
    </row>
    <row r="999" spans="2:23" x14ac:dyDescent="0.2">
      <c r="B999" s="3"/>
      <c r="C999" s="3"/>
      <c r="D999" s="3"/>
      <c r="E999" s="4"/>
      <c r="F999" s="4"/>
      <c r="G999" s="4"/>
      <c r="H999" s="4"/>
      <c r="I999" s="4"/>
      <c r="J999" s="4"/>
      <c r="K999" s="4"/>
      <c r="L999" s="3"/>
      <c r="M999" s="3"/>
      <c r="N999" s="3"/>
      <c r="O999" s="3"/>
      <c r="P999" s="3"/>
      <c r="Q999" s="3"/>
      <c r="R999" s="3"/>
      <c r="S999" s="3"/>
      <c r="T999" s="3"/>
      <c r="U999" s="3"/>
      <c r="V999" s="8"/>
      <c r="W999" s="8"/>
    </row>
    <row r="1000" spans="2:23" x14ac:dyDescent="0.2">
      <c r="B1000" s="3"/>
      <c r="C1000" s="3"/>
      <c r="D1000" s="3"/>
      <c r="E1000" s="4"/>
      <c r="F1000" s="4"/>
      <c r="G1000" s="4"/>
      <c r="H1000" s="4"/>
      <c r="I1000" s="4"/>
      <c r="J1000" s="4"/>
      <c r="K1000" s="4"/>
      <c r="L1000" s="3"/>
      <c r="M1000" s="3"/>
      <c r="N1000" s="3"/>
      <c r="O1000" s="3"/>
      <c r="P1000" s="3"/>
      <c r="Q1000" s="3"/>
      <c r="R1000" s="3"/>
      <c r="S1000" s="3"/>
      <c r="T1000" s="3"/>
      <c r="U1000" s="3"/>
      <c r="V1000" s="8"/>
      <c r="W1000" s="8"/>
    </row>
    <row r="1001" spans="2:23" x14ac:dyDescent="0.2">
      <c r="B1001" s="3"/>
      <c r="C1001" s="3"/>
      <c r="D1001" s="3"/>
      <c r="E1001" s="4"/>
      <c r="F1001" s="4"/>
      <c r="G1001" s="4"/>
      <c r="H1001" s="4"/>
      <c r="I1001" s="4"/>
      <c r="J1001" s="4"/>
      <c r="K1001" s="4"/>
      <c r="L1001" s="3"/>
      <c r="M1001" s="3"/>
      <c r="N1001" s="3"/>
      <c r="O1001" s="3"/>
      <c r="P1001" s="3"/>
      <c r="Q1001" s="3"/>
      <c r="R1001" s="3"/>
      <c r="S1001" s="3"/>
      <c r="T1001" s="3"/>
      <c r="U1001" s="3"/>
      <c r="V1001" s="8"/>
      <c r="W1001" s="8"/>
    </row>
    <row r="1002" spans="2:23" x14ac:dyDescent="0.2">
      <c r="B1002" s="3"/>
      <c r="C1002" s="3"/>
      <c r="D1002" s="3"/>
      <c r="E1002" s="4"/>
      <c r="F1002" s="4"/>
      <c r="G1002" s="4"/>
      <c r="H1002" s="4"/>
      <c r="I1002" s="4"/>
      <c r="J1002" s="4"/>
      <c r="K1002" s="4"/>
      <c r="L1002" s="3"/>
      <c r="M1002" s="3"/>
      <c r="N1002" s="3"/>
      <c r="O1002" s="3"/>
      <c r="P1002" s="3"/>
      <c r="Q1002" s="3"/>
      <c r="R1002" s="3"/>
      <c r="S1002" s="3"/>
      <c r="T1002" s="3"/>
      <c r="U1002" s="3"/>
      <c r="V1002" s="8"/>
      <c r="W1002" s="8"/>
    </row>
    <row r="1003" spans="2:23" x14ac:dyDescent="0.2">
      <c r="B1003" s="3"/>
      <c r="C1003" s="3"/>
      <c r="D1003" s="3"/>
      <c r="E1003" s="4"/>
      <c r="F1003" s="4"/>
      <c r="G1003" s="4"/>
      <c r="H1003" s="4"/>
      <c r="I1003" s="4"/>
      <c r="J1003" s="4"/>
      <c r="K1003" s="4"/>
      <c r="L1003" s="3"/>
      <c r="M1003" s="3"/>
      <c r="N1003" s="3"/>
      <c r="O1003" s="3"/>
      <c r="P1003" s="3"/>
      <c r="Q1003" s="3"/>
      <c r="R1003" s="3"/>
      <c r="S1003" s="3"/>
      <c r="T1003" s="3"/>
      <c r="U1003" s="3"/>
      <c r="V1003" s="8"/>
      <c r="W1003" s="8"/>
    </row>
    <row r="1004" spans="2:23" x14ac:dyDescent="0.2">
      <c r="B1004" s="3"/>
      <c r="C1004" s="3"/>
      <c r="D1004" s="3"/>
      <c r="E1004" s="4"/>
      <c r="F1004" s="4"/>
      <c r="G1004" s="4"/>
      <c r="H1004" s="4"/>
      <c r="I1004" s="4"/>
      <c r="J1004" s="4"/>
      <c r="K1004" s="4"/>
      <c r="L1004" s="3"/>
      <c r="M1004" s="3"/>
      <c r="N1004" s="3"/>
      <c r="O1004" s="3"/>
      <c r="P1004" s="3"/>
      <c r="Q1004" s="3"/>
      <c r="R1004" s="3"/>
      <c r="S1004" s="3"/>
      <c r="T1004" s="3"/>
      <c r="U1004" s="3"/>
      <c r="V1004" s="8"/>
      <c r="W1004" s="8"/>
    </row>
    <row r="1005" spans="2:23" x14ac:dyDescent="0.2">
      <c r="B1005" s="3"/>
      <c r="C1005" s="3"/>
      <c r="D1005" s="3"/>
      <c r="E1005" s="4"/>
      <c r="F1005" s="4"/>
      <c r="G1005" s="4"/>
      <c r="H1005" s="4"/>
      <c r="I1005" s="4"/>
      <c r="J1005" s="4"/>
      <c r="K1005" s="4"/>
      <c r="L1005" s="3"/>
      <c r="M1005" s="3"/>
      <c r="N1005" s="3"/>
      <c r="O1005" s="3"/>
      <c r="P1005" s="3"/>
      <c r="Q1005" s="3"/>
      <c r="R1005" s="3"/>
      <c r="S1005" s="3"/>
      <c r="T1005" s="3"/>
      <c r="U1005" s="3"/>
      <c r="V1005" s="8"/>
      <c r="W1005" s="8"/>
    </row>
    <row r="1006" spans="2:23" x14ac:dyDescent="0.2">
      <c r="B1006" s="3"/>
      <c r="C1006" s="3"/>
      <c r="D1006" s="3"/>
      <c r="E1006" s="4"/>
      <c r="F1006" s="4"/>
      <c r="G1006" s="4"/>
      <c r="H1006" s="4"/>
      <c r="I1006" s="4"/>
      <c r="J1006" s="4"/>
      <c r="K1006" s="4"/>
      <c r="L1006" s="3"/>
      <c r="M1006" s="3"/>
      <c r="N1006" s="3"/>
      <c r="O1006" s="3"/>
      <c r="P1006" s="3"/>
      <c r="Q1006" s="3"/>
      <c r="R1006" s="3"/>
      <c r="S1006" s="3"/>
      <c r="T1006" s="3"/>
      <c r="U1006" s="3"/>
      <c r="V1006" s="8"/>
      <c r="W1006" s="8"/>
    </row>
    <row r="1007" spans="2:23" x14ac:dyDescent="0.2">
      <c r="B1007" s="3"/>
      <c r="C1007" s="3"/>
      <c r="D1007" s="3"/>
      <c r="E1007" s="4"/>
      <c r="F1007" s="4"/>
      <c r="G1007" s="4"/>
      <c r="H1007" s="4"/>
      <c r="I1007" s="4"/>
      <c r="J1007" s="4"/>
      <c r="K1007" s="4"/>
      <c r="L1007" s="3"/>
      <c r="M1007" s="3"/>
      <c r="N1007" s="3"/>
      <c r="O1007" s="3"/>
      <c r="P1007" s="3"/>
      <c r="Q1007" s="3"/>
      <c r="R1007" s="3"/>
      <c r="S1007" s="3"/>
      <c r="T1007" s="3"/>
      <c r="U1007" s="3"/>
      <c r="V1007" s="8"/>
      <c r="W1007" s="8"/>
    </row>
    <row r="1008" spans="2:23" x14ac:dyDescent="0.2">
      <c r="B1008" s="3"/>
      <c r="C1008" s="3"/>
      <c r="D1008" s="3"/>
      <c r="E1008" s="4"/>
      <c r="F1008" s="4"/>
      <c r="G1008" s="4"/>
      <c r="H1008" s="4"/>
      <c r="I1008" s="4"/>
      <c r="J1008" s="4"/>
      <c r="K1008" s="4"/>
      <c r="L1008" s="3"/>
      <c r="M1008" s="3"/>
      <c r="N1008" s="3"/>
      <c r="O1008" s="3"/>
      <c r="P1008" s="3"/>
      <c r="Q1008" s="3"/>
      <c r="R1008" s="3"/>
      <c r="S1008" s="3"/>
      <c r="T1008" s="3"/>
      <c r="U1008" s="3"/>
      <c r="V1008" s="8"/>
      <c r="W1008" s="8"/>
    </row>
    <row r="1009" spans="2:23" x14ac:dyDescent="0.2">
      <c r="B1009" s="3"/>
      <c r="C1009" s="3"/>
      <c r="D1009" s="3"/>
      <c r="E1009" s="4"/>
      <c r="F1009" s="4"/>
      <c r="G1009" s="4"/>
      <c r="H1009" s="4"/>
      <c r="I1009" s="4"/>
      <c r="J1009" s="4"/>
      <c r="K1009" s="4"/>
      <c r="L1009" s="3"/>
      <c r="M1009" s="3"/>
      <c r="N1009" s="3"/>
      <c r="O1009" s="3"/>
      <c r="P1009" s="3"/>
      <c r="Q1009" s="3"/>
      <c r="R1009" s="3"/>
      <c r="S1009" s="3"/>
      <c r="T1009" s="3"/>
      <c r="U1009" s="3"/>
      <c r="V1009" s="8"/>
      <c r="W1009" s="8"/>
    </row>
    <row r="1010" spans="2:23" x14ac:dyDescent="0.2">
      <c r="B1010" s="3"/>
      <c r="C1010" s="3"/>
      <c r="D1010" s="3"/>
      <c r="E1010" s="4"/>
      <c r="F1010" s="4"/>
      <c r="G1010" s="4"/>
      <c r="H1010" s="4"/>
      <c r="I1010" s="4"/>
      <c r="J1010" s="4"/>
      <c r="K1010" s="4"/>
      <c r="L1010" s="3"/>
      <c r="M1010" s="3"/>
      <c r="N1010" s="3"/>
      <c r="O1010" s="3"/>
      <c r="P1010" s="3"/>
      <c r="Q1010" s="3"/>
      <c r="R1010" s="3"/>
      <c r="S1010" s="3"/>
      <c r="T1010" s="3"/>
      <c r="U1010" s="3"/>
      <c r="V1010" s="8"/>
      <c r="W1010" s="8"/>
    </row>
    <row r="1011" spans="2:23" x14ac:dyDescent="0.2">
      <c r="B1011" s="3"/>
      <c r="C1011" s="3"/>
      <c r="D1011" s="3"/>
      <c r="E1011" s="4"/>
      <c r="F1011" s="4"/>
      <c r="G1011" s="4"/>
      <c r="H1011" s="4"/>
      <c r="I1011" s="4"/>
      <c r="J1011" s="4"/>
      <c r="K1011" s="4"/>
      <c r="L1011" s="3"/>
      <c r="M1011" s="3"/>
      <c r="N1011" s="3"/>
      <c r="O1011" s="3"/>
      <c r="P1011" s="3"/>
      <c r="Q1011" s="3"/>
      <c r="R1011" s="3"/>
      <c r="S1011" s="3"/>
      <c r="T1011" s="3"/>
      <c r="U1011" s="3"/>
      <c r="V1011" s="8"/>
      <c r="W1011" s="8"/>
    </row>
    <row r="1012" spans="2:23" x14ac:dyDescent="0.2">
      <c r="B1012" s="3"/>
      <c r="C1012" s="3"/>
      <c r="D1012" s="3"/>
      <c r="E1012" s="4"/>
      <c r="F1012" s="4"/>
      <c r="G1012" s="4"/>
      <c r="H1012" s="4"/>
      <c r="I1012" s="4"/>
      <c r="J1012" s="4"/>
      <c r="K1012" s="4"/>
      <c r="L1012" s="3"/>
      <c r="M1012" s="3"/>
      <c r="N1012" s="3"/>
      <c r="O1012" s="3"/>
      <c r="P1012" s="3"/>
      <c r="Q1012" s="3"/>
      <c r="R1012" s="3"/>
      <c r="S1012" s="3"/>
      <c r="T1012" s="3"/>
      <c r="U1012" s="3"/>
      <c r="V1012" s="8"/>
      <c r="W1012" s="8"/>
    </row>
    <row r="1013" spans="2:23" x14ac:dyDescent="0.2">
      <c r="B1013" s="3"/>
      <c r="C1013" s="3"/>
      <c r="D1013" s="3"/>
      <c r="E1013" s="4"/>
      <c r="F1013" s="4"/>
      <c r="G1013" s="4"/>
      <c r="H1013" s="4"/>
      <c r="I1013" s="4"/>
      <c r="J1013" s="4"/>
      <c r="K1013" s="4"/>
      <c r="L1013" s="3"/>
      <c r="M1013" s="3"/>
      <c r="N1013" s="3"/>
      <c r="O1013" s="3"/>
      <c r="P1013" s="3"/>
      <c r="Q1013" s="3"/>
      <c r="R1013" s="3"/>
      <c r="S1013" s="3"/>
      <c r="T1013" s="3"/>
      <c r="U1013" s="3"/>
      <c r="V1013" s="8"/>
      <c r="W1013" s="8"/>
    </row>
    <row r="1014" spans="2:23" x14ac:dyDescent="0.2">
      <c r="B1014" s="3"/>
      <c r="C1014" s="3"/>
      <c r="D1014" s="3"/>
      <c r="E1014" s="4"/>
      <c r="F1014" s="4"/>
      <c r="G1014" s="4"/>
      <c r="H1014" s="4"/>
      <c r="I1014" s="4"/>
      <c r="J1014" s="4"/>
      <c r="K1014" s="4"/>
      <c r="L1014" s="3"/>
      <c r="M1014" s="3"/>
      <c r="N1014" s="3"/>
      <c r="O1014" s="3"/>
      <c r="P1014" s="3"/>
      <c r="Q1014" s="3"/>
      <c r="R1014" s="3"/>
      <c r="S1014" s="3"/>
      <c r="T1014" s="3"/>
      <c r="U1014" s="3"/>
      <c r="V1014" s="8"/>
      <c r="W1014" s="8"/>
    </row>
    <row r="1015" spans="2:23" x14ac:dyDescent="0.2">
      <c r="B1015" s="3"/>
      <c r="C1015" s="3"/>
      <c r="D1015" s="3"/>
      <c r="E1015" s="4"/>
      <c r="F1015" s="4"/>
      <c r="G1015" s="4"/>
      <c r="H1015" s="4"/>
      <c r="I1015" s="4"/>
      <c r="J1015" s="4"/>
      <c r="K1015" s="4"/>
      <c r="L1015" s="3"/>
      <c r="M1015" s="3"/>
      <c r="N1015" s="3"/>
      <c r="O1015" s="3"/>
      <c r="P1015" s="3"/>
      <c r="Q1015" s="3"/>
      <c r="R1015" s="3"/>
      <c r="S1015" s="3"/>
      <c r="T1015" s="3"/>
      <c r="U1015" s="3"/>
      <c r="V1015" s="8"/>
      <c r="W1015" s="8"/>
    </row>
    <row r="1016" spans="2:23" x14ac:dyDescent="0.2">
      <c r="B1016" s="3"/>
      <c r="C1016" s="3"/>
      <c r="D1016" s="3"/>
      <c r="E1016" s="4"/>
      <c r="F1016" s="4"/>
      <c r="G1016" s="4"/>
      <c r="H1016" s="4"/>
      <c r="I1016" s="4"/>
      <c r="J1016" s="4"/>
      <c r="K1016" s="4"/>
      <c r="L1016" s="3"/>
      <c r="M1016" s="3"/>
      <c r="N1016" s="3"/>
      <c r="O1016" s="3"/>
      <c r="P1016" s="3"/>
      <c r="Q1016" s="3"/>
      <c r="R1016" s="3"/>
      <c r="S1016" s="3"/>
      <c r="T1016" s="3"/>
      <c r="U1016" s="3"/>
      <c r="V1016" s="8"/>
      <c r="W1016" s="8"/>
    </row>
    <row r="1017" spans="2:23" x14ac:dyDescent="0.2">
      <c r="B1017" s="3"/>
      <c r="C1017" s="3"/>
      <c r="D1017" s="3"/>
      <c r="E1017" s="4"/>
      <c r="F1017" s="4"/>
      <c r="G1017" s="4"/>
      <c r="H1017" s="4"/>
      <c r="I1017" s="4"/>
      <c r="J1017" s="4"/>
      <c r="K1017" s="4"/>
      <c r="L1017" s="3"/>
      <c r="M1017" s="3"/>
      <c r="N1017" s="3"/>
      <c r="O1017" s="3"/>
      <c r="P1017" s="3"/>
      <c r="Q1017" s="3"/>
      <c r="R1017" s="3"/>
      <c r="S1017" s="3"/>
      <c r="T1017" s="3"/>
      <c r="U1017" s="3"/>
      <c r="V1017" s="8"/>
      <c r="W1017" s="8"/>
    </row>
    <row r="1018" spans="2:23" x14ac:dyDescent="0.2">
      <c r="B1018" s="3"/>
      <c r="C1018" s="3"/>
      <c r="D1018" s="3"/>
      <c r="E1018" s="4"/>
      <c r="F1018" s="4"/>
      <c r="G1018" s="4"/>
      <c r="H1018" s="4"/>
      <c r="I1018" s="4"/>
      <c r="J1018" s="4"/>
      <c r="K1018" s="4"/>
      <c r="L1018" s="3"/>
      <c r="M1018" s="3"/>
      <c r="N1018" s="3"/>
      <c r="O1018" s="3"/>
      <c r="P1018" s="3"/>
      <c r="Q1018" s="3"/>
      <c r="R1018" s="3"/>
      <c r="S1018" s="3"/>
      <c r="T1018" s="3"/>
      <c r="U1018" s="3"/>
      <c r="V1018" s="8"/>
      <c r="W1018" s="8"/>
    </row>
    <row r="1019" spans="2:23" x14ac:dyDescent="0.2">
      <c r="B1019" s="3"/>
      <c r="C1019" s="3"/>
      <c r="D1019" s="3"/>
      <c r="E1019" s="4"/>
      <c r="F1019" s="4"/>
      <c r="G1019" s="4"/>
      <c r="H1019" s="4"/>
      <c r="I1019" s="4"/>
      <c r="J1019" s="4"/>
      <c r="K1019" s="4"/>
      <c r="L1019" s="3"/>
      <c r="M1019" s="3"/>
      <c r="N1019" s="3"/>
      <c r="O1019" s="3"/>
      <c r="P1019" s="3"/>
      <c r="Q1019" s="3"/>
      <c r="R1019" s="3"/>
      <c r="S1019" s="3"/>
      <c r="T1019" s="3"/>
      <c r="U1019" s="3"/>
      <c r="V1019" s="8"/>
      <c r="W1019" s="8"/>
    </row>
    <row r="1020" spans="2:23" x14ac:dyDescent="0.2">
      <c r="B1020" s="3"/>
      <c r="C1020" s="3"/>
      <c r="D1020" s="3"/>
      <c r="E1020" s="4"/>
      <c r="F1020" s="4"/>
      <c r="G1020" s="4"/>
      <c r="H1020" s="4"/>
      <c r="I1020" s="4"/>
      <c r="J1020" s="4"/>
      <c r="K1020" s="4"/>
      <c r="L1020" s="3"/>
      <c r="M1020" s="3"/>
      <c r="N1020" s="3"/>
      <c r="O1020" s="3"/>
      <c r="P1020" s="3"/>
      <c r="Q1020" s="3"/>
      <c r="R1020" s="3"/>
      <c r="S1020" s="3"/>
      <c r="T1020" s="3"/>
      <c r="U1020" s="3"/>
      <c r="V1020" s="8"/>
      <c r="W1020" s="8"/>
    </row>
    <row r="1021" spans="2:23" x14ac:dyDescent="0.2">
      <c r="B1021" s="3"/>
      <c r="C1021" s="3"/>
      <c r="D1021" s="3"/>
      <c r="E1021" s="4"/>
      <c r="F1021" s="4"/>
      <c r="G1021" s="4"/>
      <c r="H1021" s="4"/>
      <c r="I1021" s="4"/>
      <c r="J1021" s="4"/>
      <c r="K1021" s="4"/>
      <c r="L1021" s="3"/>
      <c r="M1021" s="3"/>
      <c r="N1021" s="3"/>
      <c r="O1021" s="3"/>
      <c r="P1021" s="3"/>
      <c r="Q1021" s="3"/>
      <c r="R1021" s="3"/>
      <c r="S1021" s="3"/>
      <c r="T1021" s="3"/>
      <c r="U1021" s="3"/>
      <c r="V1021" s="8"/>
      <c r="W1021" s="8"/>
    </row>
    <row r="1022" spans="2:23" x14ac:dyDescent="0.2">
      <c r="B1022" s="3"/>
      <c r="C1022" s="3"/>
      <c r="D1022" s="3"/>
      <c r="E1022" s="4"/>
      <c r="F1022" s="4"/>
      <c r="G1022" s="4"/>
      <c r="H1022" s="4"/>
      <c r="I1022" s="4"/>
      <c r="J1022" s="4"/>
      <c r="K1022" s="4"/>
      <c r="L1022" s="3"/>
      <c r="M1022" s="3"/>
      <c r="N1022" s="3"/>
      <c r="O1022" s="3"/>
      <c r="P1022" s="3"/>
      <c r="Q1022" s="3"/>
      <c r="R1022" s="3"/>
      <c r="S1022" s="3"/>
      <c r="T1022" s="3"/>
      <c r="U1022" s="3"/>
      <c r="V1022" s="8"/>
      <c r="W1022" s="8"/>
    </row>
    <row r="1023" spans="2:23" x14ac:dyDescent="0.2">
      <c r="B1023" s="3"/>
      <c r="C1023" s="3"/>
      <c r="D1023" s="3"/>
      <c r="E1023" s="4"/>
      <c r="F1023" s="4"/>
      <c r="G1023" s="4"/>
      <c r="H1023" s="4"/>
      <c r="I1023" s="4"/>
      <c r="J1023" s="4"/>
      <c r="K1023" s="4"/>
      <c r="L1023" s="3"/>
      <c r="M1023" s="3"/>
      <c r="N1023" s="3"/>
      <c r="O1023" s="3"/>
      <c r="P1023" s="3"/>
      <c r="Q1023" s="3"/>
      <c r="R1023" s="3"/>
      <c r="S1023" s="3"/>
      <c r="T1023" s="3"/>
      <c r="U1023" s="3"/>
      <c r="V1023" s="8"/>
      <c r="W1023" s="8"/>
    </row>
    <row r="1024" spans="2:23" x14ac:dyDescent="0.2">
      <c r="B1024" s="3"/>
      <c r="C1024" s="3"/>
      <c r="D1024" s="3"/>
      <c r="E1024" s="4"/>
      <c r="F1024" s="4"/>
      <c r="G1024" s="4"/>
      <c r="H1024" s="4"/>
      <c r="I1024" s="4"/>
      <c r="J1024" s="4"/>
      <c r="K1024" s="4"/>
      <c r="L1024" s="3"/>
      <c r="M1024" s="3"/>
      <c r="N1024" s="3"/>
      <c r="O1024" s="3"/>
      <c r="P1024" s="3"/>
      <c r="Q1024" s="3"/>
      <c r="R1024" s="3"/>
      <c r="S1024" s="3"/>
      <c r="T1024" s="3"/>
      <c r="U1024" s="3"/>
      <c r="V1024" s="8"/>
      <c r="W1024" s="8"/>
    </row>
    <row r="1025" spans="2:23" x14ac:dyDescent="0.2">
      <c r="B1025" s="3"/>
      <c r="C1025" s="3"/>
      <c r="D1025" s="3"/>
      <c r="E1025" s="4"/>
      <c r="F1025" s="4"/>
      <c r="G1025" s="4"/>
      <c r="H1025" s="4"/>
      <c r="I1025" s="4"/>
      <c r="J1025" s="4"/>
      <c r="K1025" s="4"/>
      <c r="L1025" s="3"/>
      <c r="M1025" s="3"/>
      <c r="N1025" s="3"/>
      <c r="O1025" s="3"/>
      <c r="P1025" s="3"/>
      <c r="Q1025" s="3"/>
      <c r="R1025" s="3"/>
      <c r="S1025" s="3"/>
      <c r="T1025" s="3"/>
      <c r="U1025" s="3"/>
      <c r="V1025" s="8"/>
      <c r="W1025" s="8"/>
    </row>
    <row r="1026" spans="2:23" x14ac:dyDescent="0.2">
      <c r="B1026" s="3"/>
      <c r="C1026" s="3"/>
      <c r="D1026" s="3"/>
      <c r="E1026" s="4"/>
      <c r="F1026" s="4"/>
      <c r="G1026" s="4"/>
      <c r="H1026" s="4"/>
      <c r="I1026" s="4"/>
      <c r="J1026" s="4"/>
      <c r="K1026" s="4"/>
      <c r="L1026" s="3"/>
      <c r="M1026" s="3"/>
      <c r="N1026" s="3"/>
      <c r="O1026" s="3"/>
      <c r="P1026" s="3"/>
      <c r="Q1026" s="3"/>
      <c r="R1026" s="3"/>
      <c r="S1026" s="3"/>
      <c r="T1026" s="3"/>
      <c r="U1026" s="3"/>
      <c r="V1026" s="8"/>
      <c r="W1026" s="8"/>
    </row>
    <row r="1027" spans="2:23" x14ac:dyDescent="0.2">
      <c r="B1027" s="3"/>
      <c r="C1027" s="3"/>
      <c r="D1027" s="3"/>
      <c r="E1027" s="4"/>
      <c r="F1027" s="4"/>
      <c r="G1027" s="4"/>
      <c r="H1027" s="4"/>
      <c r="I1027" s="4"/>
      <c r="J1027" s="4"/>
      <c r="K1027" s="4"/>
      <c r="L1027" s="3"/>
      <c r="M1027" s="3"/>
      <c r="N1027" s="3"/>
      <c r="O1027" s="3"/>
      <c r="P1027" s="3"/>
      <c r="Q1027" s="3"/>
      <c r="R1027" s="3"/>
      <c r="S1027" s="3"/>
      <c r="T1027" s="3"/>
      <c r="U1027" s="3"/>
      <c r="V1027" s="8"/>
      <c r="W1027" s="8"/>
    </row>
    <row r="1028" spans="2:23" x14ac:dyDescent="0.2">
      <c r="B1028" s="3"/>
      <c r="C1028" s="3"/>
      <c r="D1028" s="3"/>
      <c r="E1028" s="4"/>
      <c r="F1028" s="4"/>
      <c r="G1028" s="4"/>
      <c r="H1028" s="4"/>
      <c r="I1028" s="4"/>
      <c r="J1028" s="4"/>
      <c r="K1028" s="4"/>
      <c r="L1028" s="3"/>
      <c r="M1028" s="3"/>
      <c r="N1028" s="3"/>
      <c r="O1028" s="3"/>
      <c r="P1028" s="3"/>
      <c r="Q1028" s="3"/>
      <c r="R1028" s="3"/>
      <c r="S1028" s="3"/>
      <c r="T1028" s="3"/>
      <c r="U1028" s="3"/>
      <c r="V1028" s="8"/>
      <c r="W1028" s="8"/>
    </row>
    <row r="1029" spans="2:23" x14ac:dyDescent="0.2">
      <c r="B1029" s="3"/>
      <c r="C1029" s="3"/>
      <c r="D1029" s="3"/>
      <c r="E1029" s="4"/>
      <c r="F1029" s="4"/>
      <c r="G1029" s="4"/>
      <c r="H1029" s="4"/>
      <c r="I1029" s="4"/>
      <c r="J1029" s="4"/>
      <c r="K1029" s="4"/>
      <c r="L1029" s="3"/>
      <c r="M1029" s="3"/>
      <c r="N1029" s="3"/>
      <c r="O1029" s="3"/>
      <c r="P1029" s="3"/>
      <c r="Q1029" s="3"/>
      <c r="R1029" s="3"/>
      <c r="S1029" s="3"/>
      <c r="T1029" s="3"/>
      <c r="U1029" s="3"/>
      <c r="V1029" s="8"/>
      <c r="W1029" s="8"/>
    </row>
    <row r="1030" spans="2:23" x14ac:dyDescent="0.2">
      <c r="B1030" s="3"/>
      <c r="C1030" s="3"/>
      <c r="D1030" s="3"/>
      <c r="E1030" s="4"/>
      <c r="F1030" s="4"/>
      <c r="G1030" s="4"/>
      <c r="H1030" s="4"/>
      <c r="I1030" s="4"/>
      <c r="J1030" s="4"/>
      <c r="K1030" s="4"/>
      <c r="L1030" s="3"/>
      <c r="M1030" s="3"/>
      <c r="N1030" s="3"/>
      <c r="O1030" s="3"/>
      <c r="P1030" s="3"/>
      <c r="Q1030" s="3"/>
      <c r="R1030" s="3"/>
      <c r="S1030" s="3"/>
      <c r="T1030" s="3"/>
      <c r="U1030" s="3"/>
      <c r="V1030" s="8"/>
      <c r="W1030" s="8"/>
    </row>
    <row r="1031" spans="2:23" x14ac:dyDescent="0.2">
      <c r="B1031" s="3"/>
      <c r="C1031" s="3"/>
      <c r="D1031" s="3"/>
      <c r="E1031" s="4"/>
      <c r="F1031" s="4"/>
      <c r="G1031" s="4"/>
      <c r="H1031" s="4"/>
      <c r="I1031" s="4"/>
      <c r="J1031" s="4"/>
      <c r="K1031" s="4"/>
      <c r="L1031" s="3"/>
      <c r="M1031" s="3"/>
      <c r="N1031" s="3"/>
      <c r="O1031" s="3"/>
      <c r="P1031" s="3"/>
      <c r="Q1031" s="3"/>
      <c r="R1031" s="3"/>
      <c r="S1031" s="3"/>
      <c r="T1031" s="3"/>
      <c r="U1031" s="3"/>
      <c r="V1031" s="8"/>
      <c r="W1031" s="8"/>
    </row>
    <row r="1032" spans="2:23" x14ac:dyDescent="0.2">
      <c r="B1032" s="3"/>
      <c r="C1032" s="3"/>
      <c r="D1032" s="3"/>
      <c r="E1032" s="4"/>
      <c r="F1032" s="4"/>
      <c r="G1032" s="4"/>
      <c r="H1032" s="4"/>
      <c r="I1032" s="4"/>
      <c r="J1032" s="4"/>
      <c r="K1032" s="4"/>
      <c r="L1032" s="3"/>
      <c r="M1032" s="3"/>
      <c r="N1032" s="3"/>
      <c r="O1032" s="3"/>
      <c r="P1032" s="3"/>
      <c r="Q1032" s="3"/>
      <c r="R1032" s="3"/>
      <c r="S1032" s="3"/>
      <c r="T1032" s="3"/>
      <c r="U1032" s="3"/>
      <c r="V1032" s="8"/>
      <c r="W1032" s="8"/>
    </row>
    <row r="1033" spans="2:23" x14ac:dyDescent="0.2">
      <c r="B1033" s="3"/>
      <c r="C1033" s="3"/>
      <c r="D1033" s="3"/>
      <c r="E1033" s="4"/>
      <c r="F1033" s="4"/>
      <c r="G1033" s="4"/>
      <c r="H1033" s="4"/>
      <c r="I1033" s="4"/>
      <c r="J1033" s="4"/>
      <c r="K1033" s="4"/>
      <c r="L1033" s="3"/>
      <c r="M1033" s="3"/>
      <c r="N1033" s="3"/>
      <c r="O1033" s="3"/>
      <c r="P1033" s="3"/>
      <c r="Q1033" s="3"/>
      <c r="R1033" s="3"/>
      <c r="S1033" s="3"/>
      <c r="T1033" s="3"/>
      <c r="U1033" s="3"/>
      <c r="V1033" s="8"/>
      <c r="W1033" s="8"/>
    </row>
    <row r="1034" spans="2:23" x14ac:dyDescent="0.2">
      <c r="B1034" s="3"/>
      <c r="C1034" s="3"/>
      <c r="D1034" s="3"/>
      <c r="E1034" s="4"/>
      <c r="F1034" s="4"/>
      <c r="G1034" s="4"/>
      <c r="H1034" s="4"/>
      <c r="I1034" s="4"/>
      <c r="J1034" s="4"/>
      <c r="K1034" s="4"/>
      <c r="L1034" s="3"/>
      <c r="M1034" s="3"/>
      <c r="N1034" s="3"/>
      <c r="O1034" s="3"/>
      <c r="P1034" s="3"/>
      <c r="Q1034" s="3"/>
      <c r="R1034" s="3"/>
      <c r="S1034" s="3"/>
      <c r="T1034" s="3"/>
      <c r="U1034" s="3"/>
      <c r="V1034" s="8"/>
      <c r="W1034" s="8"/>
    </row>
    <row r="1035" spans="2:23" x14ac:dyDescent="0.2">
      <c r="B1035" s="3"/>
      <c r="C1035" s="3"/>
      <c r="D1035" s="3"/>
      <c r="E1035" s="4"/>
      <c r="F1035" s="4"/>
      <c r="G1035" s="4"/>
      <c r="H1035" s="4"/>
      <c r="I1035" s="4"/>
      <c r="J1035" s="4"/>
      <c r="K1035" s="4"/>
      <c r="L1035" s="3"/>
      <c r="M1035" s="3"/>
      <c r="N1035" s="3"/>
      <c r="O1035" s="3"/>
      <c r="P1035" s="3"/>
      <c r="Q1035" s="3"/>
      <c r="R1035" s="3"/>
      <c r="S1035" s="3"/>
      <c r="T1035" s="3"/>
      <c r="U1035" s="3"/>
      <c r="V1035" s="8"/>
      <c r="W1035" s="8"/>
    </row>
    <row r="1036" spans="2:23" x14ac:dyDescent="0.2">
      <c r="B1036" s="3"/>
      <c r="C1036" s="3"/>
      <c r="D1036" s="3"/>
      <c r="E1036" s="4"/>
      <c r="F1036" s="4"/>
      <c r="G1036" s="4"/>
      <c r="H1036" s="4"/>
      <c r="I1036" s="4"/>
      <c r="J1036" s="4"/>
      <c r="K1036" s="4"/>
      <c r="L1036" s="3"/>
      <c r="M1036" s="3"/>
      <c r="N1036" s="3"/>
      <c r="O1036" s="3"/>
      <c r="P1036" s="3"/>
      <c r="Q1036" s="3"/>
      <c r="R1036" s="3"/>
      <c r="S1036" s="3"/>
      <c r="T1036" s="3"/>
      <c r="U1036" s="3"/>
      <c r="V1036" s="8"/>
      <c r="W1036" s="8"/>
    </row>
    <row r="1037" spans="2:23" x14ac:dyDescent="0.2">
      <c r="B1037" s="3"/>
      <c r="C1037" s="3"/>
      <c r="D1037" s="3"/>
      <c r="E1037" s="4"/>
      <c r="F1037" s="4"/>
      <c r="G1037" s="4"/>
      <c r="H1037" s="4"/>
      <c r="I1037" s="4"/>
      <c r="J1037" s="4"/>
      <c r="K1037" s="4"/>
      <c r="L1037" s="3"/>
      <c r="M1037" s="3"/>
      <c r="N1037" s="3"/>
      <c r="O1037" s="3"/>
      <c r="P1037" s="3"/>
      <c r="Q1037" s="3"/>
      <c r="R1037" s="3"/>
      <c r="S1037" s="3"/>
      <c r="T1037" s="3"/>
      <c r="U1037" s="3"/>
      <c r="V1037" s="8"/>
      <c r="W1037" s="8"/>
    </row>
    <row r="1038" spans="2:23" x14ac:dyDescent="0.2">
      <c r="B1038" s="3"/>
      <c r="C1038" s="3"/>
      <c r="D1038" s="3"/>
      <c r="E1038" s="4"/>
      <c r="F1038" s="4"/>
      <c r="G1038" s="4"/>
      <c r="H1038" s="4"/>
      <c r="I1038" s="4"/>
      <c r="J1038" s="4"/>
      <c r="K1038" s="4"/>
      <c r="L1038" s="3"/>
      <c r="M1038" s="3"/>
      <c r="N1038" s="3"/>
      <c r="O1038" s="3"/>
      <c r="P1038" s="3"/>
      <c r="Q1038" s="3"/>
      <c r="R1038" s="3"/>
      <c r="S1038" s="3"/>
      <c r="T1038" s="3"/>
      <c r="U1038" s="3"/>
      <c r="V1038" s="8"/>
      <c r="W1038" s="8"/>
    </row>
    <row r="1039" spans="2:23" x14ac:dyDescent="0.2">
      <c r="B1039" s="3"/>
      <c r="C1039" s="3"/>
      <c r="D1039" s="3"/>
      <c r="E1039" s="4"/>
      <c r="F1039" s="4"/>
      <c r="G1039" s="4"/>
      <c r="H1039" s="4"/>
      <c r="I1039" s="4"/>
      <c r="J1039" s="4"/>
      <c r="K1039" s="4"/>
      <c r="L1039" s="3"/>
      <c r="M1039" s="3"/>
      <c r="N1039" s="3"/>
      <c r="O1039" s="3"/>
      <c r="P1039" s="3"/>
      <c r="Q1039" s="3"/>
      <c r="R1039" s="3"/>
      <c r="S1039" s="3"/>
      <c r="T1039" s="3"/>
      <c r="U1039" s="3"/>
      <c r="V1039" s="8"/>
      <c r="W1039" s="8"/>
    </row>
    <row r="1040" spans="2:23" x14ac:dyDescent="0.2">
      <c r="B1040" s="3"/>
      <c r="C1040" s="3"/>
      <c r="D1040" s="3"/>
      <c r="E1040" s="4"/>
      <c r="F1040" s="4"/>
      <c r="G1040" s="4"/>
      <c r="H1040" s="4"/>
      <c r="I1040" s="4"/>
      <c r="J1040" s="4"/>
      <c r="K1040" s="4"/>
      <c r="L1040" s="3"/>
      <c r="M1040" s="3"/>
      <c r="N1040" s="3"/>
      <c r="O1040" s="3"/>
      <c r="P1040" s="3"/>
      <c r="Q1040" s="3"/>
      <c r="R1040" s="3"/>
      <c r="S1040" s="3"/>
      <c r="T1040" s="3"/>
      <c r="U1040" s="3"/>
      <c r="V1040" s="8"/>
      <c r="W1040" s="8"/>
    </row>
    <row r="1041" spans="2:23" x14ac:dyDescent="0.2">
      <c r="B1041" s="3"/>
      <c r="C1041" s="3"/>
      <c r="D1041" s="3"/>
      <c r="E1041" s="4"/>
      <c r="F1041" s="4"/>
      <c r="G1041" s="4"/>
      <c r="H1041" s="4"/>
      <c r="I1041" s="4"/>
      <c r="J1041" s="4"/>
      <c r="K1041" s="4"/>
      <c r="L1041" s="3"/>
      <c r="M1041" s="3"/>
      <c r="N1041" s="3"/>
      <c r="O1041" s="3"/>
      <c r="P1041" s="3"/>
      <c r="Q1041" s="3"/>
      <c r="R1041" s="3"/>
      <c r="S1041" s="3"/>
      <c r="T1041" s="3"/>
      <c r="U1041" s="3"/>
      <c r="V1041" s="8"/>
      <c r="W1041" s="8"/>
    </row>
    <row r="1042" spans="2:23" x14ac:dyDescent="0.2">
      <c r="B1042" s="3"/>
      <c r="C1042" s="3"/>
      <c r="D1042" s="3"/>
      <c r="E1042" s="4"/>
      <c r="F1042" s="4"/>
      <c r="G1042" s="4"/>
      <c r="H1042" s="4"/>
      <c r="I1042" s="4"/>
      <c r="J1042" s="4"/>
      <c r="K1042" s="4"/>
      <c r="L1042" s="3"/>
      <c r="M1042" s="3"/>
      <c r="N1042" s="3"/>
      <c r="O1042" s="3"/>
      <c r="P1042" s="3"/>
      <c r="Q1042" s="3"/>
      <c r="R1042" s="3"/>
      <c r="S1042" s="3"/>
      <c r="T1042" s="3"/>
      <c r="U1042" s="3"/>
      <c r="V1042" s="8"/>
      <c r="W1042" s="8"/>
    </row>
    <row r="1043" spans="2:23" x14ac:dyDescent="0.2">
      <c r="B1043" s="3"/>
      <c r="C1043" s="3"/>
      <c r="D1043" s="3"/>
      <c r="E1043" s="4"/>
      <c r="F1043" s="4"/>
      <c r="G1043" s="4"/>
      <c r="H1043" s="4"/>
      <c r="I1043" s="4"/>
      <c r="J1043" s="4"/>
      <c r="K1043" s="4"/>
      <c r="L1043" s="3"/>
      <c r="M1043" s="3"/>
      <c r="N1043" s="3"/>
      <c r="O1043" s="3"/>
      <c r="P1043" s="3"/>
      <c r="Q1043" s="3"/>
      <c r="R1043" s="3"/>
      <c r="S1043" s="3"/>
      <c r="T1043" s="3"/>
      <c r="U1043" s="3"/>
      <c r="V1043" s="8"/>
      <c r="W1043" s="8"/>
    </row>
    <row r="1044" spans="2:23" x14ac:dyDescent="0.2">
      <c r="B1044" s="3"/>
      <c r="C1044" s="3"/>
      <c r="D1044" s="3"/>
      <c r="E1044" s="4"/>
      <c r="F1044" s="4"/>
      <c r="G1044" s="4"/>
      <c r="H1044" s="4"/>
      <c r="I1044" s="4"/>
      <c r="J1044" s="4"/>
      <c r="K1044" s="4"/>
      <c r="L1044" s="3"/>
      <c r="M1044" s="3"/>
      <c r="N1044" s="3"/>
      <c r="O1044" s="3"/>
      <c r="P1044" s="3"/>
      <c r="Q1044" s="3"/>
      <c r="R1044" s="3"/>
      <c r="S1044" s="3"/>
      <c r="T1044" s="3"/>
      <c r="U1044" s="3"/>
      <c r="V1044" s="8"/>
      <c r="W1044" s="8"/>
    </row>
    <row r="1045" spans="2:23" x14ac:dyDescent="0.2">
      <c r="B1045" s="3"/>
      <c r="C1045" s="3"/>
      <c r="D1045" s="3"/>
      <c r="E1045" s="4"/>
      <c r="F1045" s="4"/>
      <c r="G1045" s="4"/>
      <c r="H1045" s="4"/>
      <c r="I1045" s="4"/>
      <c r="J1045" s="4"/>
      <c r="K1045" s="4"/>
      <c r="L1045" s="3"/>
      <c r="M1045" s="3"/>
      <c r="N1045" s="3"/>
      <c r="O1045" s="3"/>
      <c r="P1045" s="3"/>
      <c r="Q1045" s="3"/>
      <c r="R1045" s="3"/>
      <c r="S1045" s="3"/>
      <c r="T1045" s="3"/>
      <c r="U1045" s="3"/>
      <c r="V1045" s="8"/>
      <c r="W1045" s="8"/>
    </row>
    <row r="1046" spans="2:23" x14ac:dyDescent="0.2">
      <c r="B1046" s="3"/>
      <c r="C1046" s="3"/>
      <c r="D1046" s="3"/>
      <c r="E1046" s="4"/>
      <c r="F1046" s="4"/>
      <c r="G1046" s="4"/>
      <c r="H1046" s="4"/>
      <c r="I1046" s="4"/>
      <c r="J1046" s="4"/>
      <c r="K1046" s="4"/>
      <c r="L1046" s="3"/>
      <c r="M1046" s="3"/>
      <c r="N1046" s="3"/>
      <c r="O1046" s="3"/>
      <c r="P1046" s="3"/>
      <c r="Q1046" s="3"/>
      <c r="R1046" s="3"/>
      <c r="S1046" s="3"/>
      <c r="T1046" s="3"/>
      <c r="U1046" s="3"/>
      <c r="V1046" s="8"/>
      <c r="W1046" s="8"/>
    </row>
    <row r="1047" spans="2:23" x14ac:dyDescent="0.2">
      <c r="B1047" s="3"/>
      <c r="C1047" s="3"/>
      <c r="D1047" s="3"/>
      <c r="E1047" s="4"/>
      <c r="F1047" s="4"/>
      <c r="G1047" s="4"/>
      <c r="H1047" s="4"/>
      <c r="I1047" s="4"/>
      <c r="J1047" s="4"/>
      <c r="K1047" s="4"/>
      <c r="L1047" s="3"/>
      <c r="M1047" s="3"/>
      <c r="N1047" s="3"/>
      <c r="O1047" s="3"/>
      <c r="P1047" s="3"/>
      <c r="Q1047" s="3"/>
      <c r="R1047" s="3"/>
      <c r="S1047" s="3"/>
      <c r="T1047" s="3"/>
      <c r="U1047" s="3"/>
      <c r="V1047" s="8"/>
      <c r="W1047" s="8"/>
    </row>
    <row r="1048" spans="2:23" x14ac:dyDescent="0.2">
      <c r="B1048" s="3"/>
      <c r="C1048" s="3"/>
      <c r="D1048" s="3"/>
      <c r="E1048" s="4"/>
      <c r="F1048" s="4"/>
      <c r="G1048" s="4"/>
      <c r="H1048" s="4"/>
      <c r="I1048" s="4"/>
      <c r="J1048" s="4"/>
      <c r="K1048" s="4"/>
      <c r="L1048" s="3"/>
      <c r="M1048" s="3"/>
      <c r="N1048" s="3"/>
      <c r="O1048" s="3"/>
      <c r="P1048" s="3"/>
      <c r="Q1048" s="3"/>
      <c r="R1048" s="3"/>
      <c r="S1048" s="3"/>
      <c r="T1048" s="3"/>
      <c r="U1048" s="3"/>
      <c r="V1048" s="8"/>
      <c r="W1048" s="8"/>
    </row>
    <row r="1049" spans="2:23" x14ac:dyDescent="0.2">
      <c r="B1049" s="3"/>
      <c r="C1049" s="3"/>
      <c r="D1049" s="3"/>
      <c r="E1049" s="4"/>
      <c r="F1049" s="4"/>
      <c r="G1049" s="4"/>
      <c r="H1049" s="4"/>
      <c r="I1049" s="4"/>
      <c r="J1049" s="4"/>
      <c r="K1049" s="4"/>
      <c r="L1049" s="3"/>
      <c r="M1049" s="3"/>
      <c r="N1049" s="3"/>
      <c r="O1049" s="3"/>
      <c r="P1049" s="3"/>
      <c r="Q1049" s="3"/>
      <c r="R1049" s="3"/>
      <c r="S1049" s="3"/>
      <c r="T1049" s="3"/>
      <c r="U1049" s="3"/>
      <c r="V1049" s="8"/>
      <c r="W1049" s="8"/>
    </row>
    <row r="1050" spans="2:23" x14ac:dyDescent="0.2">
      <c r="B1050" s="3"/>
      <c r="C1050" s="3"/>
      <c r="D1050" s="3"/>
      <c r="E1050" s="4"/>
      <c r="F1050" s="4"/>
      <c r="G1050" s="4"/>
      <c r="H1050" s="4"/>
      <c r="I1050" s="4"/>
      <c r="J1050" s="4"/>
      <c r="K1050" s="4"/>
      <c r="L1050" s="3"/>
      <c r="M1050" s="3"/>
      <c r="N1050" s="3"/>
      <c r="O1050" s="3"/>
      <c r="P1050" s="3"/>
      <c r="Q1050" s="3"/>
      <c r="R1050" s="3"/>
      <c r="S1050" s="3"/>
      <c r="T1050" s="3"/>
      <c r="U1050" s="3"/>
      <c r="V1050" s="8"/>
      <c r="W1050" s="8"/>
    </row>
    <row r="1051" spans="2:23" x14ac:dyDescent="0.2">
      <c r="B1051" s="3"/>
      <c r="C1051" s="3"/>
      <c r="D1051" s="3"/>
      <c r="E1051" s="4"/>
      <c r="F1051" s="4"/>
      <c r="G1051" s="4"/>
      <c r="H1051" s="4"/>
      <c r="I1051" s="4"/>
      <c r="J1051" s="4"/>
      <c r="K1051" s="4"/>
      <c r="L1051" s="3"/>
      <c r="M1051" s="3"/>
      <c r="N1051" s="3"/>
      <c r="O1051" s="3"/>
      <c r="P1051" s="3"/>
      <c r="Q1051" s="3"/>
      <c r="R1051" s="3"/>
      <c r="S1051" s="3"/>
      <c r="T1051" s="3"/>
      <c r="U1051" s="3"/>
      <c r="V1051" s="8"/>
      <c r="W1051" s="8"/>
    </row>
    <row r="1052" spans="2:23" x14ac:dyDescent="0.2">
      <c r="B1052" s="3"/>
      <c r="C1052" s="3"/>
      <c r="D1052" s="3"/>
      <c r="E1052" s="4"/>
      <c r="F1052" s="4"/>
      <c r="G1052" s="4"/>
      <c r="H1052" s="4"/>
      <c r="I1052" s="4"/>
      <c r="J1052" s="4"/>
      <c r="K1052" s="4"/>
      <c r="L1052" s="3"/>
      <c r="M1052" s="3"/>
      <c r="N1052" s="3"/>
      <c r="O1052" s="3"/>
      <c r="P1052" s="3"/>
      <c r="Q1052" s="3"/>
      <c r="R1052" s="3"/>
      <c r="S1052" s="3"/>
      <c r="T1052" s="3"/>
      <c r="U1052" s="3"/>
      <c r="V1052" s="8"/>
      <c r="W1052" s="8"/>
    </row>
    <row r="1053" spans="2:23" x14ac:dyDescent="0.2">
      <c r="B1053" s="3"/>
      <c r="C1053" s="3"/>
      <c r="D1053" s="3"/>
      <c r="E1053" s="4"/>
      <c r="F1053" s="4"/>
      <c r="G1053" s="4"/>
      <c r="H1053" s="4"/>
      <c r="I1053" s="4"/>
      <c r="J1053" s="4"/>
      <c r="K1053" s="4"/>
      <c r="L1053" s="3"/>
      <c r="M1053" s="3"/>
      <c r="N1053" s="3"/>
      <c r="O1053" s="3"/>
      <c r="P1053" s="3"/>
      <c r="Q1053" s="3"/>
      <c r="R1053" s="3"/>
      <c r="S1053" s="3"/>
      <c r="T1053" s="3"/>
      <c r="U1053" s="3"/>
      <c r="V1053" s="8"/>
      <c r="W1053" s="8"/>
    </row>
    <row r="1054" spans="2:23" x14ac:dyDescent="0.2">
      <c r="B1054" s="3"/>
      <c r="C1054" s="3"/>
      <c r="D1054" s="3"/>
      <c r="E1054" s="4"/>
      <c r="F1054" s="4"/>
      <c r="G1054" s="4"/>
      <c r="H1054" s="4"/>
      <c r="I1054" s="4"/>
      <c r="J1054" s="4"/>
      <c r="K1054" s="4"/>
      <c r="L1054" s="3"/>
      <c r="M1054" s="3"/>
      <c r="N1054" s="3"/>
      <c r="O1054" s="3"/>
      <c r="P1054" s="3"/>
      <c r="Q1054" s="3"/>
      <c r="R1054" s="3"/>
      <c r="S1054" s="3"/>
      <c r="T1054" s="3"/>
      <c r="U1054" s="3"/>
      <c r="V1054" s="8"/>
      <c r="W1054" s="8"/>
    </row>
    <row r="1055" spans="2:23" x14ac:dyDescent="0.2">
      <c r="B1055" s="3"/>
      <c r="C1055" s="3"/>
      <c r="D1055" s="3"/>
      <c r="E1055" s="4"/>
      <c r="F1055" s="4"/>
      <c r="G1055" s="4"/>
      <c r="H1055" s="4"/>
      <c r="I1055" s="4"/>
      <c r="J1055" s="4"/>
      <c r="K1055" s="4"/>
      <c r="L1055" s="3"/>
      <c r="M1055" s="3"/>
      <c r="N1055" s="3"/>
      <c r="O1055" s="3"/>
      <c r="P1055" s="3"/>
      <c r="Q1055" s="3"/>
      <c r="R1055" s="3"/>
      <c r="S1055" s="3"/>
      <c r="T1055" s="3"/>
      <c r="U1055" s="3"/>
      <c r="V1055" s="8"/>
      <c r="W1055" s="8"/>
    </row>
    <row r="1056" spans="2:23" x14ac:dyDescent="0.2">
      <c r="B1056" s="3"/>
      <c r="C1056" s="3"/>
      <c r="D1056" s="3"/>
      <c r="E1056" s="4"/>
      <c r="F1056" s="4"/>
      <c r="G1056" s="4"/>
      <c r="H1056" s="4"/>
      <c r="I1056" s="4"/>
      <c r="J1056" s="4"/>
      <c r="K1056" s="4"/>
      <c r="L1056" s="3"/>
      <c r="M1056" s="3"/>
      <c r="N1056" s="3"/>
      <c r="O1056" s="3"/>
      <c r="P1056" s="3"/>
      <c r="Q1056" s="3"/>
      <c r="R1056" s="3"/>
      <c r="S1056" s="3"/>
      <c r="T1056" s="3"/>
      <c r="U1056" s="3"/>
      <c r="V1056" s="8"/>
      <c r="W1056" s="8"/>
    </row>
    <row r="1057" spans="2:23" x14ac:dyDescent="0.2">
      <c r="B1057" s="3"/>
      <c r="C1057" s="3"/>
      <c r="D1057" s="3"/>
      <c r="E1057" s="4"/>
      <c r="F1057" s="4"/>
      <c r="G1057" s="4"/>
      <c r="H1057" s="4"/>
      <c r="I1057" s="4"/>
      <c r="J1057" s="4"/>
      <c r="K1057" s="4"/>
      <c r="L1057" s="3"/>
      <c r="M1057" s="3"/>
      <c r="N1057" s="3"/>
      <c r="O1057" s="3"/>
      <c r="P1057" s="3"/>
      <c r="Q1057" s="3"/>
      <c r="R1057" s="3"/>
      <c r="S1057" s="3"/>
      <c r="T1057" s="3"/>
      <c r="U1057" s="3"/>
      <c r="V1057" s="8"/>
      <c r="W1057" s="8"/>
    </row>
    <row r="1058" spans="2:23" x14ac:dyDescent="0.2">
      <c r="B1058" s="3"/>
      <c r="C1058" s="3"/>
      <c r="D1058" s="3"/>
      <c r="E1058" s="4"/>
      <c r="F1058" s="4"/>
      <c r="G1058" s="4"/>
      <c r="H1058" s="4"/>
      <c r="I1058" s="4"/>
      <c r="J1058" s="4"/>
      <c r="K1058" s="4"/>
      <c r="L1058" s="3"/>
      <c r="M1058" s="3"/>
      <c r="N1058" s="3"/>
      <c r="O1058" s="3"/>
      <c r="P1058" s="3"/>
      <c r="Q1058" s="3"/>
      <c r="R1058" s="3"/>
      <c r="S1058" s="3"/>
      <c r="T1058" s="3"/>
      <c r="U1058" s="3"/>
      <c r="V1058" s="8"/>
      <c r="W1058" s="8"/>
    </row>
    <row r="1059" spans="2:23" x14ac:dyDescent="0.2">
      <c r="B1059" s="3"/>
      <c r="C1059" s="3"/>
      <c r="D1059" s="3"/>
      <c r="E1059" s="4"/>
      <c r="F1059" s="4"/>
      <c r="G1059" s="4"/>
      <c r="H1059" s="4"/>
      <c r="I1059" s="4"/>
      <c r="J1059" s="4"/>
      <c r="K1059" s="4"/>
      <c r="L1059" s="3"/>
      <c r="M1059" s="3"/>
      <c r="N1059" s="3"/>
      <c r="O1059" s="3"/>
      <c r="P1059" s="3"/>
      <c r="Q1059" s="3"/>
      <c r="R1059" s="3"/>
      <c r="S1059" s="3"/>
      <c r="T1059" s="3"/>
      <c r="U1059" s="3"/>
      <c r="V1059" s="8"/>
      <c r="W1059" s="8"/>
    </row>
    <row r="1060" spans="2:23" x14ac:dyDescent="0.2">
      <c r="B1060" s="3"/>
      <c r="C1060" s="3"/>
      <c r="D1060" s="3"/>
      <c r="E1060" s="4"/>
      <c r="F1060" s="4"/>
      <c r="G1060" s="4"/>
      <c r="H1060" s="4"/>
      <c r="I1060" s="4"/>
      <c r="J1060" s="4"/>
      <c r="K1060" s="4"/>
      <c r="L1060" s="3"/>
      <c r="M1060" s="3"/>
      <c r="N1060" s="3"/>
      <c r="O1060" s="3"/>
      <c r="P1060" s="3"/>
      <c r="Q1060" s="3"/>
      <c r="R1060" s="3"/>
      <c r="S1060" s="3"/>
      <c r="T1060" s="3"/>
      <c r="U1060" s="3"/>
      <c r="V1060" s="8"/>
      <c r="W1060" s="8"/>
    </row>
    <row r="1061" spans="2:23" x14ac:dyDescent="0.2">
      <c r="B1061" s="3"/>
      <c r="C1061" s="3"/>
      <c r="D1061" s="3"/>
      <c r="E1061" s="4"/>
      <c r="F1061" s="4"/>
      <c r="G1061" s="4"/>
      <c r="H1061" s="4"/>
      <c r="I1061" s="4"/>
      <c r="J1061" s="4"/>
      <c r="K1061" s="4"/>
      <c r="L1061" s="3"/>
      <c r="M1061" s="3"/>
      <c r="N1061" s="3"/>
      <c r="O1061" s="3"/>
      <c r="P1061" s="3"/>
      <c r="Q1061" s="3"/>
      <c r="R1061" s="3"/>
      <c r="S1061" s="3"/>
      <c r="T1061" s="3"/>
      <c r="U1061" s="3"/>
      <c r="V1061" s="8"/>
      <c r="W1061" s="8"/>
    </row>
    <row r="1062" spans="2:23" x14ac:dyDescent="0.2">
      <c r="B1062" s="3"/>
      <c r="C1062" s="3"/>
      <c r="D1062" s="3"/>
      <c r="E1062" s="4"/>
      <c r="F1062" s="4"/>
      <c r="G1062" s="4"/>
      <c r="H1062" s="4"/>
      <c r="I1062" s="4"/>
      <c r="J1062" s="4"/>
      <c r="K1062" s="4"/>
      <c r="L1062" s="3"/>
      <c r="M1062" s="3"/>
      <c r="N1062" s="3"/>
      <c r="O1062" s="3"/>
      <c r="P1062" s="3"/>
      <c r="Q1062" s="3"/>
      <c r="R1062" s="3"/>
      <c r="S1062" s="3"/>
      <c r="T1062" s="3"/>
      <c r="U1062" s="3"/>
      <c r="V1062" s="8"/>
      <c r="W1062" s="8"/>
    </row>
    <row r="1063" spans="2:23" x14ac:dyDescent="0.2">
      <c r="B1063" s="3"/>
      <c r="C1063" s="3"/>
      <c r="D1063" s="3"/>
      <c r="E1063" s="4"/>
      <c r="F1063" s="4"/>
      <c r="G1063" s="4"/>
      <c r="H1063" s="4"/>
      <c r="I1063" s="4"/>
      <c r="J1063" s="4"/>
      <c r="K1063" s="4"/>
      <c r="L1063" s="3"/>
      <c r="M1063" s="3"/>
      <c r="N1063" s="3"/>
      <c r="O1063" s="3"/>
      <c r="P1063" s="3"/>
      <c r="Q1063" s="3"/>
      <c r="R1063" s="3"/>
      <c r="S1063" s="3"/>
      <c r="T1063" s="3"/>
      <c r="U1063" s="3"/>
      <c r="V1063" s="8"/>
      <c r="W1063" s="8"/>
    </row>
    <row r="1064" spans="2:23" x14ac:dyDescent="0.2">
      <c r="B1064" s="3"/>
      <c r="C1064" s="3"/>
      <c r="D1064" s="3"/>
      <c r="E1064" s="4"/>
      <c r="F1064" s="4"/>
      <c r="G1064" s="4"/>
      <c r="H1064" s="4"/>
      <c r="I1064" s="4"/>
      <c r="J1064" s="4"/>
      <c r="K1064" s="4"/>
      <c r="L1064" s="3"/>
      <c r="M1064" s="3"/>
      <c r="N1064" s="3"/>
      <c r="O1064" s="3"/>
      <c r="P1064" s="3"/>
      <c r="Q1064" s="3"/>
      <c r="R1064" s="3"/>
      <c r="S1064" s="3"/>
      <c r="T1064" s="3"/>
      <c r="U1064" s="3"/>
      <c r="V1064" s="8"/>
      <c r="W1064" s="8"/>
    </row>
    <row r="1065" spans="2:23" x14ac:dyDescent="0.2">
      <c r="B1065" s="3"/>
      <c r="C1065" s="3"/>
      <c r="D1065" s="3"/>
      <c r="E1065" s="4"/>
      <c r="F1065" s="4"/>
      <c r="G1065" s="4"/>
      <c r="H1065" s="4"/>
      <c r="I1065" s="4"/>
      <c r="J1065" s="4"/>
      <c r="K1065" s="4"/>
      <c r="L1065" s="3"/>
      <c r="M1065" s="3"/>
      <c r="N1065" s="3"/>
      <c r="O1065" s="3"/>
      <c r="P1065" s="3"/>
      <c r="Q1065" s="3"/>
      <c r="R1065" s="3"/>
      <c r="S1065" s="3"/>
      <c r="T1065" s="3"/>
      <c r="U1065" s="3"/>
      <c r="V1065" s="8"/>
      <c r="W1065" s="8"/>
    </row>
    <row r="1066" spans="2:23" x14ac:dyDescent="0.2">
      <c r="B1066" s="3"/>
      <c r="C1066" s="3"/>
      <c r="D1066" s="3"/>
      <c r="E1066" s="4"/>
      <c r="F1066" s="4"/>
      <c r="G1066" s="4"/>
      <c r="H1066" s="4"/>
      <c r="I1066" s="4"/>
      <c r="J1066" s="4"/>
      <c r="K1066" s="4"/>
      <c r="L1066" s="3"/>
      <c r="M1066" s="3"/>
      <c r="N1066" s="3"/>
      <c r="O1066" s="3"/>
      <c r="P1066" s="3"/>
      <c r="Q1066" s="3"/>
      <c r="R1066" s="3"/>
      <c r="S1066" s="3"/>
      <c r="T1066" s="3"/>
      <c r="U1066" s="3"/>
      <c r="V1066" s="8"/>
      <c r="W1066" s="8"/>
    </row>
    <row r="1067" spans="2:23" x14ac:dyDescent="0.2">
      <c r="B1067" s="3"/>
      <c r="C1067" s="3"/>
      <c r="D1067" s="3"/>
      <c r="E1067" s="4"/>
      <c r="F1067" s="4"/>
      <c r="G1067" s="4"/>
      <c r="H1067" s="4"/>
      <c r="I1067" s="4"/>
      <c r="J1067" s="4"/>
      <c r="K1067" s="4"/>
      <c r="L1067" s="3"/>
      <c r="M1067" s="3"/>
      <c r="N1067" s="3"/>
      <c r="O1067" s="3"/>
      <c r="P1067" s="3"/>
      <c r="Q1067" s="3"/>
      <c r="R1067" s="3"/>
      <c r="S1067" s="3"/>
      <c r="T1067" s="3"/>
      <c r="U1067" s="3"/>
      <c r="V1067" s="8"/>
      <c r="W1067" s="8"/>
    </row>
    <row r="1068" spans="2:23" x14ac:dyDescent="0.2">
      <c r="B1068" s="3"/>
      <c r="C1068" s="3"/>
      <c r="D1068" s="3"/>
      <c r="E1068" s="4"/>
      <c r="F1068" s="4"/>
      <c r="G1068" s="4"/>
      <c r="H1068" s="4"/>
      <c r="I1068" s="4"/>
      <c r="J1068" s="4"/>
      <c r="K1068" s="4"/>
      <c r="L1068" s="3"/>
      <c r="M1068" s="3"/>
      <c r="N1068" s="3"/>
      <c r="O1068" s="3"/>
      <c r="P1068" s="3"/>
      <c r="Q1068" s="3"/>
      <c r="R1068" s="3"/>
      <c r="S1068" s="3"/>
      <c r="T1068" s="3"/>
      <c r="U1068" s="3"/>
      <c r="V1068" s="8"/>
      <c r="W1068" s="8"/>
    </row>
    <row r="1069" spans="2:23" x14ac:dyDescent="0.2">
      <c r="B1069" s="3"/>
      <c r="C1069" s="3"/>
      <c r="D1069" s="3"/>
      <c r="E1069" s="4"/>
      <c r="F1069" s="4"/>
      <c r="G1069" s="4"/>
      <c r="H1069" s="4"/>
      <c r="I1069" s="4"/>
      <c r="J1069" s="4"/>
      <c r="K1069" s="4"/>
      <c r="L1069" s="3"/>
      <c r="M1069" s="3"/>
      <c r="N1069" s="3"/>
      <c r="O1069" s="3"/>
      <c r="P1069" s="3"/>
      <c r="Q1069" s="3"/>
      <c r="R1069" s="3"/>
      <c r="S1069" s="3"/>
      <c r="T1069" s="3"/>
      <c r="U1069" s="3"/>
      <c r="V1069" s="8"/>
      <c r="W1069" s="8"/>
    </row>
    <row r="1070" spans="2:23" x14ac:dyDescent="0.2">
      <c r="B1070" s="3"/>
      <c r="C1070" s="3"/>
      <c r="D1070" s="3"/>
      <c r="E1070" s="4"/>
      <c r="F1070" s="4"/>
      <c r="G1070" s="4"/>
      <c r="H1070" s="4"/>
      <c r="I1070" s="4"/>
      <c r="J1070" s="4"/>
      <c r="K1070" s="4"/>
      <c r="L1070" s="3"/>
      <c r="M1070" s="3"/>
      <c r="N1070" s="3"/>
      <c r="O1070" s="3"/>
      <c r="P1070" s="3"/>
      <c r="Q1070" s="3"/>
      <c r="R1070" s="3"/>
      <c r="S1070" s="3"/>
      <c r="T1070" s="3"/>
      <c r="U1070" s="3"/>
      <c r="V1070" s="8"/>
      <c r="W1070" s="8"/>
    </row>
    <row r="1071" spans="2:23" x14ac:dyDescent="0.2">
      <c r="B1071" s="3"/>
      <c r="C1071" s="3"/>
      <c r="D1071" s="3"/>
      <c r="E1071" s="4"/>
      <c r="F1071" s="4"/>
      <c r="G1071" s="4"/>
      <c r="H1071" s="4"/>
      <c r="I1071" s="4"/>
      <c r="J1071" s="4"/>
      <c r="K1071" s="4"/>
      <c r="L1071" s="3"/>
      <c r="M1071" s="3"/>
      <c r="N1071" s="3"/>
      <c r="O1071" s="3"/>
      <c r="P1071" s="3"/>
      <c r="Q1071" s="3"/>
      <c r="R1071" s="3"/>
      <c r="S1071" s="3"/>
      <c r="T1071" s="3"/>
      <c r="U1071" s="3"/>
      <c r="V1071" s="8"/>
      <c r="W1071" s="8"/>
    </row>
    <row r="1072" spans="2:23" x14ac:dyDescent="0.2">
      <c r="B1072" s="3"/>
      <c r="C1072" s="3"/>
      <c r="D1072" s="3"/>
      <c r="E1072" s="4"/>
      <c r="F1072" s="4"/>
      <c r="G1072" s="4"/>
      <c r="H1072" s="4"/>
      <c r="I1072" s="4"/>
      <c r="J1072" s="4"/>
      <c r="K1072" s="4"/>
      <c r="L1072" s="3"/>
      <c r="M1072" s="3"/>
      <c r="N1072" s="3"/>
      <c r="O1072" s="3"/>
      <c r="P1072" s="3"/>
      <c r="Q1072" s="3"/>
      <c r="R1072" s="3"/>
      <c r="S1072" s="3"/>
      <c r="T1072" s="3"/>
      <c r="U1072" s="3"/>
      <c r="V1072" s="8"/>
      <c r="W1072" s="8"/>
    </row>
    <row r="1073" spans="2:23" x14ac:dyDescent="0.2">
      <c r="B1073" s="3"/>
      <c r="C1073" s="3"/>
      <c r="D1073" s="3"/>
      <c r="E1073" s="4"/>
      <c r="F1073" s="4"/>
      <c r="G1073" s="4"/>
      <c r="H1073" s="4"/>
      <c r="I1073" s="4"/>
      <c r="J1073" s="4"/>
      <c r="K1073" s="4"/>
      <c r="L1073" s="3"/>
      <c r="M1073" s="3"/>
      <c r="N1073" s="3"/>
      <c r="O1073" s="3"/>
      <c r="P1073" s="3"/>
      <c r="Q1073" s="3"/>
      <c r="R1073" s="3"/>
      <c r="S1073" s="3"/>
      <c r="T1073" s="3"/>
      <c r="U1073" s="3"/>
      <c r="V1073" s="8"/>
      <c r="W1073" s="8"/>
    </row>
    <row r="1074" spans="2:23" x14ac:dyDescent="0.2">
      <c r="B1074" s="3"/>
      <c r="C1074" s="3"/>
      <c r="D1074" s="3"/>
      <c r="E1074" s="4"/>
      <c r="F1074" s="4"/>
      <c r="G1074" s="4"/>
      <c r="H1074" s="4"/>
      <c r="I1074" s="4"/>
      <c r="J1074" s="4"/>
      <c r="K1074" s="4"/>
      <c r="L1074" s="3"/>
      <c r="M1074" s="3"/>
      <c r="N1074" s="3"/>
      <c r="O1074" s="3"/>
      <c r="P1074" s="3"/>
      <c r="Q1074" s="3"/>
      <c r="R1074" s="3"/>
      <c r="S1074" s="3"/>
      <c r="T1074" s="3"/>
      <c r="U1074" s="3"/>
      <c r="V1074" s="8"/>
      <c r="W1074" s="8"/>
    </row>
    <row r="1075" spans="2:23" x14ac:dyDescent="0.2">
      <c r="B1075" s="3"/>
      <c r="C1075" s="3"/>
      <c r="D1075" s="3"/>
      <c r="E1075" s="4"/>
      <c r="F1075" s="4"/>
      <c r="G1075" s="4"/>
      <c r="H1075" s="4"/>
      <c r="I1075" s="4"/>
      <c r="J1075" s="4"/>
      <c r="K1075" s="4"/>
      <c r="L1075" s="3"/>
      <c r="M1075" s="3"/>
      <c r="N1075" s="3"/>
      <c r="O1075" s="3"/>
      <c r="P1075" s="3"/>
      <c r="Q1075" s="3"/>
      <c r="R1075" s="3"/>
      <c r="S1075" s="3"/>
      <c r="T1075" s="3"/>
      <c r="U1075" s="3"/>
      <c r="V1075" s="8"/>
      <c r="W1075" s="8"/>
    </row>
    <row r="1076" spans="2:23" x14ac:dyDescent="0.2">
      <c r="B1076" s="3"/>
      <c r="C1076" s="3"/>
      <c r="D1076" s="3"/>
      <c r="E1076" s="4"/>
      <c r="F1076" s="4"/>
      <c r="G1076" s="4"/>
      <c r="H1076" s="4"/>
      <c r="I1076" s="4"/>
      <c r="J1076" s="4"/>
      <c r="K1076" s="4"/>
      <c r="L1076" s="3"/>
      <c r="M1076" s="3"/>
      <c r="N1076" s="3"/>
      <c r="O1076" s="3"/>
      <c r="P1076" s="3"/>
      <c r="Q1076" s="3"/>
      <c r="R1076" s="3"/>
      <c r="S1076" s="3"/>
      <c r="T1076" s="3"/>
      <c r="U1076" s="3"/>
      <c r="V1076" s="8"/>
      <c r="W1076" s="8"/>
    </row>
    <row r="1077" spans="2:23" x14ac:dyDescent="0.2">
      <c r="B1077" s="3"/>
      <c r="C1077" s="3"/>
      <c r="D1077" s="3"/>
      <c r="E1077" s="4"/>
      <c r="F1077" s="4"/>
      <c r="G1077" s="4"/>
      <c r="H1077" s="4"/>
      <c r="I1077" s="4"/>
      <c r="J1077" s="4"/>
      <c r="K1077" s="4"/>
      <c r="L1077" s="3"/>
      <c r="M1077" s="3"/>
      <c r="N1077" s="3"/>
      <c r="O1077" s="3"/>
      <c r="P1077" s="3"/>
      <c r="Q1077" s="3"/>
      <c r="R1077" s="3"/>
      <c r="S1077" s="3"/>
      <c r="T1077" s="3"/>
      <c r="U1077" s="3"/>
      <c r="V1077" s="8"/>
      <c r="W1077" s="8"/>
    </row>
    <row r="1078" spans="2:23" x14ac:dyDescent="0.2">
      <c r="B1078" s="3"/>
      <c r="C1078" s="3"/>
      <c r="D1078" s="3"/>
      <c r="E1078" s="4"/>
      <c r="F1078" s="4"/>
      <c r="G1078" s="4"/>
      <c r="H1078" s="4"/>
      <c r="I1078" s="4"/>
      <c r="J1078" s="4"/>
      <c r="K1078" s="4"/>
      <c r="L1078" s="3"/>
      <c r="M1078" s="3"/>
      <c r="N1078" s="3"/>
      <c r="O1078" s="3"/>
      <c r="P1078" s="3"/>
      <c r="Q1078" s="3"/>
      <c r="R1078" s="3"/>
      <c r="S1078" s="3"/>
      <c r="T1078" s="3"/>
      <c r="U1078" s="3"/>
      <c r="V1078" s="8"/>
      <c r="W1078" s="8"/>
    </row>
    <row r="1079" spans="2:23" x14ac:dyDescent="0.2">
      <c r="B1079" s="3"/>
      <c r="C1079" s="3"/>
      <c r="D1079" s="3"/>
      <c r="E1079" s="4"/>
      <c r="F1079" s="4"/>
      <c r="G1079" s="4"/>
      <c r="H1079" s="4"/>
      <c r="I1079" s="4"/>
      <c r="J1079" s="4"/>
      <c r="K1079" s="4"/>
      <c r="L1079" s="3"/>
      <c r="M1079" s="3"/>
      <c r="N1079" s="3"/>
      <c r="O1079" s="3"/>
      <c r="P1079" s="3"/>
      <c r="Q1079" s="3"/>
      <c r="R1079" s="3"/>
      <c r="S1079" s="3"/>
      <c r="T1079" s="3"/>
      <c r="U1079" s="3"/>
      <c r="V1079" s="8"/>
      <c r="W1079" s="8"/>
    </row>
    <row r="1080" spans="2:23" x14ac:dyDescent="0.2">
      <c r="B1080" s="3"/>
      <c r="C1080" s="3"/>
      <c r="D1080" s="3"/>
      <c r="E1080" s="4"/>
      <c r="F1080" s="4"/>
      <c r="G1080" s="4"/>
      <c r="H1080" s="4"/>
      <c r="I1080" s="4"/>
      <c r="J1080" s="4"/>
      <c r="K1080" s="4"/>
      <c r="L1080" s="3"/>
      <c r="M1080" s="3"/>
      <c r="N1080" s="3"/>
      <c r="O1080" s="3"/>
      <c r="P1080" s="3"/>
      <c r="Q1080" s="3"/>
      <c r="R1080" s="3"/>
      <c r="S1080" s="3"/>
      <c r="T1080" s="3"/>
      <c r="U1080" s="3"/>
      <c r="V1080" s="8"/>
      <c r="W1080" s="8"/>
    </row>
    <row r="1081" spans="2:23" x14ac:dyDescent="0.2">
      <c r="B1081" s="3"/>
      <c r="C1081" s="3"/>
      <c r="D1081" s="3"/>
      <c r="E1081" s="4"/>
      <c r="F1081" s="4"/>
      <c r="G1081" s="4"/>
      <c r="H1081" s="4"/>
      <c r="I1081" s="4"/>
      <c r="J1081" s="4"/>
      <c r="K1081" s="4"/>
      <c r="L1081" s="3"/>
      <c r="M1081" s="3"/>
      <c r="N1081" s="3"/>
      <c r="O1081" s="3"/>
      <c r="P1081" s="3"/>
      <c r="Q1081" s="3"/>
      <c r="R1081" s="3"/>
      <c r="S1081" s="3"/>
      <c r="T1081" s="3"/>
      <c r="U1081" s="3"/>
      <c r="V1081" s="8"/>
      <c r="W1081" s="8"/>
    </row>
    <row r="1082" spans="2:23" x14ac:dyDescent="0.2">
      <c r="B1082" s="3"/>
      <c r="C1082" s="3"/>
      <c r="D1082" s="3"/>
      <c r="E1082" s="4"/>
      <c r="F1082" s="4"/>
      <c r="G1082" s="4"/>
      <c r="H1082" s="4"/>
      <c r="I1082" s="4"/>
      <c r="J1082" s="4"/>
      <c r="K1082" s="4"/>
      <c r="L1082" s="3"/>
      <c r="M1082" s="3"/>
      <c r="N1082" s="3"/>
      <c r="O1082" s="3"/>
      <c r="P1082" s="3"/>
      <c r="Q1082" s="3"/>
      <c r="R1082" s="3"/>
      <c r="S1082" s="3"/>
      <c r="T1082" s="3"/>
      <c r="U1082" s="3"/>
      <c r="V1082" s="8"/>
      <c r="W1082" s="8"/>
    </row>
    <row r="1083" spans="2:23" x14ac:dyDescent="0.2">
      <c r="B1083" s="3"/>
      <c r="C1083" s="3"/>
      <c r="D1083" s="3"/>
      <c r="E1083" s="4"/>
      <c r="F1083" s="4"/>
      <c r="G1083" s="4"/>
      <c r="H1083" s="4"/>
      <c r="I1083" s="4"/>
      <c r="J1083" s="4"/>
      <c r="K1083" s="4"/>
      <c r="L1083" s="3"/>
      <c r="M1083" s="3"/>
      <c r="N1083" s="3"/>
      <c r="O1083" s="3"/>
      <c r="P1083" s="3"/>
      <c r="Q1083" s="3"/>
      <c r="R1083" s="3"/>
      <c r="S1083" s="3"/>
      <c r="T1083" s="3"/>
      <c r="U1083" s="3"/>
      <c r="V1083" s="8"/>
      <c r="W1083" s="8"/>
    </row>
    <row r="1084" spans="2:23" x14ac:dyDescent="0.2">
      <c r="B1084" s="3"/>
      <c r="C1084" s="3"/>
      <c r="D1084" s="3"/>
      <c r="E1084" s="4"/>
      <c r="F1084" s="4"/>
      <c r="G1084" s="4"/>
      <c r="H1084" s="4"/>
      <c r="I1084" s="4"/>
      <c r="J1084" s="4"/>
      <c r="K1084" s="4"/>
      <c r="L1084" s="3"/>
      <c r="M1084" s="3"/>
      <c r="N1084" s="3"/>
      <c r="O1084" s="3"/>
      <c r="P1084" s="3"/>
      <c r="Q1084" s="3"/>
      <c r="R1084" s="3"/>
      <c r="S1084" s="3"/>
      <c r="T1084" s="3"/>
      <c r="U1084" s="3"/>
      <c r="V1084" s="8"/>
      <c r="W1084" s="8"/>
    </row>
    <row r="1085" spans="2:23" x14ac:dyDescent="0.2">
      <c r="B1085" s="3"/>
      <c r="C1085" s="3"/>
      <c r="D1085" s="3"/>
      <c r="E1085" s="4"/>
      <c r="F1085" s="4"/>
      <c r="G1085" s="4"/>
      <c r="H1085" s="4"/>
      <c r="I1085" s="4"/>
      <c r="J1085" s="4"/>
      <c r="K1085" s="4"/>
      <c r="L1085" s="3"/>
      <c r="M1085" s="3"/>
      <c r="N1085" s="3"/>
      <c r="O1085" s="3"/>
      <c r="P1085" s="3"/>
      <c r="Q1085" s="3"/>
      <c r="R1085" s="3"/>
      <c r="S1085" s="3"/>
      <c r="T1085" s="3"/>
      <c r="U1085" s="3"/>
      <c r="V1085" s="8"/>
      <c r="W1085" s="8"/>
    </row>
    <row r="1086" spans="2:23" x14ac:dyDescent="0.2">
      <c r="B1086" s="3"/>
      <c r="C1086" s="3"/>
      <c r="D1086" s="3"/>
      <c r="E1086" s="4"/>
      <c r="F1086" s="4"/>
      <c r="G1086" s="4"/>
      <c r="H1086" s="4"/>
      <c r="I1086" s="4"/>
      <c r="J1086" s="4"/>
      <c r="K1086" s="4"/>
      <c r="L1086" s="3"/>
      <c r="M1086" s="3"/>
      <c r="N1086" s="3"/>
      <c r="O1086" s="3"/>
      <c r="P1086" s="3"/>
      <c r="Q1086" s="3"/>
      <c r="R1086" s="3"/>
      <c r="S1086" s="3"/>
      <c r="T1086" s="3"/>
      <c r="U1086" s="3"/>
      <c r="V1086" s="8"/>
      <c r="W1086" s="8"/>
    </row>
    <row r="1087" spans="2:23" x14ac:dyDescent="0.2">
      <c r="B1087" s="3"/>
      <c r="C1087" s="3"/>
      <c r="D1087" s="3"/>
      <c r="E1087" s="4"/>
      <c r="F1087" s="4"/>
      <c r="G1087" s="4"/>
      <c r="H1087" s="4"/>
      <c r="I1087" s="4"/>
      <c r="J1087" s="4"/>
      <c r="K1087" s="4"/>
      <c r="L1087" s="3"/>
      <c r="M1087" s="3"/>
      <c r="N1087" s="3"/>
      <c r="O1087" s="3"/>
      <c r="P1087" s="3"/>
      <c r="Q1087" s="3"/>
      <c r="R1087" s="3"/>
      <c r="S1087" s="3"/>
      <c r="T1087" s="3"/>
      <c r="U1087" s="3"/>
      <c r="V1087" s="8"/>
      <c r="W1087" s="8"/>
    </row>
    <row r="1088" spans="2:23" x14ac:dyDescent="0.2">
      <c r="B1088" s="3"/>
      <c r="C1088" s="3"/>
      <c r="D1088" s="3"/>
      <c r="E1088" s="4"/>
      <c r="F1088" s="4"/>
      <c r="G1088" s="4"/>
      <c r="H1088" s="4"/>
      <c r="I1088" s="4"/>
      <c r="J1088" s="4"/>
      <c r="K1088" s="4"/>
      <c r="L1088" s="3"/>
      <c r="M1088" s="3"/>
      <c r="N1088" s="3"/>
      <c r="O1088" s="3"/>
      <c r="P1088" s="3"/>
      <c r="Q1088" s="3"/>
      <c r="R1088" s="3"/>
      <c r="S1088" s="3"/>
      <c r="T1088" s="3"/>
      <c r="U1088" s="3"/>
      <c r="V1088" s="8"/>
      <c r="W1088" s="8"/>
    </row>
    <row r="1089" spans="2:23" x14ac:dyDescent="0.2">
      <c r="B1089" s="3"/>
      <c r="C1089" s="3"/>
      <c r="D1089" s="3"/>
      <c r="E1089" s="4"/>
      <c r="F1089" s="4"/>
      <c r="G1089" s="4"/>
      <c r="H1089" s="4"/>
      <c r="I1089" s="4"/>
      <c r="J1089" s="4"/>
      <c r="K1089" s="4"/>
      <c r="L1089" s="3"/>
      <c r="M1089" s="3"/>
      <c r="N1089" s="3"/>
      <c r="O1089" s="3"/>
      <c r="P1089" s="3"/>
      <c r="Q1089" s="3"/>
      <c r="R1089" s="3"/>
      <c r="S1089" s="3"/>
      <c r="T1089" s="3"/>
      <c r="U1089" s="3"/>
      <c r="V1089" s="8"/>
      <c r="W1089" s="8"/>
    </row>
    <row r="1090" spans="2:23" x14ac:dyDescent="0.2">
      <c r="B1090" s="3"/>
      <c r="C1090" s="3"/>
      <c r="D1090" s="3"/>
      <c r="E1090" s="4"/>
      <c r="F1090" s="4"/>
      <c r="G1090" s="4"/>
      <c r="H1090" s="4"/>
      <c r="I1090" s="4"/>
      <c r="J1090" s="4"/>
      <c r="K1090" s="4"/>
      <c r="L1090" s="3"/>
      <c r="M1090" s="3"/>
      <c r="N1090" s="3"/>
      <c r="O1090" s="3"/>
      <c r="P1090" s="3"/>
      <c r="Q1090" s="3"/>
      <c r="R1090" s="3"/>
      <c r="S1090" s="3"/>
      <c r="T1090" s="3"/>
      <c r="U1090" s="3"/>
      <c r="V1090" s="8"/>
      <c r="W1090" s="8"/>
    </row>
    <row r="1091" spans="2:23" x14ac:dyDescent="0.2">
      <c r="B1091" s="3"/>
      <c r="C1091" s="3"/>
      <c r="D1091" s="3"/>
      <c r="E1091" s="4"/>
      <c r="F1091" s="4"/>
      <c r="G1091" s="4"/>
      <c r="H1091" s="4"/>
      <c r="I1091" s="4"/>
      <c r="J1091" s="4"/>
      <c r="K1091" s="4"/>
      <c r="L1091" s="3"/>
      <c r="M1091" s="3"/>
      <c r="N1091" s="3"/>
      <c r="O1091" s="3"/>
      <c r="P1091" s="3"/>
      <c r="Q1091" s="3"/>
      <c r="R1091" s="3"/>
      <c r="S1091" s="3"/>
      <c r="T1091" s="3"/>
      <c r="U1091" s="3"/>
      <c r="V1091" s="8"/>
      <c r="W1091" s="8"/>
    </row>
    <row r="1092" spans="2:23" x14ac:dyDescent="0.2">
      <c r="B1092" s="3"/>
      <c r="C1092" s="3"/>
      <c r="D1092" s="3"/>
      <c r="E1092" s="4"/>
      <c r="F1092" s="4"/>
      <c r="G1092" s="4"/>
      <c r="H1092" s="4"/>
      <c r="I1092" s="4"/>
      <c r="J1092" s="4"/>
      <c r="K1092" s="4"/>
      <c r="L1092" s="3"/>
      <c r="M1092" s="3"/>
      <c r="N1092" s="3"/>
      <c r="O1092" s="3"/>
      <c r="P1092" s="3"/>
      <c r="Q1092" s="3"/>
      <c r="R1092" s="3"/>
      <c r="S1092" s="3"/>
      <c r="T1092" s="3"/>
      <c r="U1092" s="3"/>
      <c r="V1092" s="8"/>
      <c r="W1092" s="8"/>
    </row>
    <row r="1093" spans="2:23" x14ac:dyDescent="0.2">
      <c r="B1093" s="3"/>
      <c r="C1093" s="3"/>
      <c r="D1093" s="3"/>
      <c r="E1093" s="4"/>
      <c r="F1093" s="4"/>
      <c r="G1093" s="4"/>
      <c r="H1093" s="4"/>
      <c r="I1093" s="4"/>
      <c r="J1093" s="4"/>
      <c r="K1093" s="4"/>
      <c r="L1093" s="3"/>
      <c r="M1093" s="3"/>
      <c r="N1093" s="3"/>
      <c r="O1093" s="3"/>
      <c r="P1093" s="3"/>
      <c r="Q1093" s="3"/>
      <c r="R1093" s="3"/>
      <c r="S1093" s="3"/>
      <c r="T1093" s="3"/>
      <c r="U1093" s="3"/>
      <c r="V1093" s="8"/>
      <c r="W1093" s="8"/>
    </row>
    <row r="1094" spans="2:23" x14ac:dyDescent="0.2">
      <c r="B1094" s="3"/>
      <c r="C1094" s="3"/>
      <c r="D1094" s="3"/>
      <c r="E1094" s="4"/>
      <c r="F1094" s="4"/>
      <c r="G1094" s="4"/>
      <c r="H1094" s="4"/>
      <c r="I1094" s="4"/>
      <c r="J1094" s="4"/>
      <c r="K1094" s="4"/>
      <c r="L1094" s="3"/>
      <c r="M1094" s="3"/>
      <c r="N1094" s="3"/>
      <c r="O1094" s="3"/>
      <c r="P1094" s="3"/>
      <c r="Q1094" s="3"/>
      <c r="R1094" s="3"/>
      <c r="S1094" s="3"/>
      <c r="T1094" s="3"/>
      <c r="U1094" s="3"/>
      <c r="V1094" s="8"/>
      <c r="W1094" s="8"/>
    </row>
    <row r="1095" spans="2:23" x14ac:dyDescent="0.2">
      <c r="B1095" s="3"/>
      <c r="C1095" s="3"/>
      <c r="D1095" s="3"/>
      <c r="E1095" s="4"/>
      <c r="F1095" s="4"/>
      <c r="G1095" s="4"/>
      <c r="H1095" s="4"/>
      <c r="I1095" s="4"/>
      <c r="J1095" s="4"/>
      <c r="K1095" s="4"/>
      <c r="L1095" s="3"/>
      <c r="M1095" s="3"/>
      <c r="N1095" s="3"/>
      <c r="O1095" s="3"/>
      <c r="P1095" s="3"/>
      <c r="Q1095" s="3"/>
      <c r="R1095" s="3"/>
      <c r="S1095" s="3"/>
      <c r="T1095" s="3"/>
      <c r="U1095" s="3"/>
      <c r="V1095" s="8"/>
      <c r="W1095" s="8"/>
    </row>
    <row r="1096" spans="2:23" x14ac:dyDescent="0.2">
      <c r="B1096" s="3"/>
      <c r="C1096" s="3"/>
      <c r="D1096" s="3"/>
      <c r="E1096" s="4"/>
      <c r="F1096" s="4"/>
      <c r="G1096" s="4"/>
      <c r="H1096" s="4"/>
      <c r="I1096" s="4"/>
      <c r="J1096" s="4"/>
      <c r="K1096" s="4"/>
      <c r="L1096" s="3"/>
      <c r="M1096" s="3"/>
      <c r="N1096" s="3"/>
      <c r="O1096" s="3"/>
      <c r="P1096" s="3"/>
      <c r="Q1096" s="3"/>
      <c r="R1096" s="3"/>
      <c r="S1096" s="3"/>
      <c r="T1096" s="3"/>
      <c r="U1096" s="3"/>
      <c r="V1096" s="8"/>
      <c r="W1096" s="8"/>
    </row>
    <row r="1097" spans="2:23" x14ac:dyDescent="0.2">
      <c r="B1097" s="3"/>
      <c r="C1097" s="3"/>
      <c r="D1097" s="3"/>
      <c r="E1097" s="4"/>
      <c r="F1097" s="4"/>
      <c r="G1097" s="4"/>
      <c r="H1097" s="4"/>
      <c r="I1097" s="4"/>
      <c r="J1097" s="4"/>
      <c r="K1097" s="4"/>
      <c r="L1097" s="3"/>
      <c r="M1097" s="3"/>
      <c r="N1097" s="3"/>
      <c r="O1097" s="3"/>
      <c r="P1097" s="3"/>
      <c r="Q1097" s="3"/>
      <c r="R1097" s="3"/>
      <c r="S1097" s="3"/>
      <c r="T1097" s="3"/>
      <c r="U1097" s="3"/>
      <c r="V1097" s="8"/>
      <c r="W1097" s="8"/>
    </row>
    <row r="1098" spans="2:23" x14ac:dyDescent="0.2">
      <c r="B1098" s="3"/>
      <c r="C1098" s="3"/>
      <c r="D1098" s="3"/>
      <c r="E1098" s="4"/>
      <c r="F1098" s="4"/>
      <c r="G1098" s="4"/>
      <c r="H1098" s="4"/>
      <c r="I1098" s="4"/>
      <c r="J1098" s="4"/>
      <c r="K1098" s="4"/>
      <c r="L1098" s="3"/>
      <c r="M1098" s="3"/>
      <c r="N1098" s="3"/>
      <c r="O1098" s="3"/>
      <c r="P1098" s="3"/>
      <c r="Q1098" s="3"/>
      <c r="R1098" s="3"/>
      <c r="S1098" s="3"/>
      <c r="T1098" s="3"/>
      <c r="U1098" s="3"/>
      <c r="V1098" s="8"/>
      <c r="W1098" s="8"/>
    </row>
    <row r="1099" spans="2:23" x14ac:dyDescent="0.2">
      <c r="B1099" s="3"/>
      <c r="C1099" s="3"/>
      <c r="D1099" s="3"/>
      <c r="E1099" s="4"/>
      <c r="F1099" s="4"/>
      <c r="G1099" s="4"/>
      <c r="H1099" s="4"/>
      <c r="I1099" s="4"/>
      <c r="J1099" s="4"/>
      <c r="K1099" s="4"/>
      <c r="L1099" s="3"/>
      <c r="M1099" s="3"/>
      <c r="N1099" s="3"/>
      <c r="O1099" s="3"/>
      <c r="P1099" s="3"/>
      <c r="Q1099" s="3"/>
      <c r="R1099" s="3"/>
      <c r="S1099" s="3"/>
      <c r="T1099" s="3"/>
      <c r="U1099" s="3"/>
      <c r="V1099" s="8"/>
      <c r="W1099" s="8"/>
    </row>
    <row r="1100" spans="2:23" x14ac:dyDescent="0.2">
      <c r="B1100" s="3"/>
      <c r="C1100" s="3"/>
      <c r="D1100" s="3"/>
      <c r="E1100" s="4"/>
      <c r="F1100" s="4"/>
      <c r="G1100" s="4"/>
      <c r="H1100" s="4"/>
      <c r="I1100" s="4"/>
      <c r="J1100" s="4"/>
      <c r="K1100" s="4"/>
      <c r="L1100" s="3"/>
      <c r="M1100" s="3"/>
      <c r="N1100" s="3"/>
      <c r="O1100" s="3"/>
      <c r="P1100" s="3"/>
      <c r="Q1100" s="3"/>
      <c r="R1100" s="3"/>
      <c r="S1100" s="3"/>
      <c r="T1100" s="3"/>
      <c r="U1100" s="3"/>
      <c r="V1100" s="8"/>
      <c r="W1100" s="8"/>
    </row>
    <row r="1101" spans="2:23" x14ac:dyDescent="0.2">
      <c r="B1101" s="3"/>
      <c r="C1101" s="3"/>
      <c r="D1101" s="3"/>
      <c r="E1101" s="4"/>
      <c r="F1101" s="4"/>
      <c r="G1101" s="4"/>
      <c r="H1101" s="4"/>
      <c r="I1101" s="4"/>
      <c r="J1101" s="4"/>
      <c r="K1101" s="4"/>
      <c r="L1101" s="3"/>
      <c r="M1101" s="3"/>
      <c r="N1101" s="3"/>
      <c r="O1101" s="3"/>
      <c r="P1101" s="3"/>
      <c r="Q1101" s="3"/>
      <c r="R1101" s="3"/>
      <c r="S1101" s="3"/>
      <c r="T1101" s="3"/>
      <c r="U1101" s="3"/>
      <c r="V1101" s="8"/>
      <c r="W1101" s="8"/>
    </row>
    <row r="1102" spans="2:23" x14ac:dyDescent="0.2">
      <c r="B1102" s="3"/>
      <c r="C1102" s="3"/>
      <c r="D1102" s="3"/>
      <c r="E1102" s="4"/>
      <c r="F1102" s="4"/>
      <c r="G1102" s="4"/>
      <c r="H1102" s="4"/>
      <c r="I1102" s="4"/>
      <c r="J1102" s="4"/>
      <c r="K1102" s="4"/>
      <c r="L1102" s="3"/>
      <c r="M1102" s="3"/>
      <c r="N1102" s="3"/>
      <c r="O1102" s="3"/>
      <c r="P1102" s="3"/>
      <c r="Q1102" s="3"/>
      <c r="R1102" s="3"/>
      <c r="S1102" s="3"/>
      <c r="T1102" s="3"/>
      <c r="U1102" s="3"/>
      <c r="V1102" s="8"/>
      <c r="W1102" s="8"/>
    </row>
    <row r="1103" spans="2:23" x14ac:dyDescent="0.2">
      <c r="B1103" s="3"/>
      <c r="C1103" s="3"/>
      <c r="D1103" s="3"/>
      <c r="E1103" s="4"/>
      <c r="F1103" s="4"/>
      <c r="G1103" s="4"/>
      <c r="H1103" s="4"/>
      <c r="I1103" s="4"/>
      <c r="J1103" s="4"/>
      <c r="K1103" s="4"/>
      <c r="L1103" s="3"/>
      <c r="M1103" s="3"/>
      <c r="N1103" s="3"/>
      <c r="O1103" s="3"/>
      <c r="P1103" s="3"/>
      <c r="Q1103" s="3"/>
      <c r="R1103" s="3"/>
      <c r="S1103" s="3"/>
      <c r="T1103" s="3"/>
      <c r="U1103" s="3"/>
      <c r="V1103" s="8"/>
      <c r="W1103" s="8"/>
    </row>
    <row r="1104" spans="2:23" x14ac:dyDescent="0.2">
      <c r="B1104" s="3"/>
      <c r="C1104" s="3"/>
      <c r="D1104" s="3"/>
      <c r="E1104" s="4"/>
      <c r="F1104" s="4"/>
      <c r="G1104" s="4"/>
      <c r="H1104" s="4"/>
      <c r="I1104" s="4"/>
      <c r="J1104" s="4"/>
      <c r="K1104" s="4"/>
      <c r="L1104" s="3"/>
      <c r="M1104" s="3"/>
      <c r="N1104" s="3"/>
      <c r="O1104" s="3"/>
      <c r="P1104" s="3"/>
      <c r="Q1104" s="3"/>
      <c r="R1104" s="3"/>
      <c r="S1104" s="3"/>
      <c r="T1104" s="3"/>
      <c r="U1104" s="3"/>
      <c r="V1104" s="8"/>
      <c r="W1104" s="8"/>
    </row>
    <row r="1105" spans="2:23" x14ac:dyDescent="0.2">
      <c r="B1105" s="3"/>
      <c r="C1105" s="3"/>
      <c r="D1105" s="3"/>
      <c r="E1105" s="4"/>
      <c r="F1105" s="4"/>
      <c r="G1105" s="4"/>
      <c r="H1105" s="4"/>
      <c r="I1105" s="4"/>
      <c r="J1105" s="4"/>
      <c r="K1105" s="4"/>
      <c r="L1105" s="3"/>
      <c r="M1105" s="3"/>
      <c r="N1105" s="3"/>
      <c r="O1105" s="3"/>
      <c r="P1105" s="3"/>
      <c r="Q1105" s="3"/>
      <c r="R1105" s="3"/>
      <c r="S1105" s="3"/>
      <c r="T1105" s="3"/>
      <c r="U1105" s="3"/>
      <c r="V1105" s="8"/>
      <c r="W1105" s="8"/>
    </row>
    <row r="1106" spans="2:23" x14ac:dyDescent="0.2">
      <c r="B1106" s="3"/>
      <c r="C1106" s="3"/>
      <c r="D1106" s="3"/>
      <c r="E1106" s="4"/>
      <c r="F1106" s="4"/>
      <c r="G1106" s="4"/>
      <c r="H1106" s="4"/>
      <c r="I1106" s="4"/>
      <c r="J1106" s="4"/>
      <c r="K1106" s="4"/>
      <c r="L1106" s="3"/>
      <c r="M1106" s="3"/>
      <c r="N1106" s="3"/>
      <c r="O1106" s="3"/>
      <c r="P1106" s="3"/>
      <c r="Q1106" s="3"/>
      <c r="R1106" s="3"/>
      <c r="S1106" s="3"/>
      <c r="T1106" s="3"/>
      <c r="U1106" s="3"/>
      <c r="V1106" s="8"/>
      <c r="W1106" s="8"/>
    </row>
    <row r="1107" spans="2:23" x14ac:dyDescent="0.2">
      <c r="B1107" s="3"/>
      <c r="C1107" s="3"/>
      <c r="D1107" s="3"/>
      <c r="E1107" s="4"/>
      <c r="F1107" s="4"/>
      <c r="G1107" s="4"/>
      <c r="H1107" s="4"/>
      <c r="I1107" s="4"/>
      <c r="J1107" s="4"/>
      <c r="K1107" s="4"/>
      <c r="L1107" s="3"/>
      <c r="M1107" s="3"/>
      <c r="N1107" s="3"/>
      <c r="O1107" s="3"/>
      <c r="P1107" s="3"/>
      <c r="Q1107" s="3"/>
      <c r="R1107" s="3"/>
      <c r="S1107" s="3"/>
      <c r="T1107" s="3"/>
      <c r="U1107" s="3"/>
      <c r="V1107" s="8"/>
      <c r="W1107" s="8"/>
    </row>
    <row r="1108" spans="2:23" x14ac:dyDescent="0.2">
      <c r="B1108" s="3"/>
      <c r="C1108" s="3"/>
      <c r="D1108" s="3"/>
      <c r="E1108" s="4"/>
      <c r="F1108" s="4"/>
      <c r="G1108" s="4"/>
      <c r="H1108" s="4"/>
      <c r="I1108" s="4"/>
      <c r="J1108" s="4"/>
      <c r="K1108" s="4"/>
      <c r="L1108" s="3"/>
      <c r="M1108" s="3"/>
      <c r="N1108" s="3"/>
      <c r="O1108" s="3"/>
      <c r="P1108" s="3"/>
      <c r="Q1108" s="3"/>
      <c r="R1108" s="3"/>
      <c r="S1108" s="3"/>
      <c r="T1108" s="3"/>
      <c r="U1108" s="3"/>
      <c r="V1108" s="8"/>
      <c r="W1108" s="8"/>
    </row>
    <row r="1109" spans="2:23" x14ac:dyDescent="0.2">
      <c r="B1109" s="3"/>
      <c r="C1109" s="3"/>
      <c r="D1109" s="3"/>
      <c r="E1109" s="4"/>
      <c r="F1109" s="4"/>
      <c r="G1109" s="4"/>
      <c r="H1109" s="4"/>
      <c r="I1109" s="4"/>
      <c r="J1109" s="4"/>
      <c r="K1109" s="4"/>
      <c r="L1109" s="3"/>
      <c r="M1109" s="3"/>
      <c r="N1109" s="3"/>
      <c r="O1109" s="3"/>
      <c r="P1109" s="3"/>
      <c r="Q1109" s="3"/>
      <c r="R1109" s="3"/>
      <c r="S1109" s="3"/>
      <c r="T1109" s="3"/>
      <c r="U1109" s="3"/>
      <c r="V1109" s="8"/>
      <c r="W1109" s="8"/>
    </row>
    <row r="1110" spans="2:23" x14ac:dyDescent="0.2">
      <c r="B1110" s="3"/>
      <c r="C1110" s="3"/>
      <c r="D1110" s="3"/>
      <c r="E1110" s="4"/>
      <c r="F1110" s="4"/>
      <c r="G1110" s="4"/>
      <c r="H1110" s="4"/>
      <c r="I1110" s="4"/>
      <c r="J1110" s="4"/>
      <c r="K1110" s="4"/>
      <c r="L1110" s="3"/>
      <c r="M1110" s="3"/>
      <c r="N1110" s="3"/>
      <c r="O1110" s="3"/>
      <c r="P1110" s="3"/>
      <c r="Q1110" s="3"/>
      <c r="R1110" s="3"/>
      <c r="S1110" s="3"/>
      <c r="T1110" s="3"/>
      <c r="U1110" s="3"/>
      <c r="V1110" s="8"/>
      <c r="W1110" s="8"/>
    </row>
    <row r="1111" spans="2:23" x14ac:dyDescent="0.2">
      <c r="B1111" s="3"/>
      <c r="C1111" s="3"/>
      <c r="D1111" s="3"/>
      <c r="E1111" s="4"/>
      <c r="F1111" s="4"/>
      <c r="G1111" s="4"/>
      <c r="H1111" s="4"/>
      <c r="I1111" s="4"/>
      <c r="J1111" s="4"/>
      <c r="K1111" s="4"/>
      <c r="L1111" s="3"/>
      <c r="M1111" s="3"/>
      <c r="N1111" s="3"/>
      <c r="O1111" s="3"/>
      <c r="P1111" s="3"/>
      <c r="Q1111" s="3"/>
      <c r="R1111" s="3"/>
      <c r="S1111" s="3"/>
      <c r="T1111" s="3"/>
      <c r="U1111" s="3"/>
      <c r="V1111" s="8"/>
      <c r="W1111" s="8"/>
    </row>
    <row r="1112" spans="2:23" x14ac:dyDescent="0.2">
      <c r="B1112" s="3"/>
      <c r="C1112" s="3"/>
      <c r="D1112" s="3"/>
      <c r="E1112" s="4"/>
      <c r="F1112" s="4"/>
      <c r="G1112" s="4"/>
      <c r="H1112" s="4"/>
      <c r="I1112" s="4"/>
      <c r="J1112" s="4"/>
      <c r="K1112" s="4"/>
      <c r="L1112" s="3"/>
      <c r="M1112" s="3"/>
      <c r="N1112" s="3"/>
      <c r="O1112" s="3"/>
      <c r="P1112" s="3"/>
      <c r="Q1112" s="3"/>
      <c r="R1112" s="3"/>
      <c r="S1112" s="3"/>
      <c r="T1112" s="3"/>
      <c r="U1112" s="3"/>
      <c r="V1112" s="8"/>
      <c r="W1112" s="8"/>
    </row>
    <row r="1113" spans="2:23" x14ac:dyDescent="0.2">
      <c r="B1113" s="3"/>
      <c r="C1113" s="3"/>
      <c r="D1113" s="3"/>
      <c r="E1113" s="4"/>
      <c r="F1113" s="4"/>
      <c r="G1113" s="4"/>
      <c r="H1113" s="4"/>
      <c r="I1113" s="4"/>
      <c r="J1113" s="4"/>
      <c r="K1113" s="4"/>
      <c r="L1113" s="3"/>
      <c r="M1113" s="3"/>
      <c r="N1113" s="3"/>
      <c r="O1113" s="3"/>
      <c r="P1113" s="3"/>
      <c r="Q1113" s="3"/>
      <c r="R1113" s="3"/>
      <c r="S1113" s="3"/>
      <c r="T1113" s="3"/>
      <c r="U1113" s="3"/>
      <c r="V1113" s="8"/>
      <c r="W1113" s="8"/>
    </row>
    <row r="1114" spans="2:23" x14ac:dyDescent="0.2">
      <c r="B1114" s="3"/>
      <c r="C1114" s="3"/>
      <c r="D1114" s="3"/>
      <c r="E1114" s="4"/>
      <c r="F1114" s="4"/>
      <c r="G1114" s="4"/>
      <c r="H1114" s="4"/>
      <c r="I1114" s="4"/>
      <c r="J1114" s="4"/>
      <c r="K1114" s="4"/>
      <c r="L1114" s="3"/>
      <c r="M1114" s="3"/>
      <c r="N1114" s="3"/>
      <c r="O1114" s="3"/>
      <c r="P1114" s="3"/>
      <c r="Q1114" s="3"/>
      <c r="R1114" s="3"/>
      <c r="S1114" s="3"/>
      <c r="T1114" s="3"/>
      <c r="U1114" s="3"/>
      <c r="V1114" s="8"/>
      <c r="W1114" s="8"/>
    </row>
    <row r="1115" spans="2:23" x14ac:dyDescent="0.2">
      <c r="B1115" s="3"/>
      <c r="C1115" s="3"/>
      <c r="D1115" s="3"/>
      <c r="E1115" s="4"/>
      <c r="F1115" s="4"/>
      <c r="G1115" s="4"/>
      <c r="H1115" s="4"/>
      <c r="I1115" s="4"/>
      <c r="J1115" s="4"/>
      <c r="K1115" s="4"/>
      <c r="L1115" s="3"/>
      <c r="M1115" s="3"/>
      <c r="N1115" s="3"/>
      <c r="O1115" s="3"/>
      <c r="P1115" s="3"/>
      <c r="Q1115" s="3"/>
      <c r="R1115" s="3"/>
      <c r="S1115" s="3"/>
      <c r="T1115" s="3"/>
      <c r="U1115" s="3"/>
      <c r="V1115" s="8"/>
      <c r="W1115" s="8"/>
    </row>
    <row r="1116" spans="2:23" x14ac:dyDescent="0.2">
      <c r="B1116" s="3"/>
      <c r="C1116" s="3"/>
      <c r="D1116" s="3"/>
      <c r="E1116" s="4"/>
      <c r="F1116" s="4"/>
      <c r="G1116" s="4"/>
      <c r="H1116" s="4"/>
      <c r="I1116" s="4"/>
      <c r="J1116" s="4"/>
      <c r="K1116" s="4"/>
      <c r="L1116" s="3"/>
      <c r="M1116" s="3"/>
      <c r="N1116" s="3"/>
      <c r="O1116" s="3"/>
      <c r="P1116" s="3"/>
      <c r="Q1116" s="3"/>
      <c r="R1116" s="3"/>
      <c r="S1116" s="3"/>
      <c r="T1116" s="3"/>
      <c r="U1116" s="3"/>
      <c r="V1116" s="8"/>
      <c r="W1116" s="8"/>
    </row>
    <row r="1117" spans="2:23" x14ac:dyDescent="0.2">
      <c r="B1117" s="3"/>
      <c r="C1117" s="3"/>
      <c r="D1117" s="3"/>
      <c r="E1117" s="4"/>
      <c r="F1117" s="4"/>
      <c r="G1117" s="4"/>
      <c r="H1117" s="4"/>
      <c r="I1117" s="4"/>
      <c r="J1117" s="4"/>
      <c r="K1117" s="4"/>
      <c r="L1117" s="3"/>
      <c r="M1117" s="3"/>
      <c r="N1117" s="3"/>
      <c r="O1117" s="3"/>
      <c r="P1117" s="3"/>
      <c r="Q1117" s="3"/>
      <c r="R1117" s="3"/>
      <c r="S1117" s="3"/>
      <c r="T1117" s="3"/>
      <c r="U1117" s="3"/>
      <c r="V1117" s="8"/>
      <c r="W1117" s="8"/>
    </row>
    <row r="1118" spans="2:23" x14ac:dyDescent="0.2">
      <c r="B1118" s="3"/>
      <c r="C1118" s="3"/>
      <c r="D1118" s="3"/>
      <c r="E1118" s="4"/>
      <c r="F1118" s="4"/>
      <c r="G1118" s="4"/>
      <c r="H1118" s="4"/>
      <c r="I1118" s="4"/>
      <c r="J1118" s="4"/>
      <c r="K1118" s="4"/>
      <c r="L1118" s="3"/>
      <c r="M1118" s="3"/>
      <c r="N1118" s="3"/>
      <c r="O1118" s="3"/>
      <c r="P1118" s="3"/>
      <c r="Q1118" s="3"/>
      <c r="R1118" s="3"/>
      <c r="S1118" s="3"/>
      <c r="T1118" s="3"/>
      <c r="U1118" s="3"/>
      <c r="V1118" s="8"/>
      <c r="W1118" s="8"/>
    </row>
    <row r="1119" spans="2:23" x14ac:dyDescent="0.2">
      <c r="E1119" s="1"/>
      <c r="F1119" s="1"/>
      <c r="H1119" s="1"/>
      <c r="I1119" s="1"/>
      <c r="J1119" s="1"/>
      <c r="K1119" s="1"/>
    </row>
    <row r="1120" spans="2:23" x14ac:dyDescent="0.2">
      <c r="E1120" s="1"/>
      <c r="F1120" s="1"/>
      <c r="H1120" s="1"/>
      <c r="I1120" s="1"/>
      <c r="J1120" s="1"/>
      <c r="K1120" s="1"/>
    </row>
    <row r="1121" spans="5:11" x14ac:dyDescent="0.2">
      <c r="E1121" s="1"/>
      <c r="F1121" s="1"/>
      <c r="H1121" s="1"/>
      <c r="I1121" s="1"/>
      <c r="J1121" s="1"/>
      <c r="K1121" s="1"/>
    </row>
    <row r="1122" spans="5:11" x14ac:dyDescent="0.2">
      <c r="E1122" s="1"/>
      <c r="F1122" s="1"/>
      <c r="H1122" s="1"/>
      <c r="I1122" s="1"/>
      <c r="J1122" s="1"/>
      <c r="K1122" s="1"/>
    </row>
    <row r="1123" spans="5:11" x14ac:dyDescent="0.2">
      <c r="E1123" s="1"/>
      <c r="F1123" s="1"/>
      <c r="H1123" s="1"/>
      <c r="I1123" s="1"/>
      <c r="J1123" s="1"/>
      <c r="K1123" s="1"/>
    </row>
    <row r="1124" spans="5:11" x14ac:dyDescent="0.2">
      <c r="E1124" s="1"/>
      <c r="F1124" s="1"/>
      <c r="H1124" s="1"/>
      <c r="I1124" s="1"/>
      <c r="J1124" s="1"/>
      <c r="K1124" s="1"/>
    </row>
    <row r="1125" spans="5:11" x14ac:dyDescent="0.2">
      <c r="E1125" s="1"/>
      <c r="F1125" s="1"/>
      <c r="H1125" s="1"/>
      <c r="I1125" s="1"/>
      <c r="J1125" s="1"/>
      <c r="K1125" s="1"/>
    </row>
    <row r="1126" spans="5:11" x14ac:dyDescent="0.2">
      <c r="E1126" s="1"/>
      <c r="F1126" s="1"/>
      <c r="H1126" s="1"/>
      <c r="I1126" s="1"/>
      <c r="J1126" s="1"/>
      <c r="K1126" s="1"/>
    </row>
    <row r="1127" spans="5:11" x14ac:dyDescent="0.2">
      <c r="E1127" s="1"/>
      <c r="F1127" s="1"/>
      <c r="H1127" s="1"/>
      <c r="I1127" s="1"/>
      <c r="J1127" s="1"/>
      <c r="K1127" s="1"/>
    </row>
    <row r="1128" spans="5:11" x14ac:dyDescent="0.2">
      <c r="E1128" s="1"/>
      <c r="F1128" s="1"/>
      <c r="H1128" s="1"/>
      <c r="I1128" s="1"/>
      <c r="J1128" s="1"/>
      <c r="K1128" s="1"/>
    </row>
    <row r="1129" spans="5:11" x14ac:dyDescent="0.2">
      <c r="E1129" s="1"/>
      <c r="F1129" s="1"/>
      <c r="H1129" s="1"/>
      <c r="I1129" s="1"/>
      <c r="J1129" s="1"/>
      <c r="K1129" s="1"/>
    </row>
    <row r="1130" spans="5:11" x14ac:dyDescent="0.2">
      <c r="E1130" s="1"/>
      <c r="F1130" s="1"/>
      <c r="H1130" s="1"/>
      <c r="I1130" s="1"/>
      <c r="J1130" s="1"/>
      <c r="K1130" s="1"/>
    </row>
    <row r="1131" spans="5:11" x14ac:dyDescent="0.2">
      <c r="E1131" s="1"/>
      <c r="F1131" s="1"/>
      <c r="H1131" s="1"/>
      <c r="I1131" s="1"/>
      <c r="J1131" s="1"/>
      <c r="K1131" s="1"/>
    </row>
    <row r="1132" spans="5:11" x14ac:dyDescent="0.2">
      <c r="E1132" s="1"/>
      <c r="F1132" s="1"/>
      <c r="H1132" s="1"/>
      <c r="I1132" s="1"/>
      <c r="J1132" s="1"/>
      <c r="K1132" s="1"/>
    </row>
    <row r="1133" spans="5:11" x14ac:dyDescent="0.2">
      <c r="E1133" s="1"/>
      <c r="F1133" s="1"/>
      <c r="H1133" s="1"/>
      <c r="I1133" s="1"/>
      <c r="J1133" s="1"/>
      <c r="K1133" s="1"/>
    </row>
    <row r="1134" spans="5:11" x14ac:dyDescent="0.2">
      <c r="E1134" s="1"/>
      <c r="F1134" s="1"/>
      <c r="H1134" s="1"/>
      <c r="I1134" s="1"/>
      <c r="J1134" s="1"/>
      <c r="K1134" s="1"/>
    </row>
    <row r="1135" spans="5:11" x14ac:dyDescent="0.2">
      <c r="E1135" s="1"/>
      <c r="F1135" s="1"/>
      <c r="H1135" s="1"/>
      <c r="I1135" s="1"/>
      <c r="J1135" s="1"/>
      <c r="K1135" s="1"/>
    </row>
    <row r="1136" spans="5:11" x14ac:dyDescent="0.2">
      <c r="E1136" s="1"/>
      <c r="F1136" s="1"/>
      <c r="H1136" s="1"/>
      <c r="I1136" s="1"/>
      <c r="J1136" s="1"/>
      <c r="K1136" s="1"/>
    </row>
    <row r="1137" spans="5:11" x14ac:dyDescent="0.2">
      <c r="E1137" s="1"/>
      <c r="F1137" s="1"/>
      <c r="H1137" s="1"/>
      <c r="I1137" s="1"/>
      <c r="J1137" s="1"/>
      <c r="K1137" s="1"/>
    </row>
    <row r="1138" spans="5:11" x14ac:dyDescent="0.2">
      <c r="E1138" s="1"/>
      <c r="F1138" s="1"/>
      <c r="H1138" s="1"/>
      <c r="I1138" s="1"/>
      <c r="J1138" s="1"/>
      <c r="K1138" s="1"/>
    </row>
    <row r="1139" spans="5:11" x14ac:dyDescent="0.2">
      <c r="E1139" s="1"/>
      <c r="F1139" s="1"/>
      <c r="H1139" s="1"/>
      <c r="I1139" s="1"/>
      <c r="J1139" s="1"/>
      <c r="K1139" s="1"/>
    </row>
    <row r="1140" spans="5:11" x14ac:dyDescent="0.2">
      <c r="E1140" s="1"/>
      <c r="F1140" s="1"/>
      <c r="H1140" s="1"/>
      <c r="I1140" s="1"/>
      <c r="J1140" s="1"/>
      <c r="K1140" s="1"/>
    </row>
    <row r="1141" spans="5:11" x14ac:dyDescent="0.2">
      <c r="E1141" s="1"/>
      <c r="F1141" s="1"/>
      <c r="H1141" s="1"/>
      <c r="I1141" s="1"/>
      <c r="J1141" s="1"/>
      <c r="K1141" s="1"/>
    </row>
    <row r="1142" spans="5:11" x14ac:dyDescent="0.2">
      <c r="E1142" s="1"/>
      <c r="F1142" s="1"/>
      <c r="H1142" s="1"/>
      <c r="I1142" s="1"/>
      <c r="J1142" s="1"/>
      <c r="K1142" s="1"/>
    </row>
    <row r="1143" spans="5:11" x14ac:dyDescent="0.2">
      <c r="E1143" s="1"/>
      <c r="F1143" s="1"/>
      <c r="H1143" s="1"/>
      <c r="I1143" s="1"/>
      <c r="J1143" s="1"/>
      <c r="K1143" s="1"/>
    </row>
    <row r="1144" spans="5:11" x14ac:dyDescent="0.2">
      <c r="E1144" s="1"/>
      <c r="F1144" s="1"/>
      <c r="H1144" s="1"/>
      <c r="I1144" s="1"/>
      <c r="J1144" s="1"/>
      <c r="K1144" s="1"/>
    </row>
    <row r="1145" spans="5:11" x14ac:dyDescent="0.2">
      <c r="E1145" s="1"/>
      <c r="F1145" s="1"/>
      <c r="H1145" s="1"/>
      <c r="I1145" s="1"/>
      <c r="J1145" s="1"/>
      <c r="K1145" s="1"/>
    </row>
    <row r="1146" spans="5:11" x14ac:dyDescent="0.2">
      <c r="E1146" s="1"/>
      <c r="F1146" s="1"/>
      <c r="H1146" s="1"/>
      <c r="I1146" s="1"/>
      <c r="J1146" s="1"/>
      <c r="K1146" s="1"/>
    </row>
    <row r="1147" spans="5:11" x14ac:dyDescent="0.2">
      <c r="E1147" s="1"/>
      <c r="F1147" s="1"/>
      <c r="H1147" s="1"/>
      <c r="I1147" s="1"/>
      <c r="J1147" s="1"/>
      <c r="K1147" s="1"/>
    </row>
    <row r="1148" spans="5:11" x14ac:dyDescent="0.2">
      <c r="E1148" s="1"/>
      <c r="F1148" s="1"/>
      <c r="H1148" s="1"/>
      <c r="I1148" s="1"/>
      <c r="J1148" s="1"/>
      <c r="K1148" s="1"/>
    </row>
    <row r="1149" spans="5:11" x14ac:dyDescent="0.2">
      <c r="E1149" s="1"/>
      <c r="F1149" s="1"/>
      <c r="H1149" s="1"/>
      <c r="I1149" s="1"/>
      <c r="J1149" s="1"/>
      <c r="K1149" s="1"/>
    </row>
    <row r="1150" spans="5:11" x14ac:dyDescent="0.2">
      <c r="E1150" s="1"/>
      <c r="F1150" s="1"/>
      <c r="H1150" s="1"/>
      <c r="I1150" s="1"/>
      <c r="J1150" s="1"/>
      <c r="K1150" s="1"/>
    </row>
    <row r="1151" spans="5:11" x14ac:dyDescent="0.2">
      <c r="E1151" s="1"/>
      <c r="F1151" s="1"/>
      <c r="H1151" s="1"/>
      <c r="I1151" s="1"/>
      <c r="J1151" s="1"/>
      <c r="K1151" s="1"/>
    </row>
    <row r="1152" spans="5:11" x14ac:dyDescent="0.2">
      <c r="E1152" s="1"/>
      <c r="F1152" s="1"/>
      <c r="H1152" s="1"/>
      <c r="I1152" s="1"/>
      <c r="J1152" s="1"/>
      <c r="K1152" s="1"/>
    </row>
    <row r="1153" spans="5:11" x14ac:dyDescent="0.2">
      <c r="E1153" s="1"/>
      <c r="F1153" s="1"/>
      <c r="H1153" s="1"/>
      <c r="I1153" s="1"/>
      <c r="J1153" s="1"/>
      <c r="K1153" s="1"/>
    </row>
    <row r="1154" spans="5:11" x14ac:dyDescent="0.2">
      <c r="E1154" s="1"/>
      <c r="F1154" s="1"/>
      <c r="H1154" s="1"/>
      <c r="I1154" s="1"/>
      <c r="J1154" s="1"/>
      <c r="K1154" s="1"/>
    </row>
    <row r="1155" spans="5:11" x14ac:dyDescent="0.2">
      <c r="E1155" s="1"/>
      <c r="F1155" s="1"/>
      <c r="H1155" s="1"/>
      <c r="I1155" s="1"/>
      <c r="J1155" s="1"/>
      <c r="K1155" s="1"/>
    </row>
    <row r="1156" spans="5:11" x14ac:dyDescent="0.2">
      <c r="E1156" s="1"/>
      <c r="F1156" s="1"/>
      <c r="H1156" s="1"/>
      <c r="I1156" s="1"/>
      <c r="J1156" s="1"/>
      <c r="K1156" s="1"/>
    </row>
    <row r="1157" spans="5:11" x14ac:dyDescent="0.2">
      <c r="E1157" s="1"/>
      <c r="F1157" s="1"/>
      <c r="H1157" s="1"/>
      <c r="I1157" s="1"/>
      <c r="J1157" s="1"/>
      <c r="K1157" s="1"/>
    </row>
    <row r="1158" spans="5:11" x14ac:dyDescent="0.2">
      <c r="E1158" s="1"/>
      <c r="F1158" s="1"/>
      <c r="H1158" s="1"/>
      <c r="I1158" s="1"/>
      <c r="J1158" s="1"/>
      <c r="K1158" s="1"/>
    </row>
    <row r="1159" spans="5:11" x14ac:dyDescent="0.2">
      <c r="E1159" s="1"/>
      <c r="F1159" s="1"/>
      <c r="H1159" s="1"/>
      <c r="I1159" s="1"/>
      <c r="J1159" s="1"/>
      <c r="K1159" s="1"/>
    </row>
    <row r="1160" spans="5:11" x14ac:dyDescent="0.2">
      <c r="E1160" s="1"/>
      <c r="F1160" s="1"/>
      <c r="H1160" s="1"/>
      <c r="I1160" s="1"/>
      <c r="J1160" s="1"/>
      <c r="K1160" s="1"/>
    </row>
    <row r="1161" spans="5:11" x14ac:dyDescent="0.2">
      <c r="E1161" s="1"/>
      <c r="F1161" s="1"/>
      <c r="H1161" s="1"/>
      <c r="I1161" s="1"/>
      <c r="J1161" s="1"/>
      <c r="K1161" s="1"/>
    </row>
    <row r="1162" spans="5:11" x14ac:dyDescent="0.2">
      <c r="E1162" s="1"/>
      <c r="F1162" s="1"/>
      <c r="H1162" s="1"/>
      <c r="I1162" s="1"/>
      <c r="J1162" s="1"/>
      <c r="K1162" s="1"/>
    </row>
    <row r="1163" spans="5:11" x14ac:dyDescent="0.2">
      <c r="E1163" s="1"/>
      <c r="F1163" s="1"/>
      <c r="H1163" s="1"/>
      <c r="I1163" s="1"/>
      <c r="J1163" s="1"/>
      <c r="K1163" s="1"/>
    </row>
    <row r="1164" spans="5:11" x14ac:dyDescent="0.2">
      <c r="E1164" s="1"/>
      <c r="F1164" s="1"/>
      <c r="H1164" s="1"/>
      <c r="I1164" s="1"/>
      <c r="J1164" s="1"/>
      <c r="K1164" s="1"/>
    </row>
    <row r="1165" spans="5:11" x14ac:dyDescent="0.2">
      <c r="E1165" s="1"/>
      <c r="F1165" s="1"/>
      <c r="H1165" s="1"/>
      <c r="I1165" s="1"/>
      <c r="J1165" s="1"/>
      <c r="K1165" s="1"/>
    </row>
    <row r="1166" spans="5:11" x14ac:dyDescent="0.2">
      <c r="E1166" s="1"/>
      <c r="F1166" s="1"/>
      <c r="H1166" s="1"/>
      <c r="I1166" s="1"/>
      <c r="J1166" s="1"/>
      <c r="K1166" s="1"/>
    </row>
    <row r="1167" spans="5:11" x14ac:dyDescent="0.2">
      <c r="E1167" s="1"/>
      <c r="F1167" s="1"/>
      <c r="H1167" s="1"/>
      <c r="I1167" s="1"/>
      <c r="J1167" s="1"/>
      <c r="K1167" s="1"/>
    </row>
    <row r="1168" spans="5:11" x14ac:dyDescent="0.2">
      <c r="E1168" s="1"/>
      <c r="F1168" s="1"/>
      <c r="H1168" s="1"/>
      <c r="I1168" s="1"/>
      <c r="J1168" s="1"/>
      <c r="K1168" s="1"/>
    </row>
    <row r="1169" spans="5:11" x14ac:dyDescent="0.2">
      <c r="E1169" s="1"/>
      <c r="F1169" s="1"/>
      <c r="H1169" s="1"/>
      <c r="I1169" s="1"/>
      <c r="J1169" s="1"/>
      <c r="K1169" s="1"/>
    </row>
    <row r="1170" spans="5:11" x14ac:dyDescent="0.2">
      <c r="E1170" s="1"/>
      <c r="F1170" s="1"/>
      <c r="H1170" s="1"/>
      <c r="I1170" s="1"/>
      <c r="J1170" s="1"/>
      <c r="K1170" s="1"/>
    </row>
    <row r="1171" spans="5:11" x14ac:dyDescent="0.2">
      <c r="E1171" s="1"/>
      <c r="F1171" s="1"/>
      <c r="H1171" s="1"/>
      <c r="I1171" s="1"/>
      <c r="J1171" s="1"/>
      <c r="K1171" s="1"/>
    </row>
    <row r="1172" spans="5:11" x14ac:dyDescent="0.2">
      <c r="E1172" s="1"/>
      <c r="F1172" s="1"/>
      <c r="H1172" s="1"/>
      <c r="I1172" s="1"/>
      <c r="J1172" s="1"/>
      <c r="K1172" s="1"/>
    </row>
    <row r="1173" spans="5:11" x14ac:dyDescent="0.2">
      <c r="E1173" s="1"/>
      <c r="F1173" s="1"/>
      <c r="H1173" s="1"/>
      <c r="I1173" s="1"/>
      <c r="J1173" s="1"/>
      <c r="K1173" s="1"/>
    </row>
    <row r="1174" spans="5:11" x14ac:dyDescent="0.2">
      <c r="E1174" s="1"/>
      <c r="F1174" s="1"/>
      <c r="H1174" s="1"/>
      <c r="I1174" s="1"/>
      <c r="J1174" s="1"/>
      <c r="K1174" s="1"/>
    </row>
    <row r="1175" spans="5:11" x14ac:dyDescent="0.2">
      <c r="E1175" s="1"/>
      <c r="F1175" s="1"/>
      <c r="H1175" s="1"/>
      <c r="I1175" s="1"/>
      <c r="J1175" s="1"/>
      <c r="K1175" s="1"/>
    </row>
    <row r="1176" spans="5:11" x14ac:dyDescent="0.2">
      <c r="E1176" s="1"/>
      <c r="F1176" s="1"/>
      <c r="H1176" s="1"/>
      <c r="I1176" s="1"/>
      <c r="J1176" s="1"/>
      <c r="K1176" s="1"/>
    </row>
    <row r="1177" spans="5:11" x14ac:dyDescent="0.2">
      <c r="E1177" s="1"/>
      <c r="F1177" s="1"/>
      <c r="H1177" s="1"/>
      <c r="I1177" s="1"/>
      <c r="J1177" s="1"/>
      <c r="K1177" s="1"/>
    </row>
    <row r="1178" spans="5:11" x14ac:dyDescent="0.2">
      <c r="E1178" s="1"/>
      <c r="F1178" s="1"/>
      <c r="H1178" s="1"/>
      <c r="I1178" s="1"/>
      <c r="J1178" s="1"/>
      <c r="K1178" s="1"/>
    </row>
    <row r="1179" spans="5:11" x14ac:dyDescent="0.2">
      <c r="E1179" s="1"/>
      <c r="F1179" s="1"/>
      <c r="H1179" s="1"/>
      <c r="I1179" s="1"/>
      <c r="J1179" s="1"/>
      <c r="K1179" s="1"/>
    </row>
    <row r="1180" spans="5:11" x14ac:dyDescent="0.2">
      <c r="E1180" s="1"/>
      <c r="F1180" s="1"/>
      <c r="H1180" s="1"/>
      <c r="I1180" s="1"/>
      <c r="J1180" s="1"/>
      <c r="K1180" s="1"/>
    </row>
    <row r="1181" spans="5:11" x14ac:dyDescent="0.2">
      <c r="E1181" s="1"/>
      <c r="F1181" s="1"/>
      <c r="H1181" s="1"/>
      <c r="I1181" s="1"/>
      <c r="J1181" s="1"/>
      <c r="K1181" s="1"/>
    </row>
    <row r="1182" spans="5:11" x14ac:dyDescent="0.2">
      <c r="E1182" s="1"/>
      <c r="F1182" s="1"/>
      <c r="H1182" s="1"/>
      <c r="I1182" s="1"/>
      <c r="J1182" s="1"/>
      <c r="K1182" s="1"/>
    </row>
    <row r="1183" spans="5:11" x14ac:dyDescent="0.2">
      <c r="E1183" s="1"/>
      <c r="F1183" s="1"/>
      <c r="H1183" s="1"/>
      <c r="I1183" s="1"/>
      <c r="J1183" s="1"/>
      <c r="K1183" s="1"/>
    </row>
    <row r="1184" spans="5:11" x14ac:dyDescent="0.2">
      <c r="E1184" s="1"/>
      <c r="F1184" s="1"/>
      <c r="H1184" s="1"/>
      <c r="I1184" s="1"/>
      <c r="J1184" s="1"/>
      <c r="K1184" s="1"/>
    </row>
    <row r="1185" spans="5:11" x14ac:dyDescent="0.2">
      <c r="E1185" s="1"/>
      <c r="F1185" s="1"/>
      <c r="H1185" s="1"/>
      <c r="I1185" s="1"/>
      <c r="J1185" s="1"/>
      <c r="K1185" s="1"/>
    </row>
    <row r="1186" spans="5:11" x14ac:dyDescent="0.2">
      <c r="E1186" s="1"/>
      <c r="F1186" s="1"/>
      <c r="H1186" s="1"/>
      <c r="I1186" s="1"/>
      <c r="J1186" s="1"/>
      <c r="K1186" s="1"/>
    </row>
    <row r="1187" spans="5:11" x14ac:dyDescent="0.2">
      <c r="E1187" s="1"/>
      <c r="F1187" s="1"/>
      <c r="H1187" s="1"/>
      <c r="I1187" s="1"/>
      <c r="J1187" s="1"/>
      <c r="K1187" s="1"/>
    </row>
    <row r="1188" spans="5:11" x14ac:dyDescent="0.2">
      <c r="E1188" s="1"/>
      <c r="F1188" s="1"/>
      <c r="H1188" s="1"/>
      <c r="I1188" s="1"/>
      <c r="J1188" s="1"/>
      <c r="K1188" s="1"/>
    </row>
    <row r="1189" spans="5:11" x14ac:dyDescent="0.2">
      <c r="E1189" s="1"/>
      <c r="F1189" s="1"/>
      <c r="H1189" s="1"/>
      <c r="I1189" s="1"/>
      <c r="J1189" s="1"/>
      <c r="K1189" s="1"/>
    </row>
    <row r="1190" spans="5:11" x14ac:dyDescent="0.2">
      <c r="E1190" s="1"/>
      <c r="F1190" s="1"/>
      <c r="H1190" s="1"/>
      <c r="I1190" s="1"/>
      <c r="J1190" s="1"/>
      <c r="K1190" s="1"/>
    </row>
    <row r="1191" spans="5:11" x14ac:dyDescent="0.2">
      <c r="E1191" s="1"/>
      <c r="F1191" s="1"/>
      <c r="H1191" s="1"/>
      <c r="I1191" s="1"/>
      <c r="J1191" s="1"/>
      <c r="K1191" s="1"/>
    </row>
    <row r="1192" spans="5:11" x14ac:dyDescent="0.2">
      <c r="E1192" s="1"/>
      <c r="F1192" s="1"/>
      <c r="H1192" s="1"/>
      <c r="I1192" s="1"/>
      <c r="J1192" s="1"/>
      <c r="K1192" s="1"/>
    </row>
    <row r="1193" spans="5:11" x14ac:dyDescent="0.2">
      <c r="E1193" s="1"/>
      <c r="F1193" s="1"/>
      <c r="H1193" s="1"/>
      <c r="I1193" s="1"/>
      <c r="J1193" s="1"/>
      <c r="K1193" s="1"/>
    </row>
    <row r="1194" spans="5:11" x14ac:dyDescent="0.2">
      <c r="E1194" s="1"/>
      <c r="F1194" s="1"/>
      <c r="H1194" s="1"/>
      <c r="I1194" s="1"/>
      <c r="J1194" s="1"/>
      <c r="K1194" s="1"/>
    </row>
    <row r="1195" spans="5:11" x14ac:dyDescent="0.2">
      <c r="E1195" s="1"/>
      <c r="F1195" s="1"/>
      <c r="H1195" s="1"/>
      <c r="I1195" s="1"/>
      <c r="J1195" s="1"/>
      <c r="K1195" s="1"/>
    </row>
    <row r="1196" spans="5:11" x14ac:dyDescent="0.2">
      <c r="E1196" s="1"/>
      <c r="F1196" s="1"/>
      <c r="H1196" s="1"/>
      <c r="I1196" s="1"/>
      <c r="J1196" s="1"/>
      <c r="K1196" s="1"/>
    </row>
    <row r="1197" spans="5:11" x14ac:dyDescent="0.2">
      <c r="E1197" s="1"/>
      <c r="F1197" s="1"/>
      <c r="H1197" s="1"/>
      <c r="I1197" s="1"/>
      <c r="J1197" s="1"/>
      <c r="K1197" s="1"/>
    </row>
    <row r="1198" spans="5:11" x14ac:dyDescent="0.2">
      <c r="E1198" s="1"/>
      <c r="F1198" s="1"/>
      <c r="H1198" s="1"/>
      <c r="I1198" s="1"/>
      <c r="J1198" s="1"/>
      <c r="K1198" s="1"/>
    </row>
    <row r="1199" spans="5:11" x14ac:dyDescent="0.2">
      <c r="E1199" s="1"/>
      <c r="F1199" s="1"/>
      <c r="H1199" s="1"/>
      <c r="I1199" s="1"/>
      <c r="J1199" s="1"/>
      <c r="K1199" s="1"/>
    </row>
    <row r="1200" spans="5:11" x14ac:dyDescent="0.2">
      <c r="E1200" s="1"/>
      <c r="F1200" s="1"/>
      <c r="H1200" s="1"/>
      <c r="I1200" s="1"/>
      <c r="J1200" s="1"/>
      <c r="K1200" s="1"/>
    </row>
    <row r="1201" spans="5:11" x14ac:dyDescent="0.2">
      <c r="E1201" s="1"/>
      <c r="F1201" s="1"/>
      <c r="H1201" s="1"/>
      <c r="I1201" s="1"/>
      <c r="J1201" s="1"/>
      <c r="K1201" s="1"/>
    </row>
    <row r="1202" spans="5:11" x14ac:dyDescent="0.2">
      <c r="E1202" s="1"/>
      <c r="F1202" s="1"/>
      <c r="H1202" s="1"/>
      <c r="I1202" s="1"/>
      <c r="J1202" s="1"/>
      <c r="K1202" s="1"/>
    </row>
    <row r="1203" spans="5:11" x14ac:dyDescent="0.2">
      <c r="E1203" s="1"/>
      <c r="F1203" s="1"/>
      <c r="H1203" s="1"/>
      <c r="I1203" s="1"/>
      <c r="J1203" s="1"/>
      <c r="K1203" s="1"/>
    </row>
    <row r="1204" spans="5:11" x14ac:dyDescent="0.2">
      <c r="E1204" s="1"/>
      <c r="F1204" s="1"/>
      <c r="H1204" s="1"/>
      <c r="I1204" s="1"/>
      <c r="J1204" s="1"/>
      <c r="K1204" s="1"/>
    </row>
    <row r="1205" spans="5:11" x14ac:dyDescent="0.2">
      <c r="E1205" s="1"/>
      <c r="F1205" s="1"/>
      <c r="H1205" s="1"/>
      <c r="I1205" s="1"/>
      <c r="J1205" s="1"/>
      <c r="K1205" s="1"/>
    </row>
    <row r="1206" spans="5:11" x14ac:dyDescent="0.2">
      <c r="E1206" s="1"/>
      <c r="F1206" s="1"/>
      <c r="H1206" s="1"/>
      <c r="I1206" s="1"/>
      <c r="J1206" s="1"/>
      <c r="K1206" s="1"/>
    </row>
    <row r="1207" spans="5:11" x14ac:dyDescent="0.2">
      <c r="E1207" s="1"/>
      <c r="F1207" s="1"/>
      <c r="H1207" s="1"/>
      <c r="I1207" s="1"/>
      <c r="J1207" s="1"/>
      <c r="K1207" s="1"/>
    </row>
    <row r="1208" spans="5:11" x14ac:dyDescent="0.2">
      <c r="E1208" s="1"/>
      <c r="F1208" s="1"/>
      <c r="H1208" s="1"/>
      <c r="I1208" s="1"/>
      <c r="J1208" s="1"/>
      <c r="K1208" s="1"/>
    </row>
    <row r="1209" spans="5:11" x14ac:dyDescent="0.2">
      <c r="E1209" s="1"/>
      <c r="F1209" s="1"/>
      <c r="H1209" s="1"/>
      <c r="I1209" s="1"/>
      <c r="J1209" s="1"/>
      <c r="K1209" s="1"/>
    </row>
    <row r="1210" spans="5:11" x14ac:dyDescent="0.2">
      <c r="E1210" s="1"/>
      <c r="F1210" s="1"/>
      <c r="H1210" s="1"/>
      <c r="I1210" s="1"/>
      <c r="J1210" s="1"/>
      <c r="K1210" s="1"/>
    </row>
    <row r="1211" spans="5:11" x14ac:dyDescent="0.2">
      <c r="E1211" s="1"/>
      <c r="F1211" s="1"/>
      <c r="H1211" s="1"/>
      <c r="I1211" s="1"/>
      <c r="J1211" s="1"/>
      <c r="K1211" s="1"/>
    </row>
    <row r="1212" spans="5:11" x14ac:dyDescent="0.2">
      <c r="E1212" s="1"/>
      <c r="F1212" s="1"/>
      <c r="H1212" s="1"/>
      <c r="I1212" s="1"/>
      <c r="J1212" s="1"/>
      <c r="K1212" s="1"/>
    </row>
    <row r="1213" spans="5:11" x14ac:dyDescent="0.2">
      <c r="E1213" s="1"/>
      <c r="F1213" s="1"/>
      <c r="H1213" s="1"/>
      <c r="I1213" s="1"/>
      <c r="J1213" s="1"/>
      <c r="K1213" s="1"/>
    </row>
    <row r="1214" spans="5:11" x14ac:dyDescent="0.2">
      <c r="E1214" s="1"/>
      <c r="F1214" s="1"/>
      <c r="H1214" s="1"/>
      <c r="I1214" s="1"/>
      <c r="J1214" s="1"/>
      <c r="K1214" s="1"/>
    </row>
    <row r="1215" spans="5:11" x14ac:dyDescent="0.2">
      <c r="E1215" s="1"/>
      <c r="F1215" s="1"/>
      <c r="H1215" s="1"/>
      <c r="I1215" s="1"/>
      <c r="J1215" s="1"/>
      <c r="K1215" s="1"/>
    </row>
    <row r="1216" spans="5:11" x14ac:dyDescent="0.2">
      <c r="E1216" s="1"/>
      <c r="F1216" s="1"/>
      <c r="H1216" s="1"/>
      <c r="I1216" s="1"/>
      <c r="J1216" s="1"/>
      <c r="K1216" s="1"/>
    </row>
    <row r="1217" spans="5:11" x14ac:dyDescent="0.2">
      <c r="E1217" s="1"/>
      <c r="F1217" s="1"/>
      <c r="H1217" s="1"/>
      <c r="I1217" s="1"/>
      <c r="J1217" s="1"/>
      <c r="K1217" s="1"/>
    </row>
    <row r="1218" spans="5:11" x14ac:dyDescent="0.2">
      <c r="E1218" s="1"/>
      <c r="F1218" s="1"/>
      <c r="H1218" s="1"/>
      <c r="I1218" s="1"/>
      <c r="J1218" s="1"/>
      <c r="K1218" s="1"/>
    </row>
    <row r="1219" spans="5:11" x14ac:dyDescent="0.2">
      <c r="E1219" s="1"/>
      <c r="F1219" s="1"/>
      <c r="H1219" s="1"/>
      <c r="I1219" s="1"/>
      <c r="J1219" s="1"/>
      <c r="K1219" s="1"/>
    </row>
    <row r="1220" spans="5:11" x14ac:dyDescent="0.2">
      <c r="E1220" s="1"/>
      <c r="F1220" s="1"/>
      <c r="H1220" s="1"/>
      <c r="I1220" s="1"/>
      <c r="J1220" s="1"/>
      <c r="K1220" s="1"/>
    </row>
    <row r="1221" spans="5:11" x14ac:dyDescent="0.2">
      <c r="E1221" s="1"/>
      <c r="F1221" s="1"/>
      <c r="H1221" s="1"/>
      <c r="I1221" s="1"/>
      <c r="J1221" s="1"/>
      <c r="K1221" s="1"/>
    </row>
    <row r="1222" spans="5:11" x14ac:dyDescent="0.2">
      <c r="E1222" s="1"/>
      <c r="F1222" s="1"/>
      <c r="H1222" s="1"/>
      <c r="I1222" s="1"/>
      <c r="J1222" s="1"/>
      <c r="K1222" s="1"/>
    </row>
    <row r="1223" spans="5:11" x14ac:dyDescent="0.2">
      <c r="E1223" s="1"/>
      <c r="F1223" s="1"/>
      <c r="H1223" s="1"/>
      <c r="I1223" s="1"/>
      <c r="J1223" s="1"/>
      <c r="K1223" s="1"/>
    </row>
    <row r="1224" spans="5:11" x14ac:dyDescent="0.2">
      <c r="E1224" s="1"/>
      <c r="F1224" s="1"/>
      <c r="H1224" s="1"/>
      <c r="I1224" s="1"/>
      <c r="J1224" s="1"/>
      <c r="K1224" s="1"/>
    </row>
    <row r="1225" spans="5:11" x14ac:dyDescent="0.2">
      <c r="E1225" s="1"/>
      <c r="F1225" s="1"/>
      <c r="H1225" s="1"/>
      <c r="I1225" s="1"/>
      <c r="J1225" s="1"/>
      <c r="K1225" s="1"/>
    </row>
    <row r="1226" spans="5:11" x14ac:dyDescent="0.2">
      <c r="E1226" s="1"/>
      <c r="F1226" s="1"/>
      <c r="H1226" s="1"/>
      <c r="I1226" s="1"/>
      <c r="J1226" s="1"/>
      <c r="K1226" s="1"/>
    </row>
    <row r="1227" spans="5:11" x14ac:dyDescent="0.2">
      <c r="E1227" s="1"/>
      <c r="F1227" s="1"/>
      <c r="H1227" s="1"/>
      <c r="I1227" s="1"/>
      <c r="J1227" s="1"/>
      <c r="K1227" s="1"/>
    </row>
    <row r="1228" spans="5:11" x14ac:dyDescent="0.2">
      <c r="E1228" s="1"/>
      <c r="F1228" s="1"/>
      <c r="H1228" s="1"/>
      <c r="I1228" s="1"/>
      <c r="J1228" s="1"/>
      <c r="K1228" s="1"/>
    </row>
    <row r="1229" spans="5:11" x14ac:dyDescent="0.2">
      <c r="E1229" s="1"/>
      <c r="F1229" s="1"/>
      <c r="H1229" s="1"/>
      <c r="I1229" s="1"/>
      <c r="J1229" s="1"/>
      <c r="K1229" s="1"/>
    </row>
    <row r="1230" spans="5:11" x14ac:dyDescent="0.2">
      <c r="E1230" s="1"/>
      <c r="F1230" s="1"/>
      <c r="H1230" s="1"/>
      <c r="I1230" s="1"/>
      <c r="J1230" s="1"/>
      <c r="K1230" s="1"/>
    </row>
    <row r="1231" spans="5:11" x14ac:dyDescent="0.2">
      <c r="E1231" s="1"/>
      <c r="F1231" s="1"/>
      <c r="H1231" s="1"/>
      <c r="I1231" s="1"/>
      <c r="J1231" s="1"/>
      <c r="K1231" s="1"/>
    </row>
    <row r="1232" spans="5:11" x14ac:dyDescent="0.2">
      <c r="E1232" s="1"/>
      <c r="F1232" s="1"/>
      <c r="H1232" s="1"/>
      <c r="I1232" s="1"/>
      <c r="J1232" s="1"/>
      <c r="K1232" s="1"/>
    </row>
    <row r="1233" spans="5:11" x14ac:dyDescent="0.2">
      <c r="E1233" s="1"/>
      <c r="F1233" s="1"/>
      <c r="H1233" s="1"/>
      <c r="I1233" s="1"/>
      <c r="J1233" s="1"/>
      <c r="K1233" s="1"/>
    </row>
    <row r="1234" spans="5:11" x14ac:dyDescent="0.2">
      <c r="E1234" s="1"/>
      <c r="F1234" s="1"/>
      <c r="H1234" s="1"/>
      <c r="I1234" s="1"/>
      <c r="J1234" s="1"/>
      <c r="K1234" s="1"/>
    </row>
    <row r="1235" spans="5:11" x14ac:dyDescent="0.2">
      <c r="E1235" s="1"/>
      <c r="F1235" s="1"/>
      <c r="H1235" s="1"/>
      <c r="I1235" s="1"/>
      <c r="J1235" s="1"/>
      <c r="K1235" s="1"/>
    </row>
    <row r="1236" spans="5:11" x14ac:dyDescent="0.2">
      <c r="E1236" s="1"/>
      <c r="F1236" s="1"/>
      <c r="H1236" s="1"/>
      <c r="I1236" s="1"/>
      <c r="J1236" s="1"/>
      <c r="K1236" s="1"/>
    </row>
    <row r="1237" spans="5:11" x14ac:dyDescent="0.2">
      <c r="E1237" s="1"/>
      <c r="F1237" s="1"/>
      <c r="H1237" s="1"/>
      <c r="I1237" s="1"/>
      <c r="J1237" s="1"/>
      <c r="K1237" s="1"/>
    </row>
    <row r="1238" spans="5:11" x14ac:dyDescent="0.2">
      <c r="E1238" s="1"/>
      <c r="F1238" s="1"/>
      <c r="H1238" s="1"/>
      <c r="I1238" s="1"/>
      <c r="J1238" s="1"/>
      <c r="K1238" s="1"/>
    </row>
    <row r="1239" spans="5:11" x14ac:dyDescent="0.2">
      <c r="E1239" s="1"/>
      <c r="F1239" s="1"/>
      <c r="H1239" s="1"/>
      <c r="I1239" s="1"/>
      <c r="J1239" s="1"/>
      <c r="K1239" s="1"/>
    </row>
    <row r="1240" spans="5:11" x14ac:dyDescent="0.2">
      <c r="E1240" s="1"/>
      <c r="F1240" s="1"/>
      <c r="H1240" s="1"/>
      <c r="I1240" s="1"/>
      <c r="J1240" s="1"/>
      <c r="K1240" s="1"/>
    </row>
    <row r="1241" spans="5:11" x14ac:dyDescent="0.2">
      <c r="E1241" s="1"/>
      <c r="F1241" s="1"/>
      <c r="H1241" s="1"/>
      <c r="I1241" s="1"/>
      <c r="J1241" s="1"/>
      <c r="K1241" s="1"/>
    </row>
    <row r="1242" spans="5:11" x14ac:dyDescent="0.2">
      <c r="E1242" s="1"/>
      <c r="F1242" s="1"/>
      <c r="H1242" s="1"/>
      <c r="I1242" s="1"/>
      <c r="J1242" s="1"/>
      <c r="K1242" s="1"/>
    </row>
    <row r="1243" spans="5:11" x14ac:dyDescent="0.2">
      <c r="E1243" s="1"/>
      <c r="F1243" s="1"/>
      <c r="H1243" s="1"/>
      <c r="I1243" s="1"/>
      <c r="J1243" s="1"/>
      <c r="K1243" s="1"/>
    </row>
    <row r="1244" spans="5:11" x14ac:dyDescent="0.2">
      <c r="E1244" s="1"/>
      <c r="F1244" s="1"/>
      <c r="H1244" s="1"/>
      <c r="I1244" s="1"/>
      <c r="J1244" s="1"/>
      <c r="K1244" s="1"/>
    </row>
    <row r="1245" spans="5:11" x14ac:dyDescent="0.2">
      <c r="E1245" s="1"/>
      <c r="F1245" s="1"/>
      <c r="H1245" s="1"/>
      <c r="I1245" s="1"/>
      <c r="J1245" s="1"/>
      <c r="K1245" s="1"/>
    </row>
    <row r="1246" spans="5:11" x14ac:dyDescent="0.2">
      <c r="E1246" s="1"/>
      <c r="F1246" s="1"/>
      <c r="H1246" s="1"/>
      <c r="I1246" s="1"/>
      <c r="J1246" s="1"/>
      <c r="K1246" s="1"/>
    </row>
    <row r="1247" spans="5:11" x14ac:dyDescent="0.2">
      <c r="E1247" s="1"/>
      <c r="F1247" s="1"/>
      <c r="H1247" s="1"/>
      <c r="I1247" s="1"/>
      <c r="J1247" s="1"/>
      <c r="K1247" s="1"/>
    </row>
    <row r="1248" spans="5:11" x14ac:dyDescent="0.2">
      <c r="E1248" s="1"/>
      <c r="F1248" s="1"/>
      <c r="H1248" s="1"/>
      <c r="I1248" s="1"/>
      <c r="J1248" s="1"/>
      <c r="K1248" s="1"/>
    </row>
    <row r="1249" spans="5:11" x14ac:dyDescent="0.2">
      <c r="E1249" s="1"/>
      <c r="F1249" s="1"/>
      <c r="H1249" s="1"/>
      <c r="I1249" s="1"/>
      <c r="J1249" s="1"/>
      <c r="K1249" s="1"/>
    </row>
    <row r="1250" spans="5:11" x14ac:dyDescent="0.2">
      <c r="E1250" s="1"/>
      <c r="F1250" s="1"/>
      <c r="H1250" s="1"/>
      <c r="I1250" s="1"/>
      <c r="J1250" s="1"/>
      <c r="K1250" s="1"/>
    </row>
    <row r="1251" spans="5:11" x14ac:dyDescent="0.2">
      <c r="E1251" s="1"/>
      <c r="F1251" s="1"/>
      <c r="H1251" s="1"/>
      <c r="I1251" s="1"/>
      <c r="J1251" s="1"/>
      <c r="K1251" s="1"/>
    </row>
    <row r="1252" spans="5:11" x14ac:dyDescent="0.2">
      <c r="E1252" s="1"/>
      <c r="F1252" s="1"/>
      <c r="H1252" s="1"/>
      <c r="I1252" s="1"/>
      <c r="J1252" s="1"/>
      <c r="K1252" s="1"/>
    </row>
    <row r="1253" spans="5:11" x14ac:dyDescent="0.2">
      <c r="E1253" s="1"/>
      <c r="F1253" s="1"/>
      <c r="H1253" s="1"/>
      <c r="I1253" s="1"/>
      <c r="J1253" s="1"/>
      <c r="K1253" s="1"/>
    </row>
    <row r="1254" spans="5:11" x14ac:dyDescent="0.2">
      <c r="E1254" s="1"/>
      <c r="F1254" s="1"/>
      <c r="H1254" s="1"/>
      <c r="I1254" s="1"/>
      <c r="J1254" s="1"/>
      <c r="K1254" s="1"/>
    </row>
    <row r="1255" spans="5:11" x14ac:dyDescent="0.2">
      <c r="E1255" s="1"/>
      <c r="F1255" s="1"/>
      <c r="H1255" s="1"/>
      <c r="I1255" s="1"/>
      <c r="J1255" s="1"/>
      <c r="K1255" s="1"/>
    </row>
    <row r="1256" spans="5:11" x14ac:dyDescent="0.2">
      <c r="E1256" s="1"/>
      <c r="F1256" s="1"/>
      <c r="H1256" s="1"/>
      <c r="I1256" s="1"/>
      <c r="J1256" s="1"/>
      <c r="K1256" s="1"/>
    </row>
    <row r="1257" spans="5:11" x14ac:dyDescent="0.2">
      <c r="E1257" s="1"/>
      <c r="F1257" s="1"/>
      <c r="H1257" s="1"/>
      <c r="I1257" s="1"/>
      <c r="J1257" s="1"/>
      <c r="K1257" s="1"/>
    </row>
    <row r="1258" spans="5:11" x14ac:dyDescent="0.2">
      <c r="E1258" s="1"/>
      <c r="F1258" s="1"/>
      <c r="H1258" s="1"/>
      <c r="I1258" s="1"/>
      <c r="J1258" s="1"/>
      <c r="K1258" s="1"/>
    </row>
    <row r="1259" spans="5:11" x14ac:dyDescent="0.2">
      <c r="E1259" s="1"/>
      <c r="F1259" s="1"/>
      <c r="H1259" s="1"/>
      <c r="I1259" s="1"/>
      <c r="J1259" s="1"/>
      <c r="K1259" s="1"/>
    </row>
    <row r="1260" spans="5:11" x14ac:dyDescent="0.2">
      <c r="E1260" s="1"/>
      <c r="F1260" s="1"/>
      <c r="H1260" s="1"/>
      <c r="I1260" s="1"/>
      <c r="J1260" s="1"/>
      <c r="K1260" s="1"/>
    </row>
    <row r="1261" spans="5:11" x14ac:dyDescent="0.2">
      <c r="E1261" s="1"/>
      <c r="F1261" s="1"/>
      <c r="H1261" s="1"/>
      <c r="I1261" s="1"/>
      <c r="J1261" s="1"/>
      <c r="K1261" s="1"/>
    </row>
    <row r="1262" spans="5:11" x14ac:dyDescent="0.2">
      <c r="E1262" s="1"/>
      <c r="F1262" s="1"/>
      <c r="H1262" s="1"/>
      <c r="I1262" s="1"/>
      <c r="J1262" s="1"/>
      <c r="K1262" s="1"/>
    </row>
    <row r="1263" spans="5:11" x14ac:dyDescent="0.2">
      <c r="E1263" s="1"/>
      <c r="F1263" s="1"/>
      <c r="H1263" s="1"/>
      <c r="I1263" s="1"/>
      <c r="J1263" s="1"/>
      <c r="K1263" s="1"/>
    </row>
    <row r="1264" spans="5:11" x14ac:dyDescent="0.2">
      <c r="E1264" s="1"/>
      <c r="F1264" s="1"/>
      <c r="H1264" s="1"/>
      <c r="I1264" s="1"/>
      <c r="J1264" s="1"/>
      <c r="K1264" s="1"/>
    </row>
    <row r="1265" spans="5:11" x14ac:dyDescent="0.2">
      <c r="E1265" s="1"/>
      <c r="F1265" s="1"/>
      <c r="H1265" s="1"/>
      <c r="I1265" s="1"/>
      <c r="J1265" s="1"/>
      <c r="K1265" s="1"/>
    </row>
    <row r="1266" spans="5:11" x14ac:dyDescent="0.2">
      <c r="E1266" s="1"/>
      <c r="F1266" s="1"/>
      <c r="H1266" s="1"/>
      <c r="I1266" s="1"/>
      <c r="J1266" s="1"/>
      <c r="K1266" s="1"/>
    </row>
    <row r="1267" spans="5:11" x14ac:dyDescent="0.2">
      <c r="E1267" s="1"/>
      <c r="F1267" s="1"/>
      <c r="H1267" s="1"/>
      <c r="I1267" s="1"/>
      <c r="J1267" s="1"/>
      <c r="K1267" s="1"/>
    </row>
    <row r="1268" spans="5:11" x14ac:dyDescent="0.2">
      <c r="E1268" s="1"/>
      <c r="F1268" s="1"/>
      <c r="H1268" s="1"/>
      <c r="I1268" s="1"/>
      <c r="J1268" s="1"/>
      <c r="K1268" s="1"/>
    </row>
    <row r="1269" spans="5:11" x14ac:dyDescent="0.2">
      <c r="E1269" s="1"/>
      <c r="F1269" s="1"/>
      <c r="H1269" s="1"/>
      <c r="I1269" s="1"/>
      <c r="J1269" s="1"/>
      <c r="K1269" s="1"/>
    </row>
    <row r="1270" spans="5:11" x14ac:dyDescent="0.2">
      <c r="E1270" s="1"/>
      <c r="F1270" s="1"/>
      <c r="H1270" s="1"/>
      <c r="I1270" s="1"/>
      <c r="J1270" s="1"/>
      <c r="K1270" s="1"/>
    </row>
    <row r="1271" spans="5:11" x14ac:dyDescent="0.2">
      <c r="E1271" s="1"/>
      <c r="F1271" s="1"/>
      <c r="H1271" s="1"/>
      <c r="I1271" s="1"/>
      <c r="J1271" s="1"/>
      <c r="K1271" s="1"/>
    </row>
    <row r="1272" spans="5:11" x14ac:dyDescent="0.2">
      <c r="E1272" s="1"/>
      <c r="F1272" s="1"/>
      <c r="H1272" s="1"/>
      <c r="I1272" s="1"/>
      <c r="J1272" s="1"/>
      <c r="K1272" s="1"/>
    </row>
    <row r="1273" spans="5:11" x14ac:dyDescent="0.2">
      <c r="E1273" s="1"/>
      <c r="F1273" s="1"/>
      <c r="H1273" s="1"/>
      <c r="I1273" s="1"/>
      <c r="J1273" s="1"/>
      <c r="K1273" s="1"/>
    </row>
    <row r="1274" spans="5:11" x14ac:dyDescent="0.2">
      <c r="E1274" s="1"/>
      <c r="F1274" s="1"/>
      <c r="H1274" s="1"/>
      <c r="I1274" s="1"/>
      <c r="J1274" s="1"/>
      <c r="K1274" s="1"/>
    </row>
    <row r="1275" spans="5:11" x14ac:dyDescent="0.2">
      <c r="E1275" s="1"/>
      <c r="F1275" s="1"/>
      <c r="H1275" s="1"/>
      <c r="I1275" s="1"/>
      <c r="J1275" s="1"/>
      <c r="K1275" s="1"/>
    </row>
    <row r="1276" spans="5:11" x14ac:dyDescent="0.2">
      <c r="E1276" s="1"/>
      <c r="F1276" s="1"/>
      <c r="H1276" s="1"/>
      <c r="I1276" s="1"/>
      <c r="J1276" s="1"/>
      <c r="K1276" s="1"/>
    </row>
    <row r="1277" spans="5:11" x14ac:dyDescent="0.2">
      <c r="E1277" s="1"/>
      <c r="F1277" s="1"/>
      <c r="H1277" s="1"/>
      <c r="I1277" s="1"/>
      <c r="J1277" s="1"/>
      <c r="K1277" s="1"/>
    </row>
    <row r="1278" spans="5:11" x14ac:dyDescent="0.2">
      <c r="E1278" s="1"/>
      <c r="F1278" s="1"/>
      <c r="H1278" s="1"/>
      <c r="I1278" s="1"/>
      <c r="J1278" s="1"/>
      <c r="K1278" s="1"/>
    </row>
    <row r="1279" spans="5:11" x14ac:dyDescent="0.2">
      <c r="E1279" s="1"/>
      <c r="F1279" s="1"/>
      <c r="H1279" s="1"/>
      <c r="I1279" s="1"/>
      <c r="J1279" s="1"/>
      <c r="K1279" s="1"/>
    </row>
    <row r="1280" spans="5:11" x14ac:dyDescent="0.2">
      <c r="E1280" s="1"/>
      <c r="F1280" s="1"/>
      <c r="H1280" s="1"/>
      <c r="I1280" s="1"/>
      <c r="J1280" s="1"/>
      <c r="K1280" s="1"/>
    </row>
    <row r="1281" spans="5:11" x14ac:dyDescent="0.2">
      <c r="E1281" s="1"/>
      <c r="F1281" s="1"/>
      <c r="H1281" s="1"/>
      <c r="I1281" s="1"/>
      <c r="J1281" s="1"/>
      <c r="K1281" s="1"/>
    </row>
    <row r="1282" spans="5:11" x14ac:dyDescent="0.2">
      <c r="E1282" s="1"/>
      <c r="F1282" s="1"/>
      <c r="H1282" s="1"/>
      <c r="I1282" s="1"/>
      <c r="J1282" s="1"/>
      <c r="K1282" s="1"/>
    </row>
    <row r="1283" spans="5:11" x14ac:dyDescent="0.2">
      <c r="E1283" s="1"/>
      <c r="F1283" s="1"/>
      <c r="H1283" s="1"/>
      <c r="I1283" s="1"/>
      <c r="J1283" s="1"/>
      <c r="K1283" s="1"/>
    </row>
    <row r="1284" spans="5:11" x14ac:dyDescent="0.2">
      <c r="E1284" s="1"/>
      <c r="F1284" s="1"/>
      <c r="H1284" s="1"/>
      <c r="I1284" s="1"/>
      <c r="J1284" s="1"/>
      <c r="K1284" s="1"/>
    </row>
    <row r="1285" spans="5:11" x14ac:dyDescent="0.2">
      <c r="E1285" s="1"/>
      <c r="F1285" s="1"/>
      <c r="H1285" s="1"/>
      <c r="I1285" s="1"/>
      <c r="J1285" s="1"/>
      <c r="K1285" s="1"/>
    </row>
    <row r="1286" spans="5:11" x14ac:dyDescent="0.2">
      <c r="E1286" s="1"/>
      <c r="F1286" s="1"/>
      <c r="H1286" s="1"/>
      <c r="I1286" s="1"/>
      <c r="J1286" s="1"/>
      <c r="K1286" s="1"/>
    </row>
    <row r="1287" spans="5:11" x14ac:dyDescent="0.2">
      <c r="E1287" s="1"/>
      <c r="F1287" s="1"/>
      <c r="H1287" s="1"/>
      <c r="I1287" s="1"/>
      <c r="J1287" s="1"/>
      <c r="K1287" s="1"/>
    </row>
    <row r="1288" spans="5:11" x14ac:dyDescent="0.2">
      <c r="E1288" s="1"/>
      <c r="F1288" s="1"/>
      <c r="H1288" s="1"/>
      <c r="I1288" s="1"/>
      <c r="J1288" s="1"/>
      <c r="K1288" s="1"/>
    </row>
    <row r="1289" spans="5:11" x14ac:dyDescent="0.2">
      <c r="E1289" s="1"/>
      <c r="F1289" s="1"/>
      <c r="H1289" s="1"/>
      <c r="I1289" s="1"/>
      <c r="J1289" s="1"/>
      <c r="K1289" s="1"/>
    </row>
    <row r="1290" spans="5:11" x14ac:dyDescent="0.2">
      <c r="E1290" s="1"/>
      <c r="F1290" s="1"/>
      <c r="H1290" s="1"/>
      <c r="I1290" s="1"/>
      <c r="J1290" s="1"/>
      <c r="K1290" s="1"/>
    </row>
    <row r="1291" spans="5:11" x14ac:dyDescent="0.2">
      <c r="E1291" s="1"/>
      <c r="F1291" s="1"/>
      <c r="H1291" s="1"/>
      <c r="I1291" s="1"/>
      <c r="J1291" s="1"/>
      <c r="K1291" s="1"/>
    </row>
    <row r="1292" spans="5:11" x14ac:dyDescent="0.2">
      <c r="E1292" s="1"/>
      <c r="F1292" s="1"/>
      <c r="H1292" s="1"/>
      <c r="I1292" s="1"/>
      <c r="J1292" s="1"/>
      <c r="K1292" s="1"/>
    </row>
    <row r="1293" spans="5:11" x14ac:dyDescent="0.2">
      <c r="E1293" s="1"/>
      <c r="F1293" s="1"/>
      <c r="H1293" s="1"/>
      <c r="I1293" s="1"/>
      <c r="J1293" s="1"/>
      <c r="K1293" s="1"/>
    </row>
    <row r="1294" spans="5:11" x14ac:dyDescent="0.2">
      <c r="E1294" s="1"/>
      <c r="F1294" s="1"/>
      <c r="H1294" s="1"/>
      <c r="I1294" s="1"/>
      <c r="J1294" s="1"/>
      <c r="K1294" s="1"/>
    </row>
    <row r="1295" spans="5:11" x14ac:dyDescent="0.2">
      <c r="E1295" s="1"/>
      <c r="F1295" s="1"/>
      <c r="H1295" s="1"/>
      <c r="I1295" s="1"/>
      <c r="J1295" s="1"/>
      <c r="K1295" s="1"/>
    </row>
    <row r="1296" spans="5:11" x14ac:dyDescent="0.2">
      <c r="E1296" s="1"/>
      <c r="F1296" s="1"/>
      <c r="H1296" s="1"/>
      <c r="I1296" s="1"/>
      <c r="J1296" s="1"/>
      <c r="K1296" s="1"/>
    </row>
    <row r="1297" spans="5:11" x14ac:dyDescent="0.2">
      <c r="E1297" s="1"/>
      <c r="F1297" s="1"/>
      <c r="H1297" s="1"/>
      <c r="I1297" s="1"/>
      <c r="J1297" s="1"/>
      <c r="K1297" s="1"/>
    </row>
    <row r="1298" spans="5:11" x14ac:dyDescent="0.2">
      <c r="E1298" s="1"/>
      <c r="F1298" s="1"/>
      <c r="H1298" s="1"/>
      <c r="I1298" s="1"/>
      <c r="J1298" s="1"/>
      <c r="K1298" s="1"/>
    </row>
    <row r="1299" spans="5:11" x14ac:dyDescent="0.2">
      <c r="E1299" s="1"/>
      <c r="F1299" s="1"/>
      <c r="H1299" s="1"/>
      <c r="I1299" s="1"/>
      <c r="J1299" s="1"/>
      <c r="K1299" s="1"/>
    </row>
    <row r="1300" spans="5:11" x14ac:dyDescent="0.2">
      <c r="E1300" s="1"/>
      <c r="F1300" s="1"/>
      <c r="H1300" s="1"/>
      <c r="I1300" s="1"/>
      <c r="J1300" s="1"/>
      <c r="K1300" s="1"/>
    </row>
    <row r="1301" spans="5:11" x14ac:dyDescent="0.2">
      <c r="E1301" s="1"/>
      <c r="F1301" s="1"/>
      <c r="H1301" s="1"/>
      <c r="I1301" s="1"/>
      <c r="J1301" s="1"/>
      <c r="K1301" s="1"/>
    </row>
    <row r="1302" spans="5:11" x14ac:dyDescent="0.2">
      <c r="E1302" s="1"/>
      <c r="F1302" s="1"/>
      <c r="H1302" s="1"/>
      <c r="I1302" s="1"/>
      <c r="J1302" s="1"/>
      <c r="K1302" s="1"/>
    </row>
    <row r="1303" spans="5:11" x14ac:dyDescent="0.2">
      <c r="E1303" s="1"/>
      <c r="F1303" s="1"/>
      <c r="H1303" s="1"/>
      <c r="I1303" s="1"/>
      <c r="J1303" s="1"/>
      <c r="K1303" s="1"/>
    </row>
    <row r="1304" spans="5:11" x14ac:dyDescent="0.2">
      <c r="E1304" s="1"/>
      <c r="F1304" s="1"/>
      <c r="H1304" s="1"/>
      <c r="I1304" s="1"/>
      <c r="J1304" s="1"/>
      <c r="K1304" s="1"/>
    </row>
    <row r="1305" spans="5:11" x14ac:dyDescent="0.2">
      <c r="E1305" s="1"/>
      <c r="F1305" s="1"/>
      <c r="H1305" s="1"/>
      <c r="I1305" s="1"/>
      <c r="J1305" s="1"/>
      <c r="K1305" s="1"/>
    </row>
    <row r="1306" spans="5:11" x14ac:dyDescent="0.2">
      <c r="E1306" s="1"/>
      <c r="F1306" s="1"/>
      <c r="H1306" s="1"/>
      <c r="I1306" s="1"/>
      <c r="J1306" s="1"/>
      <c r="K1306" s="1"/>
    </row>
    <row r="1307" spans="5:11" x14ac:dyDescent="0.2">
      <c r="E1307" s="1"/>
      <c r="F1307" s="1"/>
      <c r="H1307" s="1"/>
      <c r="I1307" s="1"/>
      <c r="J1307" s="1"/>
      <c r="K1307" s="1"/>
    </row>
    <row r="1308" spans="5:11" x14ac:dyDescent="0.2">
      <c r="E1308" s="1"/>
      <c r="F1308" s="1"/>
      <c r="H1308" s="1"/>
      <c r="I1308" s="1"/>
      <c r="J1308" s="1"/>
      <c r="K1308" s="1"/>
    </row>
    <row r="1309" spans="5:11" x14ac:dyDescent="0.2">
      <c r="E1309" s="1"/>
      <c r="F1309" s="1"/>
      <c r="H1309" s="1"/>
      <c r="I1309" s="1"/>
      <c r="J1309" s="1"/>
      <c r="K1309" s="1"/>
    </row>
    <row r="1310" spans="5:11" x14ac:dyDescent="0.2">
      <c r="E1310" s="1"/>
      <c r="F1310" s="1"/>
      <c r="H1310" s="1"/>
      <c r="I1310" s="1"/>
      <c r="J1310" s="1"/>
      <c r="K1310" s="1"/>
    </row>
    <row r="1311" spans="5:11" x14ac:dyDescent="0.2">
      <c r="E1311" s="1"/>
      <c r="F1311" s="1"/>
      <c r="H1311" s="1"/>
      <c r="I1311" s="1"/>
      <c r="J1311" s="1"/>
      <c r="K1311" s="1"/>
    </row>
    <row r="1312" spans="5:11" x14ac:dyDescent="0.2">
      <c r="E1312" s="1"/>
      <c r="F1312" s="1"/>
      <c r="H1312" s="1"/>
      <c r="I1312" s="1"/>
      <c r="J1312" s="1"/>
      <c r="K1312" s="1"/>
    </row>
    <row r="1313" spans="5:11" x14ac:dyDescent="0.2">
      <c r="E1313" s="1"/>
      <c r="F1313" s="1"/>
      <c r="H1313" s="1"/>
      <c r="I1313" s="1"/>
      <c r="J1313" s="1"/>
      <c r="K1313" s="1"/>
    </row>
    <row r="1314" spans="5:11" x14ac:dyDescent="0.2">
      <c r="E1314" s="1"/>
      <c r="F1314" s="1"/>
      <c r="H1314" s="1"/>
      <c r="I1314" s="1"/>
      <c r="J1314" s="1"/>
      <c r="K1314" s="1"/>
    </row>
    <row r="1315" spans="5:11" x14ac:dyDescent="0.2">
      <c r="E1315" s="1"/>
      <c r="F1315" s="1"/>
      <c r="H1315" s="1"/>
      <c r="I1315" s="1"/>
      <c r="J1315" s="1"/>
      <c r="K1315" s="1"/>
    </row>
    <row r="1316" spans="5:11" x14ac:dyDescent="0.2">
      <c r="E1316" s="1"/>
      <c r="F1316" s="1"/>
      <c r="H1316" s="1"/>
      <c r="I1316" s="1"/>
      <c r="J1316" s="1"/>
      <c r="K1316" s="1"/>
    </row>
    <row r="1317" spans="5:11" x14ac:dyDescent="0.2">
      <c r="E1317" s="1"/>
      <c r="F1317" s="1"/>
      <c r="H1317" s="1"/>
      <c r="I1317" s="1"/>
      <c r="J1317" s="1"/>
      <c r="K1317" s="1"/>
    </row>
    <row r="1318" spans="5:11" x14ac:dyDescent="0.2">
      <c r="E1318" s="1"/>
      <c r="F1318" s="1"/>
      <c r="H1318" s="1"/>
      <c r="I1318" s="1"/>
      <c r="J1318" s="1"/>
      <c r="K1318" s="1"/>
    </row>
    <row r="1319" spans="5:11" x14ac:dyDescent="0.2">
      <c r="E1319" s="1"/>
      <c r="F1319" s="1"/>
      <c r="H1319" s="1"/>
      <c r="I1319" s="1"/>
      <c r="J1319" s="1"/>
      <c r="K1319" s="1"/>
    </row>
    <row r="1320" spans="5:11" x14ac:dyDescent="0.2">
      <c r="E1320" s="1"/>
      <c r="F1320" s="1"/>
      <c r="H1320" s="1"/>
      <c r="I1320" s="1"/>
      <c r="J1320" s="1"/>
      <c r="K1320" s="1"/>
    </row>
    <row r="1321" spans="5:11" x14ac:dyDescent="0.2">
      <c r="E1321" s="1"/>
      <c r="F1321" s="1"/>
      <c r="H1321" s="1"/>
      <c r="I1321" s="1"/>
      <c r="J1321" s="1"/>
      <c r="K1321" s="1"/>
    </row>
    <row r="1322" spans="5:11" x14ac:dyDescent="0.2">
      <c r="E1322" s="1"/>
      <c r="F1322" s="1"/>
      <c r="H1322" s="1"/>
      <c r="I1322" s="1"/>
      <c r="J1322" s="1"/>
      <c r="K1322" s="1"/>
    </row>
    <row r="1323" spans="5:11" x14ac:dyDescent="0.2">
      <c r="E1323" s="1"/>
      <c r="F1323" s="1"/>
      <c r="H1323" s="1"/>
      <c r="I1323" s="1"/>
      <c r="J1323" s="1"/>
      <c r="K1323" s="1"/>
    </row>
    <row r="1324" spans="5:11" x14ac:dyDescent="0.2">
      <c r="E1324" s="1"/>
      <c r="F1324" s="1"/>
      <c r="H1324" s="1"/>
      <c r="I1324" s="1"/>
      <c r="J1324" s="1"/>
      <c r="K1324" s="1"/>
    </row>
    <row r="1325" spans="5:11" x14ac:dyDescent="0.2">
      <c r="E1325" s="1"/>
      <c r="F1325" s="1"/>
      <c r="H1325" s="1"/>
      <c r="I1325" s="1"/>
      <c r="J1325" s="1"/>
      <c r="K1325" s="1"/>
    </row>
    <row r="1326" spans="5:11" x14ac:dyDescent="0.2">
      <c r="E1326" s="1"/>
      <c r="F1326" s="1"/>
      <c r="H1326" s="1"/>
      <c r="I1326" s="1"/>
      <c r="J1326" s="1"/>
      <c r="K1326" s="1"/>
    </row>
    <row r="1327" spans="5:11" x14ac:dyDescent="0.2">
      <c r="E1327" s="1"/>
      <c r="F1327" s="1"/>
      <c r="H1327" s="1"/>
      <c r="I1327" s="1"/>
      <c r="J1327" s="1"/>
      <c r="K1327" s="1"/>
    </row>
    <row r="1328" spans="5:11" x14ac:dyDescent="0.2">
      <c r="E1328" s="1"/>
      <c r="F1328" s="1"/>
      <c r="H1328" s="1"/>
      <c r="I1328" s="1"/>
      <c r="J1328" s="1"/>
      <c r="K1328" s="1"/>
    </row>
    <row r="1329" spans="5:11" x14ac:dyDescent="0.2">
      <c r="E1329" s="1"/>
      <c r="F1329" s="1"/>
      <c r="H1329" s="1"/>
      <c r="I1329" s="1"/>
      <c r="J1329" s="1"/>
      <c r="K1329" s="1"/>
    </row>
    <row r="1330" spans="5:11" x14ac:dyDescent="0.2">
      <c r="E1330" s="1"/>
      <c r="F1330" s="1"/>
      <c r="H1330" s="1"/>
      <c r="I1330" s="1"/>
      <c r="J1330" s="1"/>
      <c r="K1330" s="1"/>
    </row>
    <row r="1331" spans="5:11" x14ac:dyDescent="0.2">
      <c r="E1331" s="1"/>
      <c r="F1331" s="1"/>
      <c r="H1331" s="1"/>
      <c r="I1331" s="1"/>
      <c r="J1331" s="1"/>
      <c r="K1331" s="1"/>
    </row>
    <row r="1332" spans="5:11" x14ac:dyDescent="0.2">
      <c r="E1332" s="1"/>
      <c r="F1332" s="1"/>
      <c r="H1332" s="1"/>
      <c r="I1332" s="1"/>
      <c r="J1332" s="1"/>
      <c r="K1332" s="1"/>
    </row>
    <row r="1333" spans="5:11" x14ac:dyDescent="0.2">
      <c r="E1333" s="1"/>
      <c r="F1333" s="1"/>
      <c r="H1333" s="1"/>
      <c r="I1333" s="1"/>
      <c r="J1333" s="1"/>
      <c r="K1333" s="1"/>
    </row>
    <row r="1334" spans="5:11" x14ac:dyDescent="0.2">
      <c r="E1334" s="1"/>
      <c r="F1334" s="1"/>
      <c r="H1334" s="1"/>
      <c r="I1334" s="1"/>
      <c r="J1334" s="1"/>
      <c r="K1334" s="1"/>
    </row>
    <row r="1335" spans="5:11" x14ac:dyDescent="0.2">
      <c r="E1335" s="1"/>
      <c r="F1335" s="1"/>
      <c r="H1335" s="1"/>
      <c r="I1335" s="1"/>
      <c r="J1335" s="1"/>
      <c r="K1335" s="1"/>
    </row>
    <row r="1336" spans="5:11" x14ac:dyDescent="0.2">
      <c r="E1336" s="1"/>
      <c r="F1336" s="1"/>
      <c r="H1336" s="1"/>
      <c r="I1336" s="1"/>
      <c r="J1336" s="1"/>
      <c r="K1336" s="1"/>
    </row>
    <row r="1337" spans="5:11" x14ac:dyDescent="0.2">
      <c r="E1337" s="1"/>
      <c r="F1337" s="1"/>
      <c r="H1337" s="1"/>
      <c r="I1337" s="1"/>
      <c r="J1337" s="1"/>
      <c r="K1337" s="1"/>
    </row>
    <row r="1338" spans="5:11" x14ac:dyDescent="0.2">
      <c r="E1338" s="1"/>
      <c r="F1338" s="1"/>
      <c r="H1338" s="1"/>
      <c r="I1338" s="1"/>
      <c r="J1338" s="1"/>
      <c r="K1338" s="1"/>
    </row>
    <row r="1339" spans="5:11" x14ac:dyDescent="0.2">
      <c r="E1339" s="1"/>
      <c r="F1339" s="1"/>
      <c r="H1339" s="1"/>
      <c r="I1339" s="1"/>
      <c r="J1339" s="1"/>
      <c r="K1339" s="1"/>
    </row>
    <row r="1340" spans="5:11" x14ac:dyDescent="0.2">
      <c r="E1340" s="1"/>
      <c r="F1340" s="1"/>
      <c r="H1340" s="1"/>
      <c r="I1340" s="1"/>
      <c r="J1340" s="1"/>
      <c r="K1340" s="1"/>
    </row>
    <row r="1341" spans="5:11" x14ac:dyDescent="0.2">
      <c r="E1341" s="1"/>
      <c r="F1341" s="1"/>
      <c r="H1341" s="1"/>
      <c r="I1341" s="1"/>
      <c r="J1341" s="1"/>
      <c r="K1341" s="1"/>
    </row>
    <row r="1342" spans="5:11" x14ac:dyDescent="0.2">
      <c r="E1342" s="1"/>
      <c r="F1342" s="1"/>
      <c r="H1342" s="1"/>
      <c r="I1342" s="1"/>
      <c r="J1342" s="1"/>
      <c r="K1342" s="1"/>
    </row>
    <row r="1343" spans="5:11" x14ac:dyDescent="0.2">
      <c r="E1343" s="1"/>
      <c r="F1343" s="1"/>
      <c r="H1343" s="1"/>
      <c r="I1343" s="1"/>
      <c r="J1343" s="1"/>
      <c r="K1343" s="1"/>
    </row>
    <row r="1344" spans="5:11" x14ac:dyDescent="0.2">
      <c r="E1344" s="1"/>
      <c r="F1344" s="1"/>
      <c r="H1344" s="1"/>
      <c r="I1344" s="1"/>
      <c r="J1344" s="1"/>
      <c r="K1344" s="1"/>
    </row>
    <row r="1345" spans="5:11" x14ac:dyDescent="0.2">
      <c r="E1345" s="1"/>
      <c r="F1345" s="1"/>
      <c r="H1345" s="1"/>
      <c r="I1345" s="1"/>
      <c r="J1345" s="1"/>
      <c r="K1345" s="1"/>
    </row>
    <row r="1346" spans="5:11" x14ac:dyDescent="0.2">
      <c r="E1346" s="1"/>
      <c r="F1346" s="1"/>
      <c r="H1346" s="1"/>
      <c r="I1346" s="1"/>
      <c r="J1346" s="1"/>
      <c r="K1346" s="1"/>
    </row>
    <row r="1347" spans="5:11" x14ac:dyDescent="0.2">
      <c r="E1347" s="1"/>
      <c r="F1347" s="1"/>
      <c r="H1347" s="1"/>
      <c r="I1347" s="1"/>
      <c r="J1347" s="1"/>
      <c r="K1347" s="1"/>
    </row>
    <row r="1348" spans="5:11" x14ac:dyDescent="0.2">
      <c r="E1348" s="1"/>
      <c r="F1348" s="1"/>
      <c r="H1348" s="1"/>
      <c r="I1348" s="1"/>
      <c r="J1348" s="1"/>
      <c r="K1348" s="1"/>
    </row>
    <row r="1349" spans="5:11" x14ac:dyDescent="0.2">
      <c r="E1349" s="1"/>
      <c r="F1349" s="1"/>
      <c r="H1349" s="1"/>
      <c r="I1349" s="1"/>
      <c r="J1349" s="1"/>
      <c r="K1349" s="1"/>
    </row>
    <row r="1350" spans="5:11" x14ac:dyDescent="0.2">
      <c r="E1350" s="1"/>
      <c r="F1350" s="1"/>
      <c r="H1350" s="1"/>
      <c r="I1350" s="1"/>
      <c r="J1350" s="1"/>
      <c r="K1350" s="1"/>
    </row>
    <row r="1351" spans="5:11" x14ac:dyDescent="0.2">
      <c r="E1351" s="1"/>
      <c r="F1351" s="1"/>
      <c r="H1351" s="1"/>
      <c r="I1351" s="1"/>
      <c r="J1351" s="1"/>
      <c r="K1351" s="1"/>
    </row>
    <row r="1352" spans="5:11" x14ac:dyDescent="0.2">
      <c r="E1352" s="1"/>
      <c r="F1352" s="1"/>
      <c r="H1352" s="1"/>
      <c r="I1352" s="1"/>
      <c r="J1352" s="1"/>
      <c r="K1352" s="1"/>
    </row>
    <row r="1353" spans="5:11" x14ac:dyDescent="0.2">
      <c r="E1353" s="1"/>
      <c r="F1353" s="1"/>
      <c r="H1353" s="1"/>
      <c r="I1353" s="1"/>
      <c r="J1353" s="1"/>
      <c r="K1353" s="1"/>
    </row>
    <row r="1354" spans="5:11" x14ac:dyDescent="0.2">
      <c r="E1354" s="1"/>
      <c r="F1354" s="1"/>
      <c r="H1354" s="1"/>
      <c r="I1354" s="1"/>
      <c r="J1354" s="1"/>
      <c r="K1354" s="1"/>
    </row>
    <row r="1355" spans="5:11" x14ac:dyDescent="0.2">
      <c r="E1355" s="1"/>
      <c r="F1355" s="1"/>
      <c r="H1355" s="1"/>
      <c r="I1355" s="1"/>
      <c r="J1355" s="1"/>
      <c r="K1355" s="1"/>
    </row>
    <row r="1356" spans="5:11" x14ac:dyDescent="0.2">
      <c r="E1356" s="1"/>
      <c r="F1356" s="1"/>
      <c r="H1356" s="1"/>
      <c r="I1356" s="1"/>
      <c r="J1356" s="1"/>
      <c r="K1356" s="1"/>
    </row>
    <row r="1357" spans="5:11" x14ac:dyDescent="0.2">
      <c r="E1357" s="1"/>
      <c r="F1357" s="1"/>
      <c r="H1357" s="1"/>
      <c r="I1357" s="1"/>
      <c r="J1357" s="1"/>
      <c r="K1357" s="1"/>
    </row>
    <row r="1358" spans="5:11" x14ac:dyDescent="0.2">
      <c r="E1358" s="1"/>
      <c r="F1358" s="1"/>
      <c r="H1358" s="1"/>
      <c r="I1358" s="1"/>
      <c r="J1358" s="1"/>
      <c r="K1358" s="1"/>
    </row>
    <row r="1359" spans="5:11" x14ac:dyDescent="0.2">
      <c r="E1359" s="1"/>
      <c r="F1359" s="1"/>
      <c r="H1359" s="1"/>
      <c r="I1359" s="1"/>
      <c r="J1359" s="1"/>
      <c r="K1359" s="1"/>
    </row>
    <row r="1360" spans="5:11" x14ac:dyDescent="0.2">
      <c r="E1360" s="1"/>
      <c r="F1360" s="1"/>
      <c r="H1360" s="1"/>
      <c r="I1360" s="1"/>
      <c r="J1360" s="1"/>
      <c r="K1360" s="1"/>
    </row>
    <row r="1361" spans="5:11" x14ac:dyDescent="0.2">
      <c r="E1361" s="1"/>
      <c r="F1361" s="1"/>
      <c r="H1361" s="1"/>
      <c r="I1361" s="1"/>
      <c r="J1361" s="1"/>
      <c r="K1361" s="1"/>
    </row>
    <row r="1362" spans="5:11" x14ac:dyDescent="0.2">
      <c r="E1362" s="1"/>
      <c r="F1362" s="1"/>
      <c r="H1362" s="1"/>
      <c r="I1362" s="1"/>
      <c r="J1362" s="1"/>
      <c r="K1362" s="1"/>
    </row>
    <row r="1363" spans="5:11" x14ac:dyDescent="0.2">
      <c r="E1363" s="1"/>
      <c r="F1363" s="1"/>
      <c r="H1363" s="1"/>
      <c r="I1363" s="1"/>
      <c r="J1363" s="1"/>
      <c r="K1363" s="1"/>
    </row>
    <row r="1364" spans="5:11" x14ac:dyDescent="0.2">
      <c r="E1364" s="1"/>
      <c r="F1364" s="1"/>
      <c r="H1364" s="1"/>
      <c r="I1364" s="1"/>
      <c r="J1364" s="1"/>
      <c r="K1364" s="1"/>
    </row>
    <row r="1365" spans="5:11" x14ac:dyDescent="0.2">
      <c r="E1365" s="1"/>
      <c r="F1365" s="1"/>
      <c r="H1365" s="1"/>
      <c r="I1365" s="1"/>
      <c r="J1365" s="1"/>
      <c r="K1365" s="1"/>
    </row>
    <row r="1366" spans="5:11" x14ac:dyDescent="0.2">
      <c r="E1366" s="1"/>
      <c r="F1366" s="1"/>
      <c r="H1366" s="1"/>
      <c r="I1366" s="1"/>
      <c r="J1366" s="1"/>
      <c r="K1366" s="1"/>
    </row>
    <row r="1367" spans="5:11" x14ac:dyDescent="0.2">
      <c r="E1367" s="1"/>
      <c r="F1367" s="1"/>
      <c r="H1367" s="1"/>
      <c r="I1367" s="1"/>
      <c r="J1367" s="1"/>
      <c r="K1367" s="1"/>
    </row>
    <row r="1368" spans="5:11" x14ac:dyDescent="0.2">
      <c r="E1368" s="1"/>
      <c r="F1368" s="1"/>
      <c r="H1368" s="1"/>
      <c r="I1368" s="1"/>
      <c r="J1368" s="1"/>
      <c r="K1368" s="1"/>
    </row>
    <row r="1369" spans="5:11" x14ac:dyDescent="0.2">
      <c r="E1369" s="1"/>
      <c r="F1369" s="1"/>
      <c r="H1369" s="1"/>
      <c r="I1369" s="1"/>
      <c r="J1369" s="1"/>
      <c r="K1369" s="1"/>
    </row>
    <row r="1370" spans="5:11" x14ac:dyDescent="0.2">
      <c r="E1370" s="1"/>
      <c r="F1370" s="1"/>
      <c r="H1370" s="1"/>
      <c r="I1370" s="1"/>
      <c r="J1370" s="1"/>
      <c r="K1370" s="1"/>
    </row>
    <row r="1371" spans="5:11" x14ac:dyDescent="0.2">
      <c r="E1371" s="1"/>
      <c r="F1371" s="1"/>
      <c r="H1371" s="1"/>
      <c r="I1371" s="1"/>
      <c r="J1371" s="1"/>
      <c r="K1371" s="1"/>
    </row>
    <row r="1372" spans="5:11" x14ac:dyDescent="0.2">
      <c r="E1372" s="1"/>
      <c r="F1372" s="1"/>
      <c r="H1372" s="1"/>
      <c r="I1372" s="1"/>
      <c r="J1372" s="1"/>
      <c r="K1372" s="1"/>
    </row>
    <row r="1373" spans="5:11" x14ac:dyDescent="0.2">
      <c r="E1373" s="1"/>
      <c r="F1373" s="1"/>
      <c r="H1373" s="1"/>
      <c r="I1373" s="1"/>
      <c r="J1373" s="1"/>
      <c r="K1373" s="1"/>
    </row>
    <row r="1374" spans="5:11" x14ac:dyDescent="0.2">
      <c r="E1374" s="1"/>
      <c r="F1374" s="1"/>
      <c r="H1374" s="1"/>
      <c r="I1374" s="1"/>
      <c r="J1374" s="1"/>
      <c r="K1374" s="1"/>
    </row>
    <row r="1375" spans="5:11" x14ac:dyDescent="0.2">
      <c r="E1375" s="1"/>
      <c r="F1375" s="1"/>
      <c r="H1375" s="1"/>
      <c r="I1375" s="1"/>
      <c r="J1375" s="1"/>
      <c r="K1375" s="1"/>
    </row>
    <row r="1376" spans="5:11" x14ac:dyDescent="0.2">
      <c r="E1376" s="1"/>
      <c r="F1376" s="1"/>
      <c r="H1376" s="1"/>
      <c r="I1376" s="1"/>
      <c r="J1376" s="1"/>
      <c r="K1376" s="1"/>
    </row>
    <row r="1377" spans="5:11" x14ac:dyDescent="0.2">
      <c r="E1377" s="1"/>
      <c r="F1377" s="1"/>
      <c r="H1377" s="1"/>
      <c r="I1377" s="1"/>
      <c r="J1377" s="1"/>
      <c r="K1377" s="1"/>
    </row>
    <row r="1378" spans="5:11" x14ac:dyDescent="0.2">
      <c r="E1378" s="1"/>
      <c r="F1378" s="1"/>
      <c r="H1378" s="1"/>
      <c r="I1378" s="1"/>
      <c r="J1378" s="1"/>
      <c r="K1378" s="1"/>
    </row>
    <row r="1379" spans="5:11" x14ac:dyDescent="0.2">
      <c r="E1379" s="1"/>
      <c r="F1379" s="1"/>
      <c r="H1379" s="1"/>
      <c r="I1379" s="1"/>
      <c r="J1379" s="1"/>
      <c r="K1379" s="1"/>
    </row>
    <row r="1380" spans="5:11" x14ac:dyDescent="0.2">
      <c r="E1380" s="1"/>
      <c r="F1380" s="1"/>
      <c r="H1380" s="1"/>
      <c r="I1380" s="1"/>
      <c r="J1380" s="1"/>
      <c r="K1380" s="1"/>
    </row>
    <row r="1381" spans="5:11" x14ac:dyDescent="0.2">
      <c r="E1381" s="1"/>
      <c r="F1381" s="1"/>
      <c r="H1381" s="1"/>
      <c r="I1381" s="1"/>
      <c r="J1381" s="1"/>
      <c r="K1381" s="1"/>
    </row>
    <row r="1382" spans="5:11" x14ac:dyDescent="0.2">
      <c r="E1382" s="1"/>
      <c r="F1382" s="1"/>
      <c r="H1382" s="1"/>
      <c r="I1382" s="1"/>
      <c r="J1382" s="1"/>
      <c r="K1382" s="1"/>
    </row>
    <row r="1383" spans="5:11" x14ac:dyDescent="0.2">
      <c r="E1383" s="1"/>
      <c r="F1383" s="1"/>
      <c r="H1383" s="1"/>
      <c r="I1383" s="1"/>
      <c r="J1383" s="1"/>
      <c r="K1383" s="1"/>
    </row>
    <row r="1384" spans="5:11" x14ac:dyDescent="0.2">
      <c r="E1384" s="1"/>
      <c r="F1384" s="1"/>
      <c r="H1384" s="1"/>
      <c r="I1384" s="1"/>
      <c r="J1384" s="1"/>
      <c r="K1384" s="1"/>
    </row>
    <row r="1385" spans="5:11" x14ac:dyDescent="0.2">
      <c r="E1385" s="1"/>
      <c r="F1385" s="1"/>
      <c r="H1385" s="1"/>
      <c r="I1385" s="1"/>
      <c r="J1385" s="1"/>
      <c r="K1385" s="1"/>
    </row>
    <row r="1386" spans="5:11" x14ac:dyDescent="0.2">
      <c r="E1386" s="1"/>
      <c r="F1386" s="1"/>
      <c r="H1386" s="1"/>
      <c r="I1386" s="1"/>
      <c r="J1386" s="1"/>
      <c r="K1386" s="1"/>
    </row>
    <row r="1387" spans="5:11" x14ac:dyDescent="0.2">
      <c r="E1387" s="1"/>
      <c r="F1387" s="1"/>
      <c r="H1387" s="1"/>
      <c r="I1387" s="1"/>
      <c r="J1387" s="1"/>
      <c r="K1387" s="1"/>
    </row>
    <row r="1388" spans="5:11" x14ac:dyDescent="0.2">
      <c r="E1388" s="1"/>
      <c r="F1388" s="1"/>
      <c r="H1388" s="1"/>
      <c r="I1388" s="1"/>
      <c r="J1388" s="1"/>
      <c r="K1388" s="1"/>
    </row>
    <row r="1389" spans="5:11" x14ac:dyDescent="0.2">
      <c r="E1389" s="1"/>
      <c r="F1389" s="1"/>
      <c r="H1389" s="1"/>
      <c r="I1389" s="1"/>
      <c r="J1389" s="1"/>
      <c r="K1389" s="1"/>
    </row>
    <row r="1390" spans="5:11" x14ac:dyDescent="0.2">
      <c r="E1390" s="1"/>
      <c r="F1390" s="1"/>
      <c r="H1390" s="1"/>
      <c r="I1390" s="1"/>
      <c r="J1390" s="1"/>
      <c r="K1390" s="1"/>
    </row>
    <row r="1391" spans="5:11" x14ac:dyDescent="0.2">
      <c r="E1391" s="1"/>
      <c r="F1391" s="1"/>
      <c r="H1391" s="1"/>
      <c r="I1391" s="1"/>
      <c r="J1391" s="1"/>
      <c r="K1391" s="1"/>
    </row>
    <row r="1392" spans="5:11" x14ac:dyDescent="0.2">
      <c r="E1392" s="1"/>
      <c r="F1392" s="1"/>
      <c r="H1392" s="1"/>
      <c r="I1392" s="1"/>
      <c r="J1392" s="1"/>
      <c r="K1392" s="1"/>
    </row>
    <row r="1393" spans="5:11" x14ac:dyDescent="0.2">
      <c r="E1393" s="1"/>
      <c r="F1393" s="1"/>
      <c r="H1393" s="1"/>
      <c r="I1393" s="1"/>
      <c r="J1393" s="1"/>
      <c r="K1393" s="1"/>
    </row>
    <row r="1394" spans="5:11" x14ac:dyDescent="0.2">
      <c r="E1394" s="1"/>
      <c r="F1394" s="1"/>
      <c r="H1394" s="1"/>
      <c r="I1394" s="1"/>
      <c r="J1394" s="1"/>
      <c r="K1394" s="1"/>
    </row>
    <row r="1395" spans="5:11" x14ac:dyDescent="0.2">
      <c r="E1395" s="1"/>
      <c r="F1395" s="1"/>
      <c r="H1395" s="1"/>
      <c r="I1395" s="1"/>
      <c r="J1395" s="1"/>
      <c r="K1395" s="1"/>
    </row>
    <row r="1396" spans="5:11" x14ac:dyDescent="0.2">
      <c r="E1396" s="1"/>
      <c r="F1396" s="1"/>
      <c r="H1396" s="1"/>
      <c r="I1396" s="1"/>
      <c r="J1396" s="1"/>
      <c r="K1396" s="1"/>
    </row>
    <row r="1397" spans="5:11" x14ac:dyDescent="0.2">
      <c r="E1397" s="1"/>
      <c r="F1397" s="1"/>
      <c r="H1397" s="1"/>
      <c r="I1397" s="1"/>
      <c r="J1397" s="1"/>
      <c r="K1397" s="1"/>
    </row>
    <row r="1398" spans="5:11" x14ac:dyDescent="0.2">
      <c r="E1398" s="1"/>
      <c r="F1398" s="1"/>
      <c r="H1398" s="1"/>
      <c r="I1398" s="1"/>
      <c r="J1398" s="1"/>
      <c r="K1398" s="1"/>
    </row>
    <row r="1399" spans="5:11" x14ac:dyDescent="0.2">
      <c r="E1399" s="1"/>
      <c r="F1399" s="1"/>
      <c r="H1399" s="1"/>
      <c r="I1399" s="1"/>
      <c r="J1399" s="1"/>
      <c r="K1399" s="1"/>
    </row>
    <row r="1400" spans="5:11" x14ac:dyDescent="0.2">
      <c r="E1400" s="1"/>
      <c r="F1400" s="1"/>
      <c r="H1400" s="1"/>
      <c r="I1400" s="1"/>
      <c r="J1400" s="1"/>
      <c r="K1400" s="1"/>
    </row>
    <row r="1401" spans="5:11" x14ac:dyDescent="0.2">
      <c r="E1401" s="1"/>
      <c r="F1401" s="1"/>
      <c r="H1401" s="1"/>
      <c r="I1401" s="1"/>
      <c r="J1401" s="1"/>
      <c r="K1401" s="1"/>
    </row>
    <row r="1402" spans="5:11" x14ac:dyDescent="0.2">
      <c r="E1402" s="1"/>
      <c r="F1402" s="1"/>
      <c r="H1402" s="1"/>
      <c r="I1402" s="1"/>
      <c r="J1402" s="1"/>
      <c r="K1402" s="1"/>
    </row>
    <row r="1403" spans="5:11" x14ac:dyDescent="0.2">
      <c r="E1403" s="1"/>
      <c r="F1403" s="1"/>
      <c r="H1403" s="1"/>
      <c r="I1403" s="1"/>
      <c r="J1403" s="1"/>
      <c r="K1403" s="1"/>
    </row>
    <row r="1404" spans="5:11" x14ac:dyDescent="0.2">
      <c r="E1404" s="1"/>
      <c r="F1404" s="1"/>
      <c r="H1404" s="1"/>
      <c r="I1404" s="1"/>
      <c r="J1404" s="1"/>
      <c r="K1404" s="1"/>
    </row>
    <row r="1405" spans="5:11" x14ac:dyDescent="0.2">
      <c r="E1405" s="1"/>
      <c r="F1405" s="1"/>
      <c r="H1405" s="1"/>
      <c r="I1405" s="1"/>
      <c r="J1405" s="1"/>
      <c r="K1405" s="1"/>
    </row>
    <row r="1406" spans="5:11" x14ac:dyDescent="0.2">
      <c r="E1406" s="1"/>
      <c r="F1406" s="1"/>
      <c r="H1406" s="1"/>
      <c r="I1406" s="1"/>
      <c r="J1406" s="1"/>
      <c r="K1406" s="1"/>
    </row>
    <row r="1407" spans="5:11" x14ac:dyDescent="0.2">
      <c r="E1407" s="1"/>
      <c r="F1407" s="1"/>
      <c r="H1407" s="1"/>
      <c r="I1407" s="1"/>
      <c r="J1407" s="1"/>
      <c r="K1407" s="1"/>
    </row>
    <row r="1408" spans="5:11" x14ac:dyDescent="0.2">
      <c r="E1408" s="1"/>
      <c r="F1408" s="1"/>
      <c r="H1408" s="1"/>
      <c r="I1408" s="1"/>
      <c r="J1408" s="1"/>
      <c r="K1408" s="1"/>
    </row>
    <row r="1409" spans="5:11" x14ac:dyDescent="0.2">
      <c r="E1409" s="1"/>
      <c r="F1409" s="1"/>
      <c r="H1409" s="1"/>
      <c r="I1409" s="1"/>
      <c r="J1409" s="1"/>
      <c r="K1409" s="1"/>
    </row>
    <row r="1410" spans="5:11" x14ac:dyDescent="0.2">
      <c r="E1410" s="1"/>
      <c r="F1410" s="1"/>
      <c r="H1410" s="1"/>
      <c r="I1410" s="1"/>
      <c r="J1410" s="1"/>
      <c r="K1410" s="1"/>
    </row>
    <row r="1411" spans="5:11" x14ac:dyDescent="0.2">
      <c r="E1411" s="1"/>
      <c r="F1411" s="1"/>
      <c r="H1411" s="1"/>
      <c r="I1411" s="1"/>
      <c r="J1411" s="1"/>
      <c r="K1411" s="1"/>
    </row>
    <row r="1412" spans="5:11" x14ac:dyDescent="0.2">
      <c r="E1412" s="1"/>
      <c r="F1412" s="1"/>
      <c r="H1412" s="1"/>
      <c r="I1412" s="1"/>
      <c r="J1412" s="1"/>
      <c r="K1412" s="1"/>
    </row>
    <row r="1413" spans="5:11" x14ac:dyDescent="0.2">
      <c r="E1413" s="1"/>
      <c r="F1413" s="1"/>
      <c r="H1413" s="1"/>
      <c r="I1413" s="1"/>
      <c r="J1413" s="1"/>
      <c r="K1413" s="1"/>
    </row>
    <row r="1414" spans="5:11" x14ac:dyDescent="0.2">
      <c r="E1414" s="1"/>
      <c r="F1414" s="1"/>
      <c r="H1414" s="1"/>
      <c r="I1414" s="1"/>
      <c r="J1414" s="1"/>
      <c r="K1414" s="1"/>
    </row>
    <row r="1415" spans="5:11" x14ac:dyDescent="0.2">
      <c r="E1415" s="1"/>
      <c r="F1415" s="1"/>
      <c r="H1415" s="1"/>
      <c r="I1415" s="1"/>
      <c r="J1415" s="1"/>
      <c r="K1415" s="1"/>
    </row>
    <row r="1416" spans="5:11" x14ac:dyDescent="0.2">
      <c r="E1416" s="1"/>
      <c r="F1416" s="1"/>
      <c r="H1416" s="1"/>
      <c r="I1416" s="1"/>
      <c r="J1416" s="1"/>
      <c r="K1416" s="1"/>
    </row>
    <row r="1417" spans="5:11" x14ac:dyDescent="0.2">
      <c r="E1417" s="1"/>
      <c r="F1417" s="1"/>
      <c r="H1417" s="1"/>
      <c r="I1417" s="1"/>
      <c r="J1417" s="1"/>
      <c r="K1417" s="1"/>
    </row>
    <row r="1418" spans="5:11" x14ac:dyDescent="0.2">
      <c r="E1418" s="1"/>
      <c r="F1418" s="1"/>
      <c r="H1418" s="1"/>
      <c r="I1418" s="1"/>
      <c r="J1418" s="1"/>
      <c r="K1418" s="1"/>
    </row>
    <row r="1419" spans="5:11" x14ac:dyDescent="0.2">
      <c r="E1419" s="1"/>
      <c r="F1419" s="1"/>
      <c r="H1419" s="1"/>
      <c r="I1419" s="1"/>
      <c r="J1419" s="1"/>
      <c r="K1419" s="1"/>
    </row>
    <row r="1420" spans="5:11" x14ac:dyDescent="0.2">
      <c r="E1420" s="1"/>
      <c r="F1420" s="1"/>
      <c r="H1420" s="1"/>
      <c r="I1420" s="1"/>
      <c r="J1420" s="1"/>
      <c r="K1420" s="1"/>
    </row>
    <row r="1421" spans="5:11" x14ac:dyDescent="0.2">
      <c r="E1421" s="1"/>
      <c r="F1421" s="1"/>
      <c r="H1421" s="1"/>
      <c r="I1421" s="1"/>
      <c r="J1421" s="1"/>
      <c r="K1421" s="1"/>
    </row>
    <row r="1422" spans="5:11" x14ac:dyDescent="0.2">
      <c r="E1422" s="1"/>
      <c r="F1422" s="1"/>
      <c r="H1422" s="1"/>
      <c r="I1422" s="1"/>
      <c r="J1422" s="1"/>
      <c r="K1422" s="1"/>
    </row>
    <row r="1423" spans="5:11" x14ac:dyDescent="0.2">
      <c r="E1423" s="1"/>
      <c r="F1423" s="1"/>
      <c r="H1423" s="1"/>
      <c r="I1423" s="1"/>
      <c r="J1423" s="1"/>
      <c r="K1423" s="1"/>
    </row>
    <row r="1424" spans="5:11" x14ac:dyDescent="0.2">
      <c r="E1424" s="1"/>
      <c r="F1424" s="1"/>
      <c r="H1424" s="1"/>
      <c r="I1424" s="1"/>
      <c r="J1424" s="1"/>
      <c r="K1424" s="1"/>
    </row>
    <row r="1425" spans="5:11" x14ac:dyDescent="0.2">
      <c r="E1425" s="1"/>
      <c r="F1425" s="1"/>
      <c r="H1425" s="1"/>
      <c r="I1425" s="1"/>
      <c r="J1425" s="1"/>
      <c r="K1425" s="1"/>
    </row>
    <row r="1426" spans="5:11" x14ac:dyDescent="0.2">
      <c r="E1426" s="1"/>
      <c r="F1426" s="1"/>
      <c r="H1426" s="1"/>
      <c r="I1426" s="1"/>
      <c r="J1426" s="1"/>
      <c r="K1426" s="1"/>
    </row>
    <row r="1427" spans="5:11" x14ac:dyDescent="0.2">
      <c r="E1427" s="1"/>
      <c r="F1427" s="1"/>
      <c r="H1427" s="1"/>
      <c r="I1427" s="1"/>
      <c r="J1427" s="1"/>
      <c r="K1427" s="1"/>
    </row>
    <row r="1428" spans="5:11" x14ac:dyDescent="0.2">
      <c r="E1428" s="1"/>
      <c r="F1428" s="1"/>
      <c r="H1428" s="1"/>
      <c r="I1428" s="1"/>
      <c r="J1428" s="1"/>
      <c r="K1428" s="1"/>
    </row>
    <row r="1429" spans="5:11" x14ac:dyDescent="0.2">
      <c r="E1429" s="1"/>
      <c r="F1429" s="1"/>
      <c r="H1429" s="1"/>
      <c r="I1429" s="1"/>
      <c r="J1429" s="1"/>
      <c r="K1429" s="1"/>
    </row>
    <row r="1430" spans="5:11" x14ac:dyDescent="0.2">
      <c r="E1430" s="1"/>
      <c r="F1430" s="1"/>
      <c r="H1430" s="1"/>
      <c r="I1430" s="1"/>
      <c r="J1430" s="1"/>
      <c r="K1430" s="1"/>
    </row>
    <row r="1431" spans="5:11" x14ac:dyDescent="0.2">
      <c r="E1431" s="1"/>
      <c r="F1431" s="1"/>
      <c r="H1431" s="1"/>
      <c r="I1431" s="1"/>
      <c r="J1431" s="1"/>
      <c r="K1431" s="1"/>
    </row>
    <row r="1432" spans="5:11" x14ac:dyDescent="0.2">
      <c r="E1432" s="1"/>
      <c r="F1432" s="1"/>
      <c r="H1432" s="1"/>
      <c r="I1432" s="1"/>
      <c r="J1432" s="1"/>
      <c r="K1432" s="1"/>
    </row>
    <row r="1433" spans="5:11" x14ac:dyDescent="0.2">
      <c r="E1433" s="1"/>
      <c r="F1433" s="1"/>
      <c r="H1433" s="1"/>
      <c r="I1433" s="1"/>
      <c r="J1433" s="1"/>
      <c r="K1433" s="1"/>
    </row>
    <row r="1434" spans="5:11" x14ac:dyDescent="0.2">
      <c r="E1434" s="1"/>
      <c r="F1434" s="1"/>
      <c r="H1434" s="1"/>
      <c r="I1434" s="1"/>
      <c r="J1434" s="1"/>
      <c r="K1434" s="1"/>
    </row>
    <row r="1435" spans="5:11" x14ac:dyDescent="0.2">
      <c r="E1435" s="1"/>
      <c r="F1435" s="1"/>
      <c r="H1435" s="1"/>
      <c r="I1435" s="1"/>
      <c r="J1435" s="1"/>
      <c r="K1435" s="1"/>
    </row>
    <row r="1436" spans="5:11" x14ac:dyDescent="0.2">
      <c r="E1436" s="1"/>
      <c r="F1436" s="1"/>
      <c r="H1436" s="1"/>
      <c r="I1436" s="1"/>
      <c r="J1436" s="1"/>
      <c r="K1436" s="1"/>
    </row>
    <row r="1437" spans="5:11" x14ac:dyDescent="0.2">
      <c r="E1437" s="1"/>
      <c r="F1437" s="1"/>
      <c r="H1437" s="1"/>
      <c r="I1437" s="1"/>
      <c r="J1437" s="1"/>
      <c r="K1437" s="1"/>
    </row>
    <row r="1438" spans="5:11" x14ac:dyDescent="0.2">
      <c r="E1438" s="1"/>
      <c r="F1438" s="1"/>
      <c r="H1438" s="1"/>
      <c r="I1438" s="1"/>
      <c r="J1438" s="1"/>
      <c r="K1438" s="1"/>
    </row>
    <row r="1439" spans="5:11" x14ac:dyDescent="0.2">
      <c r="E1439" s="1"/>
      <c r="F1439" s="1"/>
      <c r="H1439" s="1"/>
      <c r="I1439" s="1"/>
      <c r="J1439" s="1"/>
      <c r="K1439" s="1"/>
    </row>
    <row r="1440" spans="5:11" x14ac:dyDescent="0.2">
      <c r="E1440" s="1"/>
      <c r="F1440" s="1"/>
      <c r="H1440" s="1"/>
      <c r="I1440" s="1"/>
      <c r="J1440" s="1"/>
      <c r="K1440" s="1"/>
    </row>
    <row r="1441" spans="5:11" x14ac:dyDescent="0.2">
      <c r="E1441" s="1"/>
      <c r="F1441" s="1"/>
      <c r="H1441" s="1"/>
      <c r="I1441" s="1"/>
      <c r="J1441" s="1"/>
      <c r="K1441" s="1"/>
    </row>
    <row r="1442" spans="5:11" x14ac:dyDescent="0.2">
      <c r="E1442" s="1"/>
      <c r="F1442" s="1"/>
      <c r="H1442" s="1"/>
      <c r="I1442" s="1"/>
      <c r="J1442" s="1"/>
      <c r="K1442" s="1"/>
    </row>
    <row r="1443" spans="5:11" x14ac:dyDescent="0.2">
      <c r="E1443" s="1"/>
      <c r="F1443" s="1"/>
      <c r="H1443" s="1"/>
      <c r="I1443" s="1"/>
      <c r="J1443" s="1"/>
      <c r="K1443" s="1"/>
    </row>
    <row r="1444" spans="5:11" x14ac:dyDescent="0.2">
      <c r="E1444" s="1"/>
      <c r="F1444" s="1"/>
      <c r="H1444" s="1"/>
      <c r="I1444" s="1"/>
      <c r="J1444" s="1"/>
      <c r="K1444" s="1"/>
    </row>
    <row r="1445" spans="5:11" x14ac:dyDescent="0.2">
      <c r="E1445" s="1"/>
      <c r="F1445" s="1"/>
      <c r="H1445" s="1"/>
      <c r="I1445" s="1"/>
      <c r="J1445" s="1"/>
      <c r="K1445" s="1"/>
    </row>
    <row r="1446" spans="5:11" x14ac:dyDescent="0.2">
      <c r="E1446" s="1"/>
      <c r="F1446" s="1"/>
      <c r="H1446" s="1"/>
      <c r="I1446" s="1"/>
      <c r="J1446" s="1"/>
      <c r="K1446" s="1"/>
    </row>
    <row r="1447" spans="5:11" x14ac:dyDescent="0.2">
      <c r="E1447" s="1"/>
      <c r="F1447" s="1"/>
      <c r="H1447" s="1"/>
      <c r="I1447" s="1"/>
      <c r="J1447" s="1"/>
      <c r="K1447" s="1"/>
    </row>
    <row r="1448" spans="5:11" x14ac:dyDescent="0.2">
      <c r="E1448" s="1"/>
      <c r="F1448" s="1"/>
      <c r="H1448" s="1"/>
      <c r="I1448" s="1"/>
      <c r="J1448" s="1"/>
      <c r="K1448" s="1"/>
    </row>
    <row r="1449" spans="5:11" x14ac:dyDescent="0.2">
      <c r="E1449" s="1"/>
      <c r="F1449" s="1"/>
      <c r="H1449" s="1"/>
      <c r="I1449" s="1"/>
      <c r="J1449" s="1"/>
      <c r="K1449" s="1"/>
    </row>
    <row r="1450" spans="5:11" x14ac:dyDescent="0.2">
      <c r="E1450" s="1"/>
      <c r="F1450" s="1"/>
      <c r="H1450" s="1"/>
      <c r="I1450" s="1"/>
      <c r="J1450" s="1"/>
      <c r="K1450" s="1"/>
    </row>
    <row r="1451" spans="5:11" x14ac:dyDescent="0.2">
      <c r="E1451" s="1"/>
      <c r="F1451" s="1"/>
      <c r="H1451" s="1"/>
      <c r="I1451" s="1"/>
      <c r="J1451" s="1"/>
      <c r="K1451" s="1"/>
    </row>
    <row r="1452" spans="5:11" x14ac:dyDescent="0.2">
      <c r="E1452" s="1"/>
      <c r="F1452" s="1"/>
      <c r="H1452" s="1"/>
      <c r="I1452" s="1"/>
      <c r="J1452" s="1"/>
      <c r="K1452" s="1"/>
    </row>
    <row r="1453" spans="5:11" x14ac:dyDescent="0.2">
      <c r="E1453" s="1"/>
      <c r="F1453" s="1"/>
      <c r="H1453" s="1"/>
      <c r="I1453" s="1"/>
      <c r="J1453" s="1"/>
      <c r="K1453" s="1"/>
    </row>
    <row r="1454" spans="5:11" x14ac:dyDescent="0.2">
      <c r="E1454" s="1"/>
      <c r="F1454" s="1"/>
      <c r="H1454" s="1"/>
      <c r="I1454" s="1"/>
      <c r="J1454" s="1"/>
      <c r="K1454" s="1"/>
    </row>
    <row r="1455" spans="5:11" x14ac:dyDescent="0.2">
      <c r="E1455" s="1"/>
      <c r="F1455" s="1"/>
      <c r="H1455" s="1"/>
      <c r="I1455" s="1"/>
      <c r="J1455" s="1"/>
      <c r="K1455" s="1"/>
    </row>
    <row r="1456" spans="5:11" x14ac:dyDescent="0.2">
      <c r="E1456" s="1"/>
      <c r="F1456" s="1"/>
      <c r="H1456" s="1"/>
      <c r="I1456" s="1"/>
      <c r="J1456" s="1"/>
      <c r="K1456" s="1"/>
    </row>
    <row r="1457" spans="5:11" x14ac:dyDescent="0.2">
      <c r="E1457" s="1"/>
      <c r="F1457" s="1"/>
      <c r="H1457" s="1"/>
      <c r="I1457" s="1"/>
      <c r="J1457" s="1"/>
      <c r="K1457" s="1"/>
    </row>
    <row r="1458" spans="5:11" x14ac:dyDescent="0.2">
      <c r="E1458" s="1"/>
      <c r="F1458" s="1"/>
      <c r="H1458" s="1"/>
      <c r="I1458" s="1"/>
      <c r="J1458" s="1"/>
      <c r="K1458" s="1"/>
    </row>
    <row r="1459" spans="5:11" x14ac:dyDescent="0.2">
      <c r="E1459" s="1"/>
      <c r="F1459" s="1"/>
      <c r="H1459" s="1"/>
      <c r="I1459" s="1"/>
      <c r="J1459" s="1"/>
      <c r="K1459" s="1"/>
    </row>
    <row r="1460" spans="5:11" x14ac:dyDescent="0.2">
      <c r="E1460" s="1"/>
      <c r="F1460" s="1"/>
      <c r="H1460" s="1"/>
      <c r="I1460" s="1"/>
      <c r="J1460" s="1"/>
      <c r="K1460" s="1"/>
    </row>
    <row r="1461" spans="5:11" x14ac:dyDescent="0.2">
      <c r="E1461" s="1"/>
      <c r="F1461" s="1"/>
      <c r="H1461" s="1"/>
      <c r="I1461" s="1"/>
      <c r="J1461" s="1"/>
      <c r="K1461" s="1"/>
    </row>
    <row r="1462" spans="5:11" x14ac:dyDescent="0.2">
      <c r="E1462" s="1"/>
      <c r="F1462" s="1"/>
      <c r="H1462" s="1"/>
      <c r="I1462" s="1"/>
      <c r="J1462" s="1"/>
      <c r="K1462" s="1"/>
    </row>
    <row r="1463" spans="5:11" x14ac:dyDescent="0.2">
      <c r="E1463" s="1"/>
      <c r="F1463" s="1"/>
      <c r="H1463" s="1"/>
      <c r="I1463" s="1"/>
      <c r="J1463" s="1"/>
      <c r="K1463" s="1"/>
    </row>
    <row r="1464" spans="5:11" x14ac:dyDescent="0.2">
      <c r="E1464" s="1"/>
      <c r="F1464" s="1"/>
      <c r="H1464" s="1"/>
      <c r="I1464" s="1"/>
      <c r="J1464" s="1"/>
      <c r="K1464" s="1"/>
    </row>
    <row r="1465" spans="5:11" x14ac:dyDescent="0.2">
      <c r="E1465" s="1"/>
      <c r="F1465" s="1"/>
      <c r="H1465" s="1"/>
      <c r="I1465" s="1"/>
      <c r="J1465" s="1"/>
      <c r="K1465" s="1"/>
    </row>
    <row r="1466" spans="5:11" x14ac:dyDescent="0.2">
      <c r="E1466" s="1"/>
      <c r="F1466" s="1"/>
      <c r="H1466" s="1"/>
      <c r="I1466" s="1"/>
      <c r="J1466" s="1"/>
      <c r="K1466" s="1"/>
    </row>
    <row r="1467" spans="5:11" x14ac:dyDescent="0.2">
      <c r="E1467" s="1"/>
      <c r="F1467" s="1"/>
      <c r="H1467" s="1"/>
      <c r="I1467" s="1"/>
      <c r="J1467" s="1"/>
      <c r="K1467" s="1"/>
    </row>
    <row r="1468" spans="5:11" x14ac:dyDescent="0.2">
      <c r="E1468" s="1"/>
      <c r="F1468" s="1"/>
      <c r="H1468" s="1"/>
      <c r="I1468" s="1"/>
      <c r="J1468" s="1"/>
      <c r="K1468" s="1"/>
    </row>
    <row r="1469" spans="5:11" x14ac:dyDescent="0.2">
      <c r="E1469" s="1"/>
      <c r="F1469" s="1"/>
      <c r="H1469" s="1"/>
      <c r="I1469" s="1"/>
      <c r="J1469" s="1"/>
      <c r="K1469" s="1"/>
    </row>
    <row r="1470" spans="5:11" x14ac:dyDescent="0.2">
      <c r="E1470" s="1"/>
      <c r="F1470" s="1"/>
      <c r="H1470" s="1"/>
      <c r="I1470" s="1"/>
      <c r="J1470" s="1"/>
      <c r="K1470" s="1"/>
    </row>
    <row r="1471" spans="5:11" x14ac:dyDescent="0.2">
      <c r="E1471" s="1"/>
      <c r="F1471" s="1"/>
      <c r="H1471" s="1"/>
      <c r="I1471" s="1"/>
      <c r="J1471" s="1"/>
      <c r="K1471" s="1"/>
    </row>
    <row r="1472" spans="5:11" x14ac:dyDescent="0.2">
      <c r="E1472" s="1"/>
      <c r="F1472" s="1"/>
      <c r="H1472" s="1"/>
      <c r="I1472" s="1"/>
      <c r="J1472" s="1"/>
      <c r="K1472" s="1"/>
    </row>
    <row r="1473" spans="5:11" x14ac:dyDescent="0.2">
      <c r="E1473" s="1"/>
      <c r="F1473" s="1"/>
      <c r="H1473" s="1"/>
      <c r="I1473" s="1"/>
      <c r="J1473" s="1"/>
      <c r="K1473" s="1"/>
    </row>
    <row r="1474" spans="5:11" x14ac:dyDescent="0.2">
      <c r="E1474" s="1"/>
      <c r="F1474" s="1"/>
      <c r="H1474" s="1"/>
      <c r="I1474" s="1"/>
      <c r="J1474" s="1"/>
      <c r="K1474" s="1"/>
    </row>
    <row r="1475" spans="5:11" x14ac:dyDescent="0.2">
      <c r="E1475" s="1"/>
      <c r="F1475" s="1"/>
      <c r="H1475" s="1"/>
      <c r="I1475" s="1"/>
      <c r="J1475" s="1"/>
      <c r="K1475" s="1"/>
    </row>
    <row r="1476" spans="5:11" x14ac:dyDescent="0.2">
      <c r="E1476" s="1"/>
      <c r="F1476" s="1"/>
      <c r="H1476" s="1"/>
      <c r="I1476" s="1"/>
      <c r="J1476" s="1"/>
      <c r="K1476" s="1"/>
    </row>
    <row r="1477" spans="5:11" x14ac:dyDescent="0.2">
      <c r="E1477" s="1"/>
      <c r="F1477" s="1"/>
      <c r="H1477" s="1"/>
      <c r="I1477" s="1"/>
      <c r="J1477" s="1"/>
      <c r="K1477" s="1"/>
    </row>
    <row r="1478" spans="5:11" x14ac:dyDescent="0.2">
      <c r="E1478" s="1"/>
      <c r="F1478" s="1"/>
      <c r="H1478" s="1"/>
      <c r="I1478" s="1"/>
      <c r="J1478" s="1"/>
      <c r="K1478" s="1"/>
    </row>
    <row r="1479" spans="5:11" x14ac:dyDescent="0.2">
      <c r="E1479" s="1"/>
      <c r="F1479" s="1"/>
      <c r="H1479" s="1"/>
      <c r="I1479" s="1"/>
      <c r="J1479" s="1"/>
      <c r="K1479" s="1"/>
    </row>
    <row r="1480" spans="5:11" x14ac:dyDescent="0.2">
      <c r="E1480" s="1"/>
      <c r="F1480" s="1"/>
      <c r="H1480" s="1"/>
      <c r="I1480" s="1"/>
      <c r="J1480" s="1"/>
      <c r="K1480" s="1"/>
    </row>
    <row r="1481" spans="5:11" x14ac:dyDescent="0.2">
      <c r="E1481" s="1"/>
      <c r="F1481" s="1"/>
      <c r="H1481" s="1"/>
      <c r="I1481" s="1"/>
      <c r="J1481" s="1"/>
      <c r="K1481" s="1"/>
    </row>
    <row r="1482" spans="5:11" x14ac:dyDescent="0.2">
      <c r="E1482" s="1"/>
      <c r="F1482" s="1"/>
      <c r="H1482" s="1"/>
      <c r="I1482" s="1"/>
      <c r="J1482" s="1"/>
      <c r="K1482" s="1"/>
    </row>
    <row r="1483" spans="5:11" x14ac:dyDescent="0.2">
      <c r="E1483" s="1"/>
      <c r="F1483" s="1"/>
      <c r="H1483" s="1"/>
      <c r="I1483" s="1"/>
      <c r="J1483" s="1"/>
      <c r="K1483" s="1"/>
    </row>
    <row r="1484" spans="5:11" x14ac:dyDescent="0.2">
      <c r="E1484" s="1"/>
      <c r="F1484" s="1"/>
      <c r="H1484" s="1"/>
      <c r="I1484" s="1"/>
      <c r="J1484" s="1"/>
      <c r="K1484" s="1"/>
    </row>
    <row r="1485" spans="5:11" x14ac:dyDescent="0.2">
      <c r="E1485" s="1"/>
      <c r="F1485" s="1"/>
      <c r="H1485" s="1"/>
      <c r="I1485" s="1"/>
      <c r="J1485" s="1"/>
      <c r="K1485" s="1"/>
    </row>
    <row r="1486" spans="5:11" x14ac:dyDescent="0.2">
      <c r="E1486" s="1"/>
      <c r="F1486" s="1"/>
      <c r="H1486" s="1"/>
      <c r="I1486" s="1"/>
      <c r="J1486" s="1"/>
      <c r="K1486" s="1"/>
    </row>
    <row r="1487" spans="5:11" x14ac:dyDescent="0.2">
      <c r="E1487" s="1"/>
      <c r="F1487" s="1"/>
      <c r="H1487" s="1"/>
      <c r="I1487" s="1"/>
      <c r="J1487" s="1"/>
      <c r="K1487" s="1"/>
    </row>
    <row r="1488" spans="5:11" x14ac:dyDescent="0.2">
      <c r="E1488" s="1"/>
      <c r="F1488" s="1"/>
      <c r="H1488" s="1"/>
      <c r="I1488" s="1"/>
      <c r="J1488" s="1"/>
      <c r="K1488" s="1"/>
    </row>
    <row r="1489" spans="5:11" x14ac:dyDescent="0.2">
      <c r="E1489" s="1"/>
      <c r="F1489" s="1"/>
      <c r="H1489" s="1"/>
      <c r="I1489" s="1"/>
      <c r="J1489" s="1"/>
      <c r="K1489" s="1"/>
    </row>
    <row r="1490" spans="5:11" x14ac:dyDescent="0.2">
      <c r="E1490" s="1"/>
      <c r="F1490" s="1"/>
      <c r="H1490" s="1"/>
      <c r="I1490" s="1"/>
      <c r="J1490" s="1"/>
      <c r="K1490" s="1"/>
    </row>
    <row r="1491" spans="5:11" x14ac:dyDescent="0.2">
      <c r="E1491" s="1"/>
      <c r="F1491" s="1"/>
      <c r="H1491" s="1"/>
      <c r="I1491" s="1"/>
      <c r="J1491" s="1"/>
      <c r="K1491" s="1"/>
    </row>
    <row r="1492" spans="5:11" x14ac:dyDescent="0.2">
      <c r="E1492" s="1"/>
      <c r="F1492" s="1"/>
      <c r="H1492" s="1"/>
      <c r="I1492" s="1"/>
      <c r="J1492" s="1"/>
      <c r="K1492" s="1"/>
    </row>
    <row r="1493" spans="5:11" x14ac:dyDescent="0.2">
      <c r="E1493" s="1"/>
      <c r="F1493" s="1"/>
      <c r="H1493" s="1"/>
      <c r="I1493" s="1"/>
      <c r="J1493" s="1"/>
      <c r="K1493" s="1"/>
    </row>
    <row r="1494" spans="5:11" x14ac:dyDescent="0.2">
      <c r="E1494" s="1"/>
      <c r="F1494" s="1"/>
      <c r="H1494" s="1"/>
      <c r="I1494" s="1"/>
      <c r="J1494" s="1"/>
      <c r="K1494" s="1"/>
    </row>
    <row r="1495" spans="5:11" x14ac:dyDescent="0.2">
      <c r="E1495" s="1"/>
      <c r="F1495" s="1"/>
      <c r="H1495" s="1"/>
      <c r="I1495" s="1"/>
      <c r="J1495" s="1"/>
      <c r="K1495" s="1"/>
    </row>
    <row r="1496" spans="5:11" x14ac:dyDescent="0.2">
      <c r="E1496" s="1"/>
      <c r="F1496" s="1"/>
      <c r="H1496" s="1"/>
      <c r="I1496" s="1"/>
      <c r="J1496" s="1"/>
      <c r="K1496" s="1"/>
    </row>
    <row r="1497" spans="5:11" x14ac:dyDescent="0.2">
      <c r="E1497" s="1"/>
      <c r="F1497" s="1"/>
      <c r="H1497" s="1"/>
      <c r="I1497" s="1"/>
      <c r="J1497" s="1"/>
      <c r="K1497" s="1"/>
    </row>
    <row r="1498" spans="5:11" x14ac:dyDescent="0.2">
      <c r="E1498" s="1"/>
      <c r="F1498" s="1"/>
      <c r="H1498" s="1"/>
      <c r="I1498" s="1"/>
      <c r="J1498" s="1"/>
      <c r="K1498" s="1"/>
    </row>
    <row r="1499" spans="5:11" x14ac:dyDescent="0.2">
      <c r="E1499" s="1"/>
      <c r="F1499" s="1"/>
      <c r="H1499" s="1"/>
      <c r="I1499" s="1"/>
      <c r="J1499" s="1"/>
      <c r="K1499" s="1"/>
    </row>
    <row r="1500" spans="5:11" x14ac:dyDescent="0.2">
      <c r="E1500" s="1"/>
      <c r="F1500" s="1"/>
      <c r="H1500" s="1"/>
      <c r="I1500" s="1"/>
      <c r="J1500" s="1"/>
      <c r="K1500" s="1"/>
    </row>
    <row r="1501" spans="5:11" x14ac:dyDescent="0.2">
      <c r="E1501" s="1"/>
      <c r="F1501" s="1"/>
      <c r="H1501" s="1"/>
      <c r="I1501" s="1"/>
      <c r="J1501" s="1"/>
      <c r="K1501" s="1"/>
    </row>
    <row r="1502" spans="5:11" x14ac:dyDescent="0.2">
      <c r="E1502" s="1"/>
      <c r="F1502" s="1"/>
      <c r="H1502" s="1"/>
      <c r="I1502" s="1"/>
      <c r="J1502" s="1"/>
      <c r="K1502" s="1"/>
    </row>
    <row r="1503" spans="5:11" x14ac:dyDescent="0.2">
      <c r="E1503" s="1"/>
      <c r="F1503" s="1"/>
      <c r="H1503" s="1"/>
      <c r="I1503" s="1"/>
      <c r="J1503" s="1"/>
      <c r="K1503" s="1"/>
    </row>
    <row r="1504" spans="5:11" x14ac:dyDescent="0.2">
      <c r="E1504" s="1"/>
      <c r="F1504" s="1"/>
      <c r="H1504" s="1"/>
      <c r="I1504" s="1"/>
      <c r="J1504" s="1"/>
      <c r="K1504" s="1"/>
    </row>
    <row r="1505" spans="5:11" x14ac:dyDescent="0.2">
      <c r="E1505" s="1"/>
      <c r="F1505" s="1"/>
      <c r="H1505" s="1"/>
      <c r="I1505" s="1"/>
      <c r="J1505" s="1"/>
      <c r="K1505" s="1"/>
    </row>
    <row r="1506" spans="5:11" x14ac:dyDescent="0.2">
      <c r="E1506" s="1"/>
      <c r="F1506" s="1"/>
      <c r="H1506" s="1"/>
      <c r="I1506" s="1"/>
      <c r="J1506" s="1"/>
      <c r="K1506" s="1"/>
    </row>
    <row r="1507" spans="5:11" x14ac:dyDescent="0.2">
      <c r="E1507" s="1"/>
      <c r="F1507" s="1"/>
      <c r="H1507" s="1"/>
      <c r="I1507" s="1"/>
      <c r="J1507" s="1"/>
      <c r="K1507" s="1"/>
    </row>
    <row r="1508" spans="5:11" x14ac:dyDescent="0.2">
      <c r="E1508" s="1"/>
      <c r="F1508" s="1"/>
      <c r="H1508" s="1"/>
      <c r="I1508" s="1"/>
      <c r="J1508" s="1"/>
      <c r="K1508" s="1"/>
    </row>
    <row r="1509" spans="5:11" x14ac:dyDescent="0.2">
      <c r="E1509" s="1"/>
      <c r="F1509" s="1"/>
      <c r="H1509" s="1"/>
      <c r="I1509" s="1"/>
      <c r="J1509" s="1"/>
      <c r="K1509" s="1"/>
    </row>
    <row r="1510" spans="5:11" x14ac:dyDescent="0.2">
      <c r="E1510" s="1"/>
      <c r="F1510" s="1"/>
      <c r="H1510" s="1"/>
      <c r="I1510" s="1"/>
      <c r="J1510" s="1"/>
      <c r="K1510" s="1"/>
    </row>
    <row r="1511" spans="5:11" x14ac:dyDescent="0.2">
      <c r="E1511" s="1"/>
      <c r="F1511" s="1"/>
      <c r="H1511" s="1"/>
      <c r="I1511" s="1"/>
      <c r="J1511" s="1"/>
      <c r="K1511" s="1"/>
    </row>
    <row r="1512" spans="5:11" x14ac:dyDescent="0.2">
      <c r="E1512" s="1"/>
      <c r="F1512" s="1"/>
      <c r="H1512" s="1"/>
      <c r="I1512" s="1"/>
      <c r="J1512" s="1"/>
      <c r="K1512" s="1"/>
    </row>
    <row r="1513" spans="5:11" x14ac:dyDescent="0.2">
      <c r="E1513" s="1"/>
      <c r="F1513" s="1"/>
      <c r="H1513" s="1"/>
      <c r="I1513" s="1"/>
      <c r="J1513" s="1"/>
      <c r="K1513" s="1"/>
    </row>
    <row r="1514" spans="5:11" x14ac:dyDescent="0.2">
      <c r="E1514" s="1"/>
      <c r="F1514" s="1"/>
      <c r="H1514" s="1"/>
      <c r="I1514" s="1"/>
      <c r="J1514" s="1"/>
      <c r="K1514" s="1"/>
    </row>
    <row r="1515" spans="5:11" x14ac:dyDescent="0.2">
      <c r="E1515" s="1"/>
      <c r="F1515" s="1"/>
      <c r="H1515" s="1"/>
      <c r="I1515" s="1"/>
      <c r="J1515" s="1"/>
      <c r="K1515" s="1"/>
    </row>
    <row r="1516" spans="5:11" x14ac:dyDescent="0.2">
      <c r="E1516" s="1"/>
      <c r="F1516" s="1"/>
      <c r="H1516" s="1"/>
      <c r="I1516" s="1"/>
      <c r="J1516" s="1"/>
      <c r="K1516" s="1"/>
    </row>
    <row r="1517" spans="5:11" x14ac:dyDescent="0.2">
      <c r="E1517" s="1"/>
      <c r="F1517" s="1"/>
      <c r="H1517" s="1"/>
      <c r="I1517" s="1"/>
      <c r="J1517" s="1"/>
      <c r="K1517" s="1"/>
    </row>
    <row r="1518" spans="5:11" x14ac:dyDescent="0.2">
      <c r="E1518" s="1"/>
      <c r="F1518" s="1"/>
      <c r="H1518" s="1"/>
      <c r="I1518" s="1"/>
      <c r="J1518" s="1"/>
      <c r="K1518" s="1"/>
    </row>
    <row r="1519" spans="5:11" x14ac:dyDescent="0.2">
      <c r="E1519" s="1"/>
      <c r="F1519" s="1"/>
      <c r="H1519" s="1"/>
      <c r="I1519" s="1"/>
      <c r="J1519" s="1"/>
      <c r="K1519" s="1"/>
    </row>
    <row r="1520" spans="5:11" x14ac:dyDescent="0.2">
      <c r="E1520" s="1"/>
      <c r="F1520" s="1"/>
      <c r="H1520" s="1"/>
      <c r="I1520" s="1"/>
      <c r="J1520" s="1"/>
      <c r="K1520" s="1"/>
    </row>
    <row r="1521" spans="5:11" x14ac:dyDescent="0.2">
      <c r="E1521" s="1"/>
      <c r="F1521" s="1"/>
      <c r="H1521" s="1"/>
      <c r="I1521" s="1"/>
      <c r="J1521" s="1"/>
      <c r="K1521" s="1"/>
    </row>
    <row r="1522" spans="5:11" x14ac:dyDescent="0.2">
      <c r="E1522" s="1"/>
      <c r="F1522" s="1"/>
      <c r="H1522" s="1"/>
      <c r="I1522" s="1"/>
      <c r="J1522" s="1"/>
      <c r="K1522" s="1"/>
    </row>
    <row r="1523" spans="5:11" x14ac:dyDescent="0.2">
      <c r="E1523" s="1"/>
      <c r="F1523" s="1"/>
      <c r="H1523" s="1"/>
      <c r="I1523" s="1"/>
      <c r="J1523" s="1"/>
      <c r="K1523" s="1"/>
    </row>
    <row r="1524" spans="5:11" x14ac:dyDescent="0.2">
      <c r="E1524" s="1"/>
      <c r="F1524" s="1"/>
      <c r="H1524" s="1"/>
      <c r="I1524" s="1"/>
      <c r="J1524" s="1"/>
      <c r="K1524" s="1"/>
    </row>
    <row r="1525" spans="5:11" x14ac:dyDescent="0.2">
      <c r="E1525" s="1"/>
      <c r="F1525" s="1"/>
      <c r="H1525" s="1"/>
      <c r="I1525" s="1"/>
      <c r="J1525" s="1"/>
      <c r="K1525" s="1"/>
    </row>
    <row r="1526" spans="5:11" x14ac:dyDescent="0.2">
      <c r="E1526" s="1"/>
      <c r="F1526" s="1"/>
      <c r="H1526" s="1"/>
      <c r="I1526" s="1"/>
      <c r="J1526" s="1"/>
      <c r="K1526" s="1"/>
    </row>
    <row r="1527" spans="5:11" x14ac:dyDescent="0.2">
      <c r="E1527" s="1"/>
      <c r="F1527" s="1"/>
      <c r="H1527" s="1"/>
      <c r="I1527" s="1"/>
      <c r="J1527" s="1"/>
      <c r="K1527" s="1"/>
    </row>
    <row r="1528" spans="5:11" x14ac:dyDescent="0.2">
      <c r="E1528" s="1"/>
      <c r="F1528" s="1"/>
      <c r="H1528" s="1"/>
      <c r="I1528" s="1"/>
      <c r="J1528" s="1"/>
      <c r="K1528" s="1"/>
    </row>
    <row r="1529" spans="5:11" x14ac:dyDescent="0.2">
      <c r="E1529" s="1"/>
      <c r="F1529" s="1"/>
      <c r="H1529" s="1"/>
      <c r="I1529" s="1"/>
      <c r="J1529" s="1"/>
      <c r="K1529" s="1"/>
    </row>
    <row r="1530" spans="5:11" x14ac:dyDescent="0.2">
      <c r="E1530" s="1"/>
      <c r="F1530" s="1"/>
      <c r="H1530" s="1"/>
      <c r="I1530" s="1"/>
      <c r="J1530" s="1"/>
      <c r="K1530" s="1"/>
    </row>
    <row r="1531" spans="5:11" x14ac:dyDescent="0.2">
      <c r="E1531" s="1"/>
      <c r="F1531" s="1"/>
      <c r="H1531" s="1"/>
      <c r="I1531" s="1"/>
      <c r="J1531" s="1"/>
      <c r="K1531" s="1"/>
    </row>
    <row r="1532" spans="5:11" x14ac:dyDescent="0.2">
      <c r="E1532" s="1"/>
      <c r="F1532" s="1"/>
      <c r="H1532" s="1"/>
      <c r="I1532" s="1"/>
      <c r="J1532" s="1"/>
      <c r="K1532" s="1"/>
    </row>
    <row r="1533" spans="5:11" x14ac:dyDescent="0.2">
      <c r="E1533" s="1"/>
      <c r="F1533" s="1"/>
      <c r="H1533" s="1"/>
      <c r="I1533" s="1"/>
      <c r="J1533" s="1"/>
      <c r="K1533" s="1"/>
    </row>
  </sheetData>
  <mergeCells count="1040">
    <mergeCell ref="X432:AA432"/>
    <mergeCell ref="B360:E360"/>
    <mergeCell ref="B367:E367"/>
    <mergeCell ref="B333:E333"/>
    <mergeCell ref="B370:E370"/>
    <mergeCell ref="B355:E355"/>
    <mergeCell ref="B384:E384"/>
    <mergeCell ref="B354:E354"/>
    <mergeCell ref="B327:E327"/>
    <mergeCell ref="B339:E339"/>
    <mergeCell ref="X394:AA394"/>
    <mergeCell ref="B413:E413"/>
    <mergeCell ref="B328:E328"/>
    <mergeCell ref="B313:E313"/>
    <mergeCell ref="B199:E199"/>
    <mergeCell ref="B408:E408"/>
    <mergeCell ref="X126:AA126"/>
    <mergeCell ref="B448:E448"/>
    <mergeCell ref="X448:AA448"/>
    <mergeCell ref="B246:E246"/>
    <mergeCell ref="X246:AA246"/>
    <mergeCell ref="B249:E249"/>
    <mergeCell ref="X249:AA249"/>
    <mergeCell ref="B389:E389"/>
    <mergeCell ref="B399:B400"/>
    <mergeCell ref="B294:E294"/>
    <mergeCell ref="X294:AA294"/>
    <mergeCell ref="B353:E353"/>
    <mergeCell ref="B371:E371"/>
    <mergeCell ref="B351:E351"/>
    <mergeCell ref="B356:E356"/>
    <mergeCell ref="B376:E376"/>
    <mergeCell ref="B366:E366"/>
    <mergeCell ref="B372:E372"/>
    <mergeCell ref="B361:E361"/>
    <mergeCell ref="B350:E350"/>
    <mergeCell ref="B357:E357"/>
    <mergeCell ref="B287:E287"/>
    <mergeCell ref="B405:E405"/>
    <mergeCell ref="B406:E406"/>
    <mergeCell ref="B336:E336"/>
    <mergeCell ref="B390:E390"/>
    <mergeCell ref="X390:AA390"/>
    <mergeCell ref="B263:E263"/>
    <mergeCell ref="X429:AA429"/>
    <mergeCell ref="B431:E431"/>
    <mergeCell ref="X431:AA431"/>
    <mergeCell ref="G319:G320"/>
    <mergeCell ref="F319:F320"/>
    <mergeCell ref="B401:E401"/>
    <mergeCell ref="B298:E298"/>
    <mergeCell ref="B345:E345"/>
    <mergeCell ref="B394:E394"/>
    <mergeCell ref="B348:E348"/>
    <mergeCell ref="B331:E331"/>
    <mergeCell ref="B322:E322"/>
    <mergeCell ref="B330:E330"/>
    <mergeCell ref="B337:E337"/>
    <mergeCell ref="B326:E326"/>
    <mergeCell ref="B340:E340"/>
    <mergeCell ref="B296:E296"/>
    <mergeCell ref="B342:E342"/>
    <mergeCell ref="B321:E321"/>
    <mergeCell ref="B332:E332"/>
    <mergeCell ref="B323:E323"/>
    <mergeCell ref="B362:E362"/>
    <mergeCell ref="B364:E364"/>
    <mergeCell ref="B373:E373"/>
    <mergeCell ref="B392:E392"/>
    <mergeCell ref="B346:E346"/>
    <mergeCell ref="B347:E347"/>
    <mergeCell ref="B286:E286"/>
    <mergeCell ref="B310:E310"/>
    <mergeCell ref="X387:AA387"/>
    <mergeCell ref="Q344:W344"/>
    <mergeCell ref="X289:AA289"/>
    <mergeCell ref="X344:AA344"/>
    <mergeCell ref="B295:E295"/>
    <mergeCell ref="X295:AA295"/>
    <mergeCell ref="B289:E289"/>
    <mergeCell ref="X480:AA481"/>
    <mergeCell ref="X362:AA362"/>
    <mergeCell ref="B500:E500"/>
    <mergeCell ref="B498:E498"/>
    <mergeCell ref="B454:E454"/>
    <mergeCell ref="B380:E380"/>
    <mergeCell ref="X393:AA393"/>
    <mergeCell ref="B379:E379"/>
    <mergeCell ref="X389:AA389"/>
    <mergeCell ref="B385:E385"/>
    <mergeCell ref="X388:AA388"/>
    <mergeCell ref="B388:E388"/>
    <mergeCell ref="B381:E381"/>
    <mergeCell ref="X391:AA391"/>
    <mergeCell ref="B383:E383"/>
    <mergeCell ref="G399:G400"/>
    <mergeCell ref="B458:E458"/>
    <mergeCell ref="B414:E414"/>
    <mergeCell ref="B365:E365"/>
    <mergeCell ref="X411:AA411"/>
    <mergeCell ref="B453:E453"/>
    <mergeCell ref="B387:E387"/>
    <mergeCell ref="B349:E349"/>
    <mergeCell ref="X399:AA400"/>
    <mergeCell ref="B368:E368"/>
    <mergeCell ref="B374:E374"/>
    <mergeCell ref="B375:E375"/>
    <mergeCell ref="B435:E435"/>
    <mergeCell ref="B445:E445"/>
    <mergeCell ref="B487:E487"/>
    <mergeCell ref="B471:E471"/>
    <mergeCell ref="X462:AA462"/>
    <mergeCell ref="B423:E423"/>
    <mergeCell ref="X459:AA459"/>
    <mergeCell ref="B495:E495"/>
    <mergeCell ref="B467:E467"/>
    <mergeCell ref="B501:E501"/>
    <mergeCell ref="B502:E502"/>
    <mergeCell ref="B459:E459"/>
    <mergeCell ref="X471:AA471"/>
    <mergeCell ref="X469:AA469"/>
    <mergeCell ref="X410:AA410"/>
    <mergeCell ref="X416:AA416"/>
    <mergeCell ref="B416:E416"/>
    <mergeCell ref="I435:M437"/>
    <mergeCell ref="B451:W451"/>
    <mergeCell ref="B438:E438"/>
    <mergeCell ref="B440:E440"/>
    <mergeCell ref="X439:AA439"/>
    <mergeCell ref="X417:AA417"/>
    <mergeCell ref="B421:E421"/>
    <mergeCell ref="B479:W479"/>
    <mergeCell ref="B444:E444"/>
    <mergeCell ref="B429:E429"/>
    <mergeCell ref="B409:E409"/>
    <mergeCell ref="X451:AA451"/>
    <mergeCell ref="X450:AA450"/>
    <mergeCell ref="X428:AA428"/>
    <mergeCell ref="X447:AA447"/>
    <mergeCell ref="X419:AA419"/>
    <mergeCell ref="X446:AA446"/>
    <mergeCell ref="X422:AA422"/>
    <mergeCell ref="X418:AA418"/>
    <mergeCell ref="X421:AA421"/>
    <mergeCell ref="B480:B481"/>
    <mergeCell ref="X517:AA518"/>
    <mergeCell ref="B555:E555"/>
    <mergeCell ref="B556:E556"/>
    <mergeCell ref="AF561:AH561"/>
    <mergeCell ref="B508:E508"/>
    <mergeCell ref="AF479:AH479"/>
    <mergeCell ref="B456:E456"/>
    <mergeCell ref="B460:E460"/>
    <mergeCell ref="X425:AA425"/>
    <mergeCell ref="X461:AA461"/>
    <mergeCell ref="X463:AA463"/>
    <mergeCell ref="B490:E490"/>
    <mergeCell ref="B504:E504"/>
    <mergeCell ref="B505:E505"/>
    <mergeCell ref="B488:E488"/>
    <mergeCell ref="B455:E455"/>
    <mergeCell ref="B470:E470"/>
    <mergeCell ref="B457:E457"/>
    <mergeCell ref="B452:E452"/>
    <mergeCell ref="X470:AA470"/>
    <mergeCell ref="B503:E503"/>
    <mergeCell ref="X420:AA420"/>
    <mergeCell ref="F480:F481"/>
    <mergeCell ref="B464:E464"/>
    <mergeCell ref="B466:E466"/>
    <mergeCell ref="B465:E465"/>
    <mergeCell ref="H480:W480"/>
    <mergeCell ref="B506:E506"/>
    <mergeCell ref="AB480:AB481"/>
    <mergeCell ref="AF480:AH480"/>
    <mergeCell ref="B425:E425"/>
    <mergeCell ref="B540:E540"/>
    <mergeCell ref="B632:E632"/>
    <mergeCell ref="I648:I649"/>
    <mergeCell ref="B645:G645"/>
    <mergeCell ref="B646:G646"/>
    <mergeCell ref="H562:W562"/>
    <mergeCell ref="B623:E623"/>
    <mergeCell ref="B627:E627"/>
    <mergeCell ref="X617:AA617"/>
    <mergeCell ref="AF562:AH562"/>
    <mergeCell ref="B561:W561"/>
    <mergeCell ref="B516:W516"/>
    <mergeCell ref="AF516:AH516"/>
    <mergeCell ref="B517:B518"/>
    <mergeCell ref="AB517:AB518"/>
    <mergeCell ref="AF517:AH517"/>
    <mergeCell ref="B542:E542"/>
    <mergeCell ref="B519:E519"/>
    <mergeCell ref="B547:E547"/>
    <mergeCell ref="B545:E545"/>
    <mergeCell ref="B548:E548"/>
    <mergeCell ref="B558:E558"/>
    <mergeCell ref="X438:AA438"/>
    <mergeCell ref="AB591:AB592"/>
    <mergeCell ref="B610:E610"/>
    <mergeCell ref="B599:E599"/>
    <mergeCell ref="AF641:AH641"/>
    <mergeCell ref="B577:E577"/>
    <mergeCell ref="B598:E598"/>
    <mergeCell ref="B600:E600"/>
    <mergeCell ref="X616:AA616"/>
    <mergeCell ref="AB562:AB563"/>
    <mergeCell ref="B588:E588"/>
    <mergeCell ref="B569:E569"/>
    <mergeCell ref="B546:E546"/>
    <mergeCell ref="B553:E553"/>
    <mergeCell ref="B549:E549"/>
    <mergeCell ref="C591:E592"/>
    <mergeCell ref="B617:E617"/>
    <mergeCell ref="B552:E552"/>
    <mergeCell ref="C562:E563"/>
    <mergeCell ref="B572:E572"/>
    <mergeCell ref="B566:E566"/>
    <mergeCell ref="B568:E568"/>
    <mergeCell ref="B631:E631"/>
    <mergeCell ref="B593:E593"/>
    <mergeCell ref="B590:W590"/>
    <mergeCell ref="B612:E612"/>
    <mergeCell ref="B613:E613"/>
    <mergeCell ref="B614:E614"/>
    <mergeCell ref="B615:E615"/>
    <mergeCell ref="H591:W591"/>
    <mergeCell ref="B574:E574"/>
    <mergeCell ref="B580:E580"/>
    <mergeCell ref="B585:E585"/>
    <mergeCell ref="B532:E532"/>
    <mergeCell ref="B533:E533"/>
    <mergeCell ref="B531:E531"/>
    <mergeCell ref="B525:E525"/>
    <mergeCell ref="B535:E535"/>
    <mergeCell ref="B536:E536"/>
    <mergeCell ref="F517:F518"/>
    <mergeCell ref="G517:G518"/>
    <mergeCell ref="H517:W517"/>
    <mergeCell ref="B524:E524"/>
    <mergeCell ref="B522:E522"/>
    <mergeCell ref="AF682:AH682"/>
    <mergeCell ref="O648:O649"/>
    <mergeCell ref="L648:L649"/>
    <mergeCell ref="P648:P649"/>
    <mergeCell ref="C668:I668"/>
    <mergeCell ref="C676:G676"/>
    <mergeCell ref="C677:G677"/>
    <mergeCell ref="M648:M649"/>
    <mergeCell ref="B636:E636"/>
    <mergeCell ref="B634:E634"/>
    <mergeCell ref="B647:W647"/>
    <mergeCell ref="B618:E618"/>
    <mergeCell ref="B619:E619"/>
    <mergeCell ref="B597:E597"/>
    <mergeCell ref="AF596:AJ596"/>
    <mergeCell ref="AF591:AH591"/>
    <mergeCell ref="X591:AA592"/>
    <mergeCell ref="B643:G643"/>
    <mergeCell ref="R648:R649"/>
    <mergeCell ref="B635:E635"/>
    <mergeCell ref="B626:E626"/>
    <mergeCell ref="B591:B592"/>
    <mergeCell ref="B606:E606"/>
    <mergeCell ref="B601:E601"/>
    <mergeCell ref="B624:E624"/>
    <mergeCell ref="B596:E596"/>
    <mergeCell ref="B609:E609"/>
    <mergeCell ref="J648:J649"/>
    <mergeCell ref="B595:E595"/>
    <mergeCell ref="W648:W649"/>
    <mergeCell ref="K648:K649"/>
    <mergeCell ref="B622:E622"/>
    <mergeCell ref="X427:AA427"/>
    <mergeCell ref="X426:AA426"/>
    <mergeCell ref="B430:E430"/>
    <mergeCell ref="X430:AA430"/>
    <mergeCell ref="B427:E427"/>
    <mergeCell ref="X366:AA366"/>
    <mergeCell ref="I440:M445"/>
    <mergeCell ref="B382:E382"/>
    <mergeCell ref="B412:E412"/>
    <mergeCell ref="X449:AA449"/>
    <mergeCell ref="B422:E422"/>
    <mergeCell ref="X458:AA458"/>
    <mergeCell ref="B447:E447"/>
    <mergeCell ref="B449:E449"/>
    <mergeCell ref="B377:E377"/>
    <mergeCell ref="B418:E418"/>
    <mergeCell ref="AF668:AH668"/>
    <mergeCell ref="B641:W641"/>
    <mergeCell ref="B648:G649"/>
    <mergeCell ref="B664:W666"/>
    <mergeCell ref="T648:T649"/>
    <mergeCell ref="B573:E573"/>
    <mergeCell ref="U648:U649"/>
    <mergeCell ref="B564:E564"/>
    <mergeCell ref="X562:AA563"/>
    <mergeCell ref="B562:B563"/>
    <mergeCell ref="F562:F563"/>
    <mergeCell ref="G562:G563"/>
    <mergeCell ref="B567:E567"/>
    <mergeCell ref="B581:E581"/>
    <mergeCell ref="B602:E602"/>
    <mergeCell ref="B603:E603"/>
    <mergeCell ref="B190:E190"/>
    <mergeCell ref="X247:AA247"/>
    <mergeCell ref="X224:AA224"/>
    <mergeCell ref="G190:S195"/>
    <mergeCell ref="G239:G240"/>
    <mergeCell ref="X228:AA228"/>
    <mergeCell ref="B227:E227"/>
    <mergeCell ref="B233:E233"/>
    <mergeCell ref="Q206:W206"/>
    <mergeCell ref="B417:E417"/>
    <mergeCell ref="B393:E393"/>
    <mergeCell ref="B395:E395"/>
    <mergeCell ref="B359:E359"/>
    <mergeCell ref="B352:E352"/>
    <mergeCell ref="B463:E463"/>
    <mergeCell ref="B442:E442"/>
    <mergeCell ref="B420:E420"/>
    <mergeCell ref="B391:E391"/>
    <mergeCell ref="X392:AA392"/>
    <mergeCell ref="B436:E436"/>
    <mergeCell ref="B410:E410"/>
    <mergeCell ref="B407:E407"/>
    <mergeCell ref="B358:E358"/>
    <mergeCell ref="X363:AA363"/>
    <mergeCell ref="B437:E437"/>
    <mergeCell ref="B403:E403"/>
    <mergeCell ref="B402:E402"/>
    <mergeCell ref="B424:E424"/>
    <mergeCell ref="B433:E433"/>
    <mergeCell ref="X433:AA433"/>
    <mergeCell ref="B434:E434"/>
    <mergeCell ref="X434:AA434"/>
    <mergeCell ref="X343:AA343"/>
    <mergeCell ref="X257:AA257"/>
    <mergeCell ref="B309:E309"/>
    <mergeCell ref="X239:AA240"/>
    <mergeCell ref="B315:E315"/>
    <mergeCell ref="X293:AA293"/>
    <mergeCell ref="F239:F240"/>
    <mergeCell ref="X296:AA296"/>
    <mergeCell ref="X309:AA309"/>
    <mergeCell ref="X272:AA272"/>
    <mergeCell ref="X308:AA308"/>
    <mergeCell ref="B305:E305"/>
    <mergeCell ref="X278:AA278"/>
    <mergeCell ref="B285:E285"/>
    <mergeCell ref="X231:AA231"/>
    <mergeCell ref="X226:AA226"/>
    <mergeCell ref="B169:E169"/>
    <mergeCell ref="B172:E172"/>
    <mergeCell ref="X225:AA225"/>
    <mergeCell ref="B251:E251"/>
    <mergeCell ref="F238:J238"/>
    <mergeCell ref="B211:E211"/>
    <mergeCell ref="B188:E188"/>
    <mergeCell ref="B198:E198"/>
    <mergeCell ref="B234:E234"/>
    <mergeCell ref="B220:E220"/>
    <mergeCell ref="X233:AA233"/>
    <mergeCell ref="X227:AA227"/>
    <mergeCell ref="B232:E232"/>
    <mergeCell ref="B218:E218"/>
    <mergeCell ref="B214:E214"/>
    <mergeCell ref="B178:E178"/>
    <mergeCell ref="B284:E284"/>
    <mergeCell ref="B304:E304"/>
    <mergeCell ref="B335:E335"/>
    <mergeCell ref="B343:E343"/>
    <mergeCell ref="B329:E329"/>
    <mergeCell ref="B308:E308"/>
    <mergeCell ref="B300:E300"/>
    <mergeCell ref="B341:E341"/>
    <mergeCell ref="B338:E338"/>
    <mergeCell ref="B334:E334"/>
    <mergeCell ref="B311:E311"/>
    <mergeCell ref="C319:E320"/>
    <mergeCell ref="B307:E307"/>
    <mergeCell ref="B302:E302"/>
    <mergeCell ref="B235:E235"/>
    <mergeCell ref="X251:AA251"/>
    <mergeCell ref="X234:AA234"/>
    <mergeCell ref="C239:E240"/>
    <mergeCell ref="X242:AA242"/>
    <mergeCell ref="B283:E283"/>
    <mergeCell ref="B292:E292"/>
    <mergeCell ref="B303:E303"/>
    <mergeCell ref="B255:E255"/>
    <mergeCell ref="B279:E279"/>
    <mergeCell ref="B274:E274"/>
    <mergeCell ref="X270:AA270"/>
    <mergeCell ref="X235:AA235"/>
    <mergeCell ref="B282:E282"/>
    <mergeCell ref="X248:AA248"/>
    <mergeCell ref="B253:E253"/>
    <mergeCell ref="B281:E281"/>
    <mergeCell ref="B257:E257"/>
    <mergeCell ref="B197:E197"/>
    <mergeCell ref="X185:AA185"/>
    <mergeCell ref="H180:K185"/>
    <mergeCell ref="X255:AA255"/>
    <mergeCell ref="X279:AA279"/>
    <mergeCell ref="B225:E225"/>
    <mergeCell ref="B202:E202"/>
    <mergeCell ref="B210:E210"/>
    <mergeCell ref="X223:AA223"/>
    <mergeCell ref="X244:AA244"/>
    <mergeCell ref="X232:AA232"/>
    <mergeCell ref="X230:AA230"/>
    <mergeCell ref="B239:B240"/>
    <mergeCell ref="B230:E230"/>
    <mergeCell ref="X243:AA243"/>
    <mergeCell ref="B222:E222"/>
    <mergeCell ref="X262:AA262"/>
    <mergeCell ref="X274:AA274"/>
    <mergeCell ref="X275:AA275"/>
    <mergeCell ref="X271:AA271"/>
    <mergeCell ref="B273:E273"/>
    <mergeCell ref="B252:E252"/>
    <mergeCell ref="X276:AA276"/>
    <mergeCell ref="B185:E185"/>
    <mergeCell ref="X241:AA241"/>
    <mergeCell ref="B201:E201"/>
    <mergeCell ref="B244:E244"/>
    <mergeCell ref="B254:E254"/>
    <mergeCell ref="X277:AA277"/>
    <mergeCell ref="X256:AA256"/>
    <mergeCell ref="X181:AA181"/>
    <mergeCell ref="B228:E228"/>
    <mergeCell ref="B187:E187"/>
    <mergeCell ref="B189:E189"/>
    <mergeCell ref="B141:E141"/>
    <mergeCell ref="B144:E144"/>
    <mergeCell ref="X144:AA144"/>
    <mergeCell ref="B63:E63"/>
    <mergeCell ref="B132:E132"/>
    <mergeCell ref="X184:AA184"/>
    <mergeCell ref="X136:AA136"/>
    <mergeCell ref="B133:E133"/>
    <mergeCell ref="B186:E186"/>
    <mergeCell ref="B136:E136"/>
    <mergeCell ref="B174:E174"/>
    <mergeCell ref="X134:AA134"/>
    <mergeCell ref="B126:E126"/>
    <mergeCell ref="X183:AA183"/>
    <mergeCell ref="B181:E181"/>
    <mergeCell ref="F159:F160"/>
    <mergeCell ref="X166:AA166"/>
    <mergeCell ref="B159:B160"/>
    <mergeCell ref="B163:E163"/>
    <mergeCell ref="B173:E173"/>
    <mergeCell ref="AK12:AM12"/>
    <mergeCell ref="B23:E23"/>
    <mergeCell ref="AF29:AJ29"/>
    <mergeCell ref="X41:AA41"/>
    <mergeCell ref="X34:AA34"/>
    <mergeCell ref="X36:AA36"/>
    <mergeCell ref="X37:AA37"/>
    <mergeCell ref="X32:AA32"/>
    <mergeCell ref="AF27:AJ27"/>
    <mergeCell ref="AF26:AI26"/>
    <mergeCell ref="AF23:AI23"/>
    <mergeCell ref="B39:E39"/>
    <mergeCell ref="B28:E28"/>
    <mergeCell ref="B38:E38"/>
    <mergeCell ref="B41:E41"/>
    <mergeCell ref="X120:AA120"/>
    <mergeCell ref="H48:K48"/>
    <mergeCell ref="B47:E47"/>
    <mergeCell ref="B31:E31"/>
    <mergeCell ref="X47:AA47"/>
    <mergeCell ref="X31:AA31"/>
    <mergeCell ref="H33:K33"/>
    <mergeCell ref="B24:E24"/>
    <mergeCell ref="B21:E21"/>
    <mergeCell ref="H35:K35"/>
    <mergeCell ref="X38:AA38"/>
    <mergeCell ref="B51:E51"/>
    <mergeCell ref="B67:E67"/>
    <mergeCell ref="AF21:AI21"/>
    <mergeCell ref="AF24:AI24"/>
    <mergeCell ref="H30:K30"/>
    <mergeCell ref="AF28:AJ28"/>
    <mergeCell ref="B221:E221"/>
    <mergeCell ref="B165:E165"/>
    <mergeCell ref="B164:E164"/>
    <mergeCell ref="B192:E192"/>
    <mergeCell ref="H201:M201"/>
    <mergeCell ref="X169:AA169"/>
    <mergeCell ref="X147:AA147"/>
    <mergeCell ref="B135:E135"/>
    <mergeCell ref="X167:AA167"/>
    <mergeCell ref="B206:E206"/>
    <mergeCell ref="B145:E145"/>
    <mergeCell ref="B149:E149"/>
    <mergeCell ref="B182:E182"/>
    <mergeCell ref="B194:E194"/>
    <mergeCell ref="B175:E175"/>
    <mergeCell ref="X164:AA164"/>
    <mergeCell ref="B195:E195"/>
    <mergeCell ref="B180:E180"/>
    <mergeCell ref="X180:AA180"/>
    <mergeCell ref="I175:M178"/>
    <mergeCell ref="Q215:W215"/>
    <mergeCell ref="B146:E146"/>
    <mergeCell ref="C159:E160"/>
    <mergeCell ref="B176:E176"/>
    <mergeCell ref="B184:E184"/>
    <mergeCell ref="B179:E179"/>
    <mergeCell ref="X163:AA163"/>
    <mergeCell ref="X165:AA165"/>
    <mergeCell ref="B217:E217"/>
    <mergeCell ref="X155:AA155"/>
    <mergeCell ref="X172:AA172"/>
    <mergeCell ref="X140:AA140"/>
    <mergeCell ref="AF22:AI22"/>
    <mergeCell ref="AF25:AJ25"/>
    <mergeCell ref="X30:AA30"/>
    <mergeCell ref="B30:E30"/>
    <mergeCell ref="B27:E27"/>
    <mergeCell ref="B26:E26"/>
    <mergeCell ref="H37:K37"/>
    <mergeCell ref="AF30:AJ30"/>
    <mergeCell ref="X33:AA33"/>
    <mergeCell ref="H45:K45"/>
    <mergeCell ref="B58:E58"/>
    <mergeCell ref="H41:K41"/>
    <mergeCell ref="B32:E32"/>
    <mergeCell ref="X27:AA27"/>
    <mergeCell ref="B25:E25"/>
    <mergeCell ref="B33:E33"/>
    <mergeCell ref="H49:K49"/>
    <mergeCell ref="B35:E35"/>
    <mergeCell ref="B45:E45"/>
    <mergeCell ref="H40:K40"/>
    <mergeCell ref="H39:K39"/>
    <mergeCell ref="B34:E34"/>
    <mergeCell ref="X40:AA40"/>
    <mergeCell ref="B44:E44"/>
    <mergeCell ref="H44:K44"/>
    <mergeCell ref="X44:AA44"/>
    <mergeCell ref="H42:K42"/>
    <mergeCell ref="B167:E167"/>
    <mergeCell ref="B148:E148"/>
    <mergeCell ref="B170:E170"/>
    <mergeCell ref="B262:E262"/>
    <mergeCell ref="B248:E248"/>
    <mergeCell ref="B226:E226"/>
    <mergeCell ref="B168:E168"/>
    <mergeCell ref="B208:E208"/>
    <mergeCell ref="B242:E242"/>
    <mergeCell ref="B277:E277"/>
    <mergeCell ref="B213:E213"/>
    <mergeCell ref="B137:E137"/>
    <mergeCell ref="B259:E259"/>
    <mergeCell ref="B50:E50"/>
    <mergeCell ref="X70:AA70"/>
    <mergeCell ref="B66:E66"/>
    <mergeCell ref="B60:E60"/>
    <mergeCell ref="X87:Z87"/>
    <mergeCell ref="B104:E104"/>
    <mergeCell ref="B97:E97"/>
    <mergeCell ref="B87:E87"/>
    <mergeCell ref="B64:E64"/>
    <mergeCell ref="X133:AA133"/>
    <mergeCell ref="B216:E216"/>
    <mergeCell ref="X182:AA182"/>
    <mergeCell ref="X159:AA160"/>
    <mergeCell ref="B151:E151"/>
    <mergeCell ref="G159:G160"/>
    <mergeCell ref="B171:E171"/>
    <mergeCell ref="B205:E205"/>
    <mergeCell ref="X162:AA162"/>
    <mergeCell ref="B209:E209"/>
    <mergeCell ref="C661:I662"/>
    <mergeCell ref="B544:E544"/>
    <mergeCell ref="B579:E579"/>
    <mergeCell ref="B587:E587"/>
    <mergeCell ref="B554:E554"/>
    <mergeCell ref="B509:E509"/>
    <mergeCell ref="B497:E497"/>
    <mergeCell ref="B534:E534"/>
    <mergeCell ref="B571:E571"/>
    <mergeCell ref="B578:E578"/>
    <mergeCell ref="B575:E575"/>
    <mergeCell ref="B586:E586"/>
    <mergeCell ref="B582:E582"/>
    <mergeCell ref="C660:G660"/>
    <mergeCell ref="C659:G659"/>
    <mergeCell ref="C657:I657"/>
    <mergeCell ref="B655:J655"/>
    <mergeCell ref="B650:G650"/>
    <mergeCell ref="B583:E583"/>
    <mergeCell ref="B611:E611"/>
    <mergeCell ref="B584:E584"/>
    <mergeCell ref="B594:E594"/>
    <mergeCell ref="B621:E621"/>
    <mergeCell ref="B608:E608"/>
    <mergeCell ref="B644:G644"/>
    <mergeCell ref="B607:E607"/>
    <mergeCell ref="H648:H649"/>
    <mergeCell ref="B576:E576"/>
    <mergeCell ref="B557:E557"/>
    <mergeCell ref="B543:E543"/>
    <mergeCell ref="B507:E507"/>
    <mergeCell ref="B604:E604"/>
    <mergeCell ref="V648:V649"/>
    <mergeCell ref="B620:E620"/>
    <mergeCell ref="B605:E605"/>
    <mergeCell ref="Q648:Q649"/>
    <mergeCell ref="B301:E301"/>
    <mergeCell ref="B708:W708"/>
    <mergeCell ref="B696:W696"/>
    <mergeCell ref="B681:W681"/>
    <mergeCell ref="B679:W679"/>
    <mergeCell ref="B699:W706"/>
    <mergeCell ref="B682:W682"/>
    <mergeCell ref="B695:W695"/>
    <mergeCell ref="B693:W693"/>
    <mergeCell ref="B697:W697"/>
    <mergeCell ref="B686:W689"/>
    <mergeCell ref="B691:W692"/>
    <mergeCell ref="B685:W685"/>
    <mergeCell ref="B683:W683"/>
    <mergeCell ref="S648:S649"/>
    <mergeCell ref="C658:G658"/>
    <mergeCell ref="B625:E625"/>
    <mergeCell ref="B628:E628"/>
    <mergeCell ref="H399:W399"/>
    <mergeCell ref="N648:N649"/>
    <mergeCell ref="B489:E489"/>
    <mergeCell ref="B494:E494"/>
    <mergeCell ref="B523:E523"/>
    <mergeCell ref="G480:G481"/>
    <mergeCell ref="B439:E439"/>
    <mergeCell ref="B530:E530"/>
    <mergeCell ref="B493:E493"/>
    <mergeCell ref="C669:I675"/>
    <mergeCell ref="B550:E550"/>
    <mergeCell ref="B551:E551"/>
    <mergeCell ref="B428:E428"/>
    <mergeCell ref="B491:E491"/>
    <mergeCell ref="B462:E462"/>
    <mergeCell ref="B469:E469"/>
    <mergeCell ref="B468:E468"/>
    <mergeCell ref="B426:E426"/>
    <mergeCell ref="B446:E446"/>
    <mergeCell ref="B443:E443"/>
    <mergeCell ref="B419:E419"/>
    <mergeCell ref="B411:E411"/>
    <mergeCell ref="B450:E450"/>
    <mergeCell ref="B514:E514"/>
    <mergeCell ref="B513:E513"/>
    <mergeCell ref="B521:E521"/>
    <mergeCell ref="B528:E528"/>
    <mergeCell ref="C517:E518"/>
    <mergeCell ref="B510:E510"/>
    <mergeCell ref="B511:E511"/>
    <mergeCell ref="C480:E481"/>
    <mergeCell ref="B472:E472"/>
    <mergeCell ref="B539:E539"/>
    <mergeCell ref="B492:E492"/>
    <mergeCell ref="B512:E512"/>
    <mergeCell ref="B496:E496"/>
    <mergeCell ref="B482:E482"/>
    <mergeCell ref="B483:E483"/>
    <mergeCell ref="B484:E484"/>
    <mergeCell ref="B432:E432"/>
    <mergeCell ref="A643:A653"/>
    <mergeCell ref="B651:G651"/>
    <mergeCell ref="B629:E629"/>
    <mergeCell ref="B652:G652"/>
    <mergeCell ref="B630:E630"/>
    <mergeCell ref="B633:E633"/>
    <mergeCell ref="B653:G653"/>
    <mergeCell ref="B642:G642"/>
    <mergeCell ref="B565:E565"/>
    <mergeCell ref="B570:E570"/>
    <mergeCell ref="X300:AA300"/>
    <mergeCell ref="B297:E297"/>
    <mergeCell ref="B299:E299"/>
    <mergeCell ref="X291:AA291"/>
    <mergeCell ref="X304:AA304"/>
    <mergeCell ref="X301:AA301"/>
    <mergeCell ref="B288:E288"/>
    <mergeCell ref="B290:E290"/>
    <mergeCell ref="X292:AA292"/>
    <mergeCell ref="X290:AA290"/>
    <mergeCell ref="B344:E344"/>
    <mergeCell ref="B306:E306"/>
    <mergeCell ref="X460:AA460"/>
    <mergeCell ref="B441:E441"/>
    <mergeCell ref="C399:E400"/>
    <mergeCell ref="B538:E538"/>
    <mergeCell ref="B537:E537"/>
    <mergeCell ref="B529:E529"/>
    <mergeCell ref="B526:E526"/>
    <mergeCell ref="B461:E461"/>
    <mergeCell ref="F591:F592"/>
    <mergeCell ref="G591:G592"/>
    <mergeCell ref="AF159:AH159"/>
    <mergeCell ref="B122:E122"/>
    <mergeCell ref="B69:E69"/>
    <mergeCell ref="X35:AA35"/>
    <mergeCell ref="B56:E56"/>
    <mergeCell ref="B79:B80"/>
    <mergeCell ref="B6:W6"/>
    <mergeCell ref="AF19:AI19"/>
    <mergeCell ref="AF20:AJ20"/>
    <mergeCell ref="X39:AA39"/>
    <mergeCell ref="B42:E42"/>
    <mergeCell ref="B62:E62"/>
    <mergeCell ref="B55:E55"/>
    <mergeCell ref="X45:AA45"/>
    <mergeCell ref="B46:E46"/>
    <mergeCell ref="H46:K46"/>
    <mergeCell ref="X46:AA46"/>
    <mergeCell ref="B48:E48"/>
    <mergeCell ref="B43:E43"/>
    <mergeCell ref="H47:K47"/>
    <mergeCell ref="X42:AA42"/>
    <mergeCell ref="X49:AA49"/>
    <mergeCell ref="B57:E57"/>
    <mergeCell ref="I71:M71"/>
    <mergeCell ref="B22:E22"/>
    <mergeCell ref="X88:Z88"/>
    <mergeCell ref="B91:E91"/>
    <mergeCell ref="B98:E98"/>
    <mergeCell ref="B90:E90"/>
    <mergeCell ref="B129:E129"/>
    <mergeCell ref="X116:AA116"/>
    <mergeCell ref="X143:AA143"/>
    <mergeCell ref="B485:E485"/>
    <mergeCell ref="B275:E275"/>
    <mergeCell ref="B264:E264"/>
    <mergeCell ref="B272:E272"/>
    <mergeCell ref="B266:E266"/>
    <mergeCell ref="B115:E115"/>
    <mergeCell ref="B267:E267"/>
    <mergeCell ref="B134:E134"/>
    <mergeCell ref="G110:M110"/>
    <mergeCell ref="B140:E140"/>
    <mergeCell ref="B265:E265"/>
    <mergeCell ref="B112:E112"/>
    <mergeCell ref="B196:E196"/>
    <mergeCell ref="B241:E241"/>
    <mergeCell ref="B103:E103"/>
    <mergeCell ref="B130:E130"/>
    <mergeCell ref="X73:AA73"/>
    <mergeCell ref="I73:K73"/>
    <mergeCell ref="X75:AA75"/>
    <mergeCell ref="X83:Z83"/>
    <mergeCell ref="X107:AA107"/>
    <mergeCell ref="G79:G80"/>
    <mergeCell ref="X361:AA361"/>
    <mergeCell ref="B261:E261"/>
    <mergeCell ref="B269:E269"/>
    <mergeCell ref="X161:AA161"/>
    <mergeCell ref="H159:W159"/>
    <mergeCell ref="B85:E85"/>
    <mergeCell ref="X137:AA137"/>
    <mergeCell ref="X128:AA128"/>
    <mergeCell ref="X138:AA138"/>
    <mergeCell ref="B114:E114"/>
    <mergeCell ref="B219:E219"/>
    <mergeCell ref="B203:E203"/>
    <mergeCell ref="B212:E212"/>
    <mergeCell ref="B143:E143"/>
    <mergeCell ref="X174:AA174"/>
    <mergeCell ref="B177:E177"/>
    <mergeCell ref="X171:AA171"/>
    <mergeCell ref="B183:E183"/>
    <mergeCell ref="B109:E109"/>
    <mergeCell ref="B271:E271"/>
    <mergeCell ref="B250:E250"/>
    <mergeCell ref="G107:O107"/>
    <mergeCell ref="G108:O108"/>
    <mergeCell ref="B293:E293"/>
    <mergeCell ref="B291:E291"/>
    <mergeCell ref="B314:E314"/>
    <mergeCell ref="B415:E415"/>
    <mergeCell ref="G122:K122"/>
    <mergeCell ref="F399:F400"/>
    <mergeCell ref="B404:E404"/>
    <mergeCell ref="B128:E128"/>
    <mergeCell ref="B139:E139"/>
    <mergeCell ref="B243:E243"/>
    <mergeCell ref="B224:E224"/>
    <mergeCell ref="B278:E278"/>
    <mergeCell ref="B247:E247"/>
    <mergeCell ref="B256:E256"/>
    <mergeCell ref="B223:E223"/>
    <mergeCell ref="B215:E215"/>
    <mergeCell ref="B153:E153"/>
    <mergeCell ref="B154:E154"/>
    <mergeCell ref="I70:M70"/>
    <mergeCell ref="X15:AA15"/>
    <mergeCell ref="Q15:W15"/>
    <mergeCell ref="F8:F9"/>
    <mergeCell ref="X19:AA19"/>
    <mergeCell ref="X108:AA108"/>
    <mergeCell ref="X18:AA18"/>
    <mergeCell ref="X8:AA9"/>
    <mergeCell ref="B13:E13"/>
    <mergeCell ref="Q16:W16"/>
    <mergeCell ref="B125:E125"/>
    <mergeCell ref="B120:E120"/>
    <mergeCell ref="G116:K116"/>
    <mergeCell ref="X114:AA114"/>
    <mergeCell ref="B101:E101"/>
    <mergeCell ref="H32:K32"/>
    <mergeCell ref="X141:AA141"/>
    <mergeCell ref="B96:E96"/>
    <mergeCell ref="B68:E68"/>
    <mergeCell ref="B61:E61"/>
    <mergeCell ref="B49:E49"/>
    <mergeCell ref="B52:E52"/>
    <mergeCell ref="H43:K43"/>
    <mergeCell ref="B36:E36"/>
    <mergeCell ref="B53:E53"/>
    <mergeCell ref="F50:I53"/>
    <mergeCell ref="H38:K38"/>
    <mergeCell ref="H36:K36"/>
    <mergeCell ref="B37:E37"/>
    <mergeCell ref="B138:E138"/>
    <mergeCell ref="H31:K31"/>
    <mergeCell ref="AF79:AH79"/>
    <mergeCell ref="B72:E72"/>
    <mergeCell ref="C8:E9"/>
    <mergeCell ref="B12:E12"/>
    <mergeCell ref="E3:W3"/>
    <mergeCell ref="E4:W4"/>
    <mergeCell ref="Y2:AD2"/>
    <mergeCell ref="H8:W8"/>
    <mergeCell ref="B8:B9"/>
    <mergeCell ref="AF18:AJ18"/>
    <mergeCell ref="B19:E19"/>
    <mergeCell ref="B7:W7"/>
    <mergeCell ref="AE5:AI7"/>
    <mergeCell ref="B40:E40"/>
    <mergeCell ref="AF12:AH12"/>
    <mergeCell ref="AC8:AI9"/>
    <mergeCell ref="B2:W2"/>
    <mergeCell ref="B18:E18"/>
    <mergeCell ref="B10:E10"/>
    <mergeCell ref="B11:E11"/>
    <mergeCell ref="B15:E15"/>
    <mergeCell ref="AF17:AJ17"/>
    <mergeCell ref="G8:G9"/>
    <mergeCell ref="B17:E17"/>
    <mergeCell ref="X48:AA48"/>
    <mergeCell ref="B54:E54"/>
    <mergeCell ref="B75:E75"/>
    <mergeCell ref="X72:AA72"/>
    <mergeCell ref="AB79:AB80"/>
    <mergeCell ref="F79:F80"/>
    <mergeCell ref="X43:AA43"/>
    <mergeCell ref="B59:E59"/>
    <mergeCell ref="AJ1:AJ2"/>
    <mergeCell ref="AE1:AI1"/>
    <mergeCell ref="Y1:AD1"/>
    <mergeCell ref="AF10:AH10"/>
    <mergeCell ref="AE3:AI4"/>
    <mergeCell ref="AE2:AG2"/>
    <mergeCell ref="AF13:AH13"/>
    <mergeCell ref="X5:AD7"/>
    <mergeCell ref="AB8:AB9"/>
    <mergeCell ref="AF11:AH11"/>
    <mergeCell ref="B1:W1"/>
    <mergeCell ref="B3:D5"/>
    <mergeCell ref="E5:W5"/>
    <mergeCell ref="X3:AD4"/>
    <mergeCell ref="X20:AA20"/>
    <mergeCell ref="B20:E20"/>
    <mergeCell ref="AF14:AI14"/>
    <mergeCell ref="B616:E616"/>
    <mergeCell ref="X364:AA364"/>
    <mergeCell ref="X338:AA338"/>
    <mergeCell ref="B14:E14"/>
    <mergeCell ref="X472:AA472"/>
    <mergeCell ref="B16:E16"/>
    <mergeCell ref="B541:E541"/>
    <mergeCell ref="B520:E520"/>
    <mergeCell ref="B527:E527"/>
    <mergeCell ref="B486:E486"/>
    <mergeCell ref="B499:E499"/>
    <mergeCell ref="X365:AA365"/>
    <mergeCell ref="X307:AA307"/>
    <mergeCell ref="B204:E204"/>
    <mergeCell ref="B193:E193"/>
    <mergeCell ref="B200:E200"/>
    <mergeCell ref="X259:AA259"/>
    <mergeCell ref="B191:E191"/>
    <mergeCell ref="B231:E231"/>
    <mergeCell ref="B147:E147"/>
    <mergeCell ref="H319:W319"/>
    <mergeCell ref="X297:AA297"/>
    <mergeCell ref="X264:AA264"/>
    <mergeCell ref="B100:E100"/>
    <mergeCell ref="G121:K121"/>
    <mergeCell ref="X14:AA14"/>
    <mergeCell ref="X25:AA25"/>
    <mergeCell ref="X84:Z84"/>
    <mergeCell ref="B99:E99"/>
    <mergeCell ref="B95:E95"/>
    <mergeCell ref="B161:E161"/>
    <mergeCell ref="B155:E155"/>
    <mergeCell ref="AC138:AF138"/>
    <mergeCell ref="AB159:AB160"/>
    <mergeCell ref="H111:M112"/>
    <mergeCell ref="X110:AA110"/>
    <mergeCell ref="X109:AA109"/>
    <mergeCell ref="B106:E106"/>
    <mergeCell ref="B107:E107"/>
    <mergeCell ref="X112:AA112"/>
    <mergeCell ref="B88:E88"/>
    <mergeCell ref="B113:E113"/>
    <mergeCell ref="B94:E94"/>
    <mergeCell ref="B92:E92"/>
    <mergeCell ref="B142:E142"/>
    <mergeCell ref="B162:E162"/>
    <mergeCell ref="X130:AA130"/>
    <mergeCell ref="B29:E29"/>
    <mergeCell ref="B83:E83"/>
    <mergeCell ref="B121:E121"/>
    <mergeCell ref="X79:AA80"/>
    <mergeCell ref="I113:W114"/>
    <mergeCell ref="X125:AA125"/>
    <mergeCell ref="X121:AA121"/>
    <mergeCell ref="G115:K115"/>
    <mergeCell ref="G117:K117"/>
    <mergeCell ref="G109:M109"/>
    <mergeCell ref="O96:W96"/>
    <mergeCell ref="B117:E117"/>
    <mergeCell ref="B108:E108"/>
    <mergeCell ref="H34:K34"/>
    <mergeCell ref="B118:E118"/>
    <mergeCell ref="G118:K118"/>
    <mergeCell ref="X115:AA115"/>
    <mergeCell ref="AF399:AH399"/>
    <mergeCell ref="AB399:AB400"/>
    <mergeCell ref="AF319:AH319"/>
    <mergeCell ref="AF239:AH239"/>
    <mergeCell ref="AB319:AB320"/>
    <mergeCell ref="X319:AA320"/>
    <mergeCell ref="X299:AA299"/>
    <mergeCell ref="B270:E270"/>
    <mergeCell ref="B260:E260"/>
    <mergeCell ref="X269:AA269"/>
    <mergeCell ref="B268:E268"/>
    <mergeCell ref="X267:AA267"/>
    <mergeCell ref="X265:AA265"/>
    <mergeCell ref="AB239:AB240"/>
    <mergeCell ref="B276:E276"/>
    <mergeCell ref="B312:E312"/>
    <mergeCell ref="H239:W239"/>
    <mergeCell ref="B386:E386"/>
    <mergeCell ref="H274:M279"/>
    <mergeCell ref="B280:E280"/>
    <mergeCell ref="X303:AA303"/>
    <mergeCell ref="X298:AA298"/>
    <mergeCell ref="X261:AA261"/>
    <mergeCell ref="X258:AA258"/>
    <mergeCell ref="B319:B320"/>
    <mergeCell ref="X268:AA268"/>
    <mergeCell ref="X337:AA337"/>
    <mergeCell ref="B324:E324"/>
    <mergeCell ref="B325:E325"/>
    <mergeCell ref="B363:E363"/>
    <mergeCell ref="B378:E378"/>
    <mergeCell ref="B369:E369"/>
    <mergeCell ref="B73:E73"/>
    <mergeCell ref="X71:AA71"/>
    <mergeCell ref="I72:M72"/>
    <mergeCell ref="B65:E65"/>
    <mergeCell ref="X168:AA168"/>
    <mergeCell ref="B71:E71"/>
    <mergeCell ref="X139:AA139"/>
    <mergeCell ref="X135:AA135"/>
    <mergeCell ref="X145:AA145"/>
    <mergeCell ref="B111:E111"/>
    <mergeCell ref="X127:AA127"/>
    <mergeCell ref="X122:AA122"/>
    <mergeCell ref="X117:AA117"/>
    <mergeCell ref="X113:AA113"/>
    <mergeCell ref="B116:E116"/>
    <mergeCell ref="X131:AA131"/>
    <mergeCell ref="F81:I91"/>
    <mergeCell ref="B84:E84"/>
    <mergeCell ref="B81:E81"/>
    <mergeCell ref="B86:E86"/>
    <mergeCell ref="B152:E152"/>
    <mergeCell ref="X154:AA154"/>
    <mergeCell ref="B70:E70"/>
    <mergeCell ref="H79:W79"/>
    <mergeCell ref="B105:E105"/>
    <mergeCell ref="B150:E150"/>
    <mergeCell ref="B131:E131"/>
    <mergeCell ref="X132:AA132"/>
    <mergeCell ref="X129:AA129"/>
    <mergeCell ref="X111:AA111"/>
    <mergeCell ref="B93:E93"/>
    <mergeCell ref="X146:AA146"/>
    <mergeCell ref="X118:AA118"/>
    <mergeCell ref="B123:E123"/>
    <mergeCell ref="G123:K123"/>
    <mergeCell ref="X123:AA123"/>
    <mergeCell ref="B119:E119"/>
    <mergeCell ref="G119:K119"/>
    <mergeCell ref="X119:AA119"/>
    <mergeCell ref="B124:E124"/>
    <mergeCell ref="G124:K124"/>
    <mergeCell ref="X124:AA124"/>
    <mergeCell ref="X412:AA412"/>
    <mergeCell ref="C79:E80"/>
    <mergeCell ref="B74:E74"/>
    <mergeCell ref="B127:E127"/>
    <mergeCell ref="B102:E102"/>
    <mergeCell ref="B207:E207"/>
    <mergeCell ref="B82:E82"/>
    <mergeCell ref="G125:K125"/>
    <mergeCell ref="G120:K120"/>
    <mergeCell ref="B89:E89"/>
    <mergeCell ref="B258:E258"/>
    <mergeCell ref="B229:E229"/>
    <mergeCell ref="X229:AA229"/>
    <mergeCell ref="B245:E245"/>
    <mergeCell ref="X179:AA179"/>
    <mergeCell ref="X245:AA245"/>
    <mergeCell ref="X173:AA173"/>
    <mergeCell ref="B166:E166"/>
    <mergeCell ref="B110:E110"/>
    <mergeCell ref="X306:AA306"/>
    <mergeCell ref="X305:AA305"/>
    <mergeCell ref="X142:AA142"/>
  </mergeCells>
  <phoneticPr fontId="0" type="noConversion"/>
  <hyperlinks>
    <hyperlink ref="AB12" r:id="rId1" display="https://www.jivi.com.ar/ficha.php?id=27"/>
    <hyperlink ref="AB27" r:id="rId2" display="https://www.jivi.com.ar/ficha.php?id=660"/>
    <hyperlink ref="AB34" r:id="rId3"/>
    <hyperlink ref="AB33" r:id="rId4"/>
    <hyperlink ref="AB32" r:id="rId5"/>
    <hyperlink ref="AB31" r:id="rId6"/>
    <hyperlink ref="AB30" r:id="rId7"/>
    <hyperlink ref="AB50" r:id="rId8"/>
    <hyperlink ref="AB51" r:id="rId9"/>
    <hyperlink ref="AB54" r:id="rId10" display="https://www.jivi.com.ar/ficha.php?id=41"/>
    <hyperlink ref="AB55" r:id="rId11" display="https://www.jivi.com.ar/ficha.php?id=42"/>
    <hyperlink ref="AB56" r:id="rId12" display="https://www.jivi.com.ar/ficha.php?id=649"/>
    <hyperlink ref="AB57" r:id="rId13" display="https://www.jivi.com.ar/ficha.php?id=650"/>
    <hyperlink ref="AB65" r:id="rId14" display="https://www.jivi.com.ar/ficha.php?id=164"/>
    <hyperlink ref="AB69" r:id="rId15" display="https://www.jivi.com.ar/ficha.php?id=77"/>
    <hyperlink ref="AB71" r:id="rId16"/>
    <hyperlink ref="AB73" r:id="rId17"/>
    <hyperlink ref="AB74" r:id="rId18"/>
    <hyperlink ref="AC81" r:id="rId19"/>
    <hyperlink ref="AD81" r:id="rId20"/>
    <hyperlink ref="AE81" r:id="rId21"/>
    <hyperlink ref="AF81" r:id="rId22"/>
    <hyperlink ref="AG81" r:id="rId23"/>
    <hyperlink ref="AC82" r:id="rId24"/>
    <hyperlink ref="AD82" r:id="rId25"/>
    <hyperlink ref="AE82" r:id="rId26"/>
    <hyperlink ref="AF82" r:id="rId27"/>
    <hyperlink ref="AG82" r:id="rId28"/>
    <hyperlink ref="AH82" r:id="rId29"/>
    <hyperlink ref="AC83" r:id="rId30"/>
    <hyperlink ref="AD83" r:id="rId31"/>
    <hyperlink ref="AE83" r:id="rId32"/>
    <hyperlink ref="AF83" r:id="rId33"/>
    <hyperlink ref="AH83" r:id="rId34"/>
    <hyperlink ref="AG83" r:id="rId35"/>
    <hyperlink ref="AC84" r:id="rId36"/>
    <hyperlink ref="AD84" r:id="rId37"/>
    <hyperlink ref="AE84" r:id="rId38"/>
    <hyperlink ref="AF84" r:id="rId39"/>
    <hyperlink ref="AC85" r:id="rId40"/>
    <hyperlink ref="AD85" r:id="rId41"/>
    <hyperlink ref="AE85" r:id="rId42"/>
    <hyperlink ref="AF85" r:id="rId43"/>
    <hyperlink ref="AG85" r:id="rId44"/>
    <hyperlink ref="AC86" r:id="rId45"/>
    <hyperlink ref="AD86" r:id="rId46"/>
    <hyperlink ref="AE86" r:id="rId47"/>
    <hyperlink ref="AC87" r:id="rId48"/>
    <hyperlink ref="AD87" r:id="rId49"/>
    <hyperlink ref="AE87" r:id="rId50"/>
    <hyperlink ref="AF87" r:id="rId51"/>
    <hyperlink ref="AG87" r:id="rId52"/>
    <hyperlink ref="AH87" r:id="rId53"/>
    <hyperlink ref="AB88" r:id="rId54"/>
    <hyperlink ref="AB89" r:id="rId55"/>
    <hyperlink ref="AB90" r:id="rId56"/>
    <hyperlink ref="AC91" r:id="rId57"/>
    <hyperlink ref="AD91" r:id="rId58"/>
    <hyperlink ref="AE91" r:id="rId59"/>
    <hyperlink ref="AF91" r:id="rId60"/>
    <hyperlink ref="AG91" r:id="rId61"/>
    <hyperlink ref="AB312" r:id="rId62" display="https://www.jivi.com.ar/ficha.php?id=187"/>
    <hyperlink ref="AB314" r:id="rId63" display="https://www.jivi.com.ar/ficha.php?id=4"/>
    <hyperlink ref="AB331" r:id="rId64" display="https://www.jivi.com.ar/ficha.php?id=55"/>
    <hyperlink ref="AB334" r:id="rId65" display="https://www.jivi.com.ar/ficha.php?id=209"/>
    <hyperlink ref="AB335" r:id="rId66"/>
    <hyperlink ref="AB342" r:id="rId67" display="https://www.jivi.com.ar/ficha.php?id=60"/>
    <hyperlink ref="AB344" r:id="rId68" display="https://www.jivi.com.ar/ficha.php?id=380"/>
    <hyperlink ref="AB348" r:id="rId69" display="https://www.jivi.com.ar/ficha.php?id=548"/>
    <hyperlink ref="AB349" r:id="rId70"/>
    <hyperlink ref="AB350" r:id="rId71" display="https://www.jivi.com.ar/ficha.php?id=719"/>
    <hyperlink ref="AB102" r:id="rId72" display="https://www.jivi.com.ar/ficha.php?id=326"/>
    <hyperlink ref="AB106" r:id="rId73" display="https://www.jivi.com.ar/ficha.php?id=134"/>
    <hyperlink ref="AB111" r:id="rId74" display="https://www.jivi.com.ar/ficha.php?id=10"/>
    <hyperlink ref="AB112" r:id="rId75" display="https://www.jivi.com.ar/ficha.php?id=11"/>
    <hyperlink ref="AB136" r:id="rId76" display="https://www.jivi.com.ar/ficha.php?id=394"/>
    <hyperlink ref="AB137" r:id="rId77" display="https://www.jivi.com.ar/ficha.php?id=145"/>
    <hyperlink ref="AB140" r:id="rId78" display="https://www.jivi.com.ar/ficha.php?id=18"/>
    <hyperlink ref="AB144" r:id="rId79" display="https://www.jivi.com.ar/ficha.php?id=19"/>
    <hyperlink ref="AB148" r:id="rId80" display="https://www.jivi.com.ar/ficha.php?id=142"/>
    <hyperlink ref="AB149" r:id="rId81" display="https://www.jivi.com.ar/ficha.php?id=392"/>
    <hyperlink ref="AB150" r:id="rId82" display="https://www.jivi.com.ar/ficha.php?id=393"/>
    <hyperlink ref="AB175" r:id="rId83" display="https://www.jivi.com.ar/ficha.php?id=135"/>
    <hyperlink ref="AB176" r:id="rId84" display="https://www.jivi.com.ar/ficha.php?id=136"/>
    <hyperlink ref="AB177" r:id="rId85" display="https://www.jivi.com.ar/ficha.php?id=137"/>
    <hyperlink ref="AB178" r:id="rId86" display="https://www.jivi.com.ar/ficha.php?id=138"/>
    <hyperlink ref="AB186" r:id="rId87" display="https://www.jivi.com.ar/ficha.php?id=245"/>
    <hyperlink ref="AB201" r:id="rId88" display="https://www.jivi.com.ar/ficha.php?id=166"/>
    <hyperlink ref="AB202" r:id="rId89" display="https://www.jivi.com.ar/ficha.php?id=171"/>
    <hyperlink ref="AB206" r:id="rId90" display="https://www.jivi.com.ar/ficha.php?id=168"/>
    <hyperlink ref="AB212" r:id="rId91" display="https://www.jivi.com.ar/ficha.php?id=169"/>
    <hyperlink ref="AB214" r:id="rId92" display="https://www.jivi.com.ar/ficha.php?id=148"/>
    <hyperlink ref="AB215" r:id="rId93" display="https://www.jivi.com.ar/ficha.php?id=158"/>
    <hyperlink ref="AB267" r:id="rId94" display="https://www.jivi.com.ar/ficha.php?id=621"/>
    <hyperlink ref="AB268" r:id="rId95" display="https://www.jivi.com.ar/ficha.php?id=622"/>
    <hyperlink ref="AB96" r:id="rId96" display="https://www.jivi.com.ar/ficha.php?id=456"/>
    <hyperlink ref="AB273" r:id="rId97" display="https://www.jivi.com.ar/ficha.php?id=246"/>
    <hyperlink ref="AB420" r:id="rId98" display="https://www.jivi.com.ar/ficha.php?id=431"/>
    <hyperlink ref="AB424" r:id="rId99" display="https://www.jivi.com.ar/ficha.php?id=728"/>
    <hyperlink ref="AB440" r:id="rId100"/>
    <hyperlink ref="AB442" r:id="rId101"/>
    <hyperlink ref="AB452" r:id="rId102"/>
    <hyperlink ref="AB454" r:id="rId103"/>
    <hyperlink ref="AB456" r:id="rId104"/>
    <hyperlink ref="AB457" r:id="rId105"/>
    <hyperlink ref="AB458" r:id="rId106"/>
    <hyperlink ref="AB460" r:id="rId107"/>
    <hyperlink ref="AB461" r:id="rId108"/>
    <hyperlink ref="AB463" r:id="rId109"/>
    <hyperlink ref="AB466" r:id="rId110"/>
    <hyperlink ref="AB467" r:id="rId111"/>
    <hyperlink ref="AB468" r:id="rId112"/>
    <hyperlink ref="AB595" r:id="rId113"/>
    <hyperlink ref="AB596" r:id="rId114"/>
    <hyperlink ref="AB597" r:id="rId115"/>
    <hyperlink ref="AB600" r:id="rId116"/>
    <hyperlink ref="AB605" r:id="rId117"/>
    <hyperlink ref="AB606" r:id="rId118"/>
    <hyperlink ref="AB608" r:id="rId119"/>
    <hyperlink ref="AB609" r:id="rId120"/>
    <hyperlink ref="AB610" r:id="rId121"/>
    <hyperlink ref="AB98" r:id="rId122" display="https://www.jivi.com.ar/ficha.php?id=234"/>
    <hyperlink ref="AB325" r:id="rId123" display="https://www.jivi.com.ar/ficha.php?id=51"/>
    <hyperlink ref="AB336" r:id="rId124"/>
    <hyperlink ref="AB256" r:id="rId125" display="https://www.jivi.com.ar/ficha.php?id=783"/>
    <hyperlink ref="B7:V7" location="'Artículos Publicitarios'!A686" display="PARA IR A LOS RECARGOS POR IMPRESIONES ADICIONALES CLICK AQUÍ"/>
    <hyperlink ref="AB444" r:id="rId126"/>
    <hyperlink ref="AC52" r:id="rId127"/>
    <hyperlink ref="AD52" r:id="rId128"/>
    <hyperlink ref="AE52" r:id="rId129"/>
    <hyperlink ref="B7:W7" location="'Artículos Publicitarios'!A661" display="PARA IR A LOS RECARGOS POR IMPRESIONES ADICIONALES CLICK AQUÍ"/>
    <hyperlink ref="AB223" r:id="rId130" display="https://www.jivi.com.ar/ficha.php?id=840"/>
    <hyperlink ref="AE2:AF2" location="'Artículos Publicitarios'!A839" display="CLICK AQUÍ"/>
    <hyperlink ref="AE2" location="'Artículos Publicitarios'!A833" display="CLICK AQUÍ"/>
    <hyperlink ref="AB506" r:id="rId131" display="https://www.jivi.com.ar/ficha.php?id=846"/>
    <hyperlink ref="AB25" r:id="rId132" display="https://www.jivi.com.ar/ficha.php?id=848"/>
    <hyperlink ref="AB75" r:id="rId133"/>
    <hyperlink ref="AE2:AG2" location="'Artículos Publicitarios'!A707" display="CLICK AQUÍ"/>
    <hyperlink ref="B708:W708" location="'Artículos Publicitarios'!A3" display="PARA SUBIR AL PRINCIPIO DE LA LISTA CLICK AQUÍ"/>
    <hyperlink ref="AB253" r:id="rId134" display="https://www.jivi.com.ar/ficha.php?id=862"/>
    <hyperlink ref="AB43" r:id="rId135"/>
    <hyperlink ref="AB151" r:id="rId136" display="https://www.jivi.com.ar/ficha.php?id=882"/>
    <hyperlink ref="AB103" r:id="rId137"/>
    <hyperlink ref="AF10:AH10" location="'Artículos Publicitarios'!A181" display="IR A PAGINA 3"/>
    <hyperlink ref="AF79:AH79" location="'Artículos Publicitarios'!A3" display="IR A PAGINA 1"/>
    <hyperlink ref="AF159:AH159" location="'Artículos Publicitarios'!A3" display="IR A PAGINA 1"/>
    <hyperlink ref="AF239:AH239" location="'Artículos Publicitarios'!A3" display="IR A PAGINA 1"/>
    <hyperlink ref="AF319:AH319" location="'Artículos Publicitarios'!A3" display="IR A PAGINA 1"/>
    <hyperlink ref="AF399:AH399" location="'Artículos Publicitarios'!A3" display="IR A PAGINA 1"/>
    <hyperlink ref="AB271" r:id="rId138" display="https://www.jivi.com.ar/ficha.php?id=903"/>
    <hyperlink ref="AB20" r:id="rId139"/>
    <hyperlink ref="AB330" r:id="rId140" display="https://www.jivi.com.ar/ficha.php?id=916"/>
    <hyperlink ref="AB264" r:id="rId141" display="https://www.jivi.com.ar/ficha.php?id=918"/>
    <hyperlink ref="AB315" r:id="rId142" display="https://www.jivi.com.ar/ficha.php?id=926"/>
    <hyperlink ref="AB66" r:id="rId143"/>
    <hyperlink ref="AB438" r:id="rId144"/>
    <hyperlink ref="AB179" r:id="rId145" display="https://www.jivi.com.ar/ficha.php?id=948"/>
    <hyperlink ref="AB332" r:id="rId146" display="https://www.jivi.com.ar/ficha.php?id=954"/>
    <hyperlink ref="AB131" r:id="rId147"/>
    <hyperlink ref="AB133" r:id="rId148"/>
    <hyperlink ref="AB132" r:id="rId149"/>
    <hyperlink ref="AB445" r:id="rId150"/>
    <hyperlink ref="AB26" r:id="rId151"/>
    <hyperlink ref="AB326" r:id="rId152" display="https://www.jivi.com.ar/ficha.php?id=850"/>
    <hyperlink ref="AB134" r:id="rId153"/>
    <hyperlink ref="AB464" r:id="rId154"/>
    <hyperlink ref="AB465" r:id="rId155"/>
    <hyperlink ref="AB611" r:id="rId156"/>
    <hyperlink ref="AB351" r:id="rId157" display="https://www.jivi.com.ar/ficha.php?id=1023"/>
    <hyperlink ref="AB324" r:id="rId158" display="https://www.jivi.com.ar/ficha.php?id=1024"/>
    <hyperlink ref="AB321" r:id="rId159" display="https://www.jivi.com.ar/ficha.php?id=1025"/>
    <hyperlink ref="AF24" location="'Artículos Publicitarios'!A122" display="IR A PINES"/>
    <hyperlink ref="AB328" r:id="rId160" display="https://www.jivi.com.ar/ficha.php?id=647"/>
    <hyperlink ref="AB311" r:id="rId161" display="https://www.jivi.com.ar/ficha.php?id=1049"/>
    <hyperlink ref="AB450" r:id="rId162"/>
    <hyperlink ref="AB168" r:id="rId163"/>
    <hyperlink ref="AB190" r:id="rId164" display="https://www.jivi.com.ar/ficha.php?id=1059"/>
    <hyperlink ref="AB192" r:id="rId165" display="https://www.jivi.com.ar/ficha.php?id=1061"/>
    <hyperlink ref="AB193" r:id="rId166" display="https://www.jivi.com.ar/ficha.php?id=1062"/>
    <hyperlink ref="AB22" r:id="rId167" display="https://www.jivi.com.ar/ficha.php?id=364"/>
    <hyperlink ref="AF26:AI26" location="'Artículos Publicitarios'!A479" display="IR A GORROS"/>
    <hyperlink ref="AB24" r:id="rId168"/>
    <hyperlink ref="AB23" r:id="rId169"/>
    <hyperlink ref="AF22:AI22" location="'Artículos Publicitarios'!A567" display="IR A PROD. SUBLIMADOS"/>
    <hyperlink ref="AB578" r:id="rId170" display="https://www.jivi.com.ar/ficha.php?id=1088"/>
    <hyperlink ref="AB579" r:id="rId171" display="https://www.jivi.com.ar/ficha.php?id=1089"/>
    <hyperlink ref="AB580" r:id="rId172" display="https://www.jivi.com.ar/ficha.php?id=1090"/>
    <hyperlink ref="AB581" r:id="rId173" display="https://www.jivi.com.ar/ficha.php?id=1091"/>
    <hyperlink ref="AB340" r:id="rId174" display="https://www.jivi.com.ar/ficha.php?id=1095"/>
    <hyperlink ref="AB322" r:id="rId175" display="https://www.jivi.com.ar/ficha.php?id=1094"/>
    <hyperlink ref="AB313" r:id="rId176" display="https://www.jivi.com.ar/ficha.php?id=297"/>
    <hyperlink ref="AB353" r:id="rId177" display="https://www.jivi.com.ar/ficha.php?id=1097"/>
    <hyperlink ref="AB100" r:id="rId178" display="https://www.jivi.com.ar/ficha.php?id=1098"/>
    <hyperlink ref="AB19" r:id="rId179"/>
    <hyperlink ref="AB217" r:id="rId180"/>
    <hyperlink ref="AB310" r:id="rId181" display="https://www.jivi.com.ar/ficha.php?id=1108"/>
    <hyperlink ref="AB343" r:id="rId182" display="https://www.jivi.com.ar/ficha.php?id=1116"/>
    <hyperlink ref="AF591:AH591" location="'Artículos Publicitarios'!A3" display="IR A PAGINA 1"/>
    <hyperlink ref="AF24:AI24" location="'Artículos Publicitarios'!A91" display="IR A PINES"/>
    <hyperlink ref="AF23:AI23" location="'Artículos Publicitarios'!A159" display="IR A CARPITAS"/>
    <hyperlink ref="AF19:AI19" location="'Artículos Publicitarios'!A132" display="IR A CINTAS COLGANTES"/>
    <hyperlink ref="AF27:AI27" location="'Artículos Publicitarios'!A264" display="IR A PORTADOCUMENTOS"/>
    <hyperlink ref="AB172" r:id="rId183" display="https://www.jivi.com.ar/ficha.php?id=1119"/>
    <hyperlink ref="AB173" r:id="rId184"/>
    <hyperlink ref="AB258" r:id="rId185" display="https://www.jivi.com.ar/ficha.php?id=1154"/>
    <hyperlink ref="AB269" r:id="rId186" display="https://www.jivi.com.ar/ficha.php?id=1157"/>
    <hyperlink ref="AB270" r:id="rId187" display="https://www.jivi.com.ar/ficha.php?id=1158"/>
    <hyperlink ref="AB576" r:id="rId188"/>
    <hyperlink ref="AB582" r:id="rId189" display="hhttps://www.jivi.com.ar/ficha.php?id=1155"/>
    <hyperlink ref="AB584" r:id="rId190" display="https://www.jivi.com.ar/ficha.php?id=1156"/>
    <hyperlink ref="AB587" r:id="rId191"/>
    <hyperlink ref="AB594" r:id="rId192"/>
    <hyperlink ref="AB323" r:id="rId193"/>
    <hyperlink ref="AB53" r:id="rId194" display="https://www.jivi.com.ar/ficha.php?id=1172"/>
    <hyperlink ref="AB327" r:id="rId195"/>
    <hyperlink ref="AB99" r:id="rId196"/>
    <hyperlink ref="AB121" r:id="rId197"/>
    <hyperlink ref="AB329" r:id="rId198" display="https://www.jivi.com.ar/ficha.php?id=915"/>
    <hyperlink ref="AB109" r:id="rId199" display="https://www.jivi.com.ar/ficha.php?id=1182"/>
    <hyperlink ref="AB120" r:id="rId200" display="https://www.jivi.com.ar/ficha.php?id=1183"/>
    <hyperlink ref="AB122" r:id="rId201"/>
    <hyperlink ref="AB333" r:id="rId202" display="https://www.jivi.com.ar/ficha.php?id=349"/>
    <hyperlink ref="AB388" r:id="rId203" display="https://www.jivi.com.ar/ficha.php?id=1190"/>
    <hyperlink ref="AB387" r:id="rId204" display="https://www.jivi.com.ar/ficha.php?id=1192"/>
    <hyperlink ref="AB107" r:id="rId205" display="https://www.jivi.com.ar/ficha.php?id=1181"/>
    <hyperlink ref="AB338" r:id="rId206"/>
    <hyperlink ref="AB446" r:id="rId207"/>
    <hyperlink ref="AB389" r:id="rId208" display="https://www.jivi.com.ar/ficha.php?id=1219"/>
    <hyperlink ref="AB48" r:id="rId209"/>
    <hyperlink ref="AB47" r:id="rId210"/>
    <hyperlink ref="AB49" r:id="rId211"/>
    <hyperlink ref="AB272" r:id="rId212" display="https://www.jivi.com.ar/ficha.php?id=904"/>
    <hyperlink ref="AB60" r:id="rId213"/>
    <hyperlink ref="AB416" r:id="rId214" display="https://www.jivi.com.ar/ficha.php?id=1225"/>
    <hyperlink ref="AB42" r:id="rId215"/>
    <hyperlink ref="AB265" r:id="rId216" display="https://www.jivi.com.ar/ficha.php?id=919"/>
    <hyperlink ref="AB191" r:id="rId217" display="https://www.jivi.com.ar/ficha.php?id=1060"/>
    <hyperlink ref="AB41" r:id="rId218"/>
    <hyperlink ref="AB152" r:id="rId219" display="https://www.jivi.com.ar/ficha.php?id=883"/>
    <hyperlink ref="AB469" r:id="rId220"/>
    <hyperlink ref="AB129" r:id="rId221" display="https://www.jivi.com.ar/ficha.php?id=1055"/>
    <hyperlink ref="AB508" r:id="rId222" display="https://www.jivi.com.ar/ficha.php?id=1248"/>
    <hyperlink ref="AB341" r:id="rId223" display="https://www.jivi.com.ar/ficha.php?id=1253"/>
    <hyperlink ref="AF561:AH561" location="'Artículos Publicitarios'!A3" display="IR A PAGINA 1"/>
    <hyperlink ref="AB254" r:id="rId224" display="https://www.jivi.com.ar/ficha.php?id=1124"/>
    <hyperlink ref="AB153" r:id="rId225" display="https://www.jivi.com.ar/ficha.php?id=1261"/>
    <hyperlink ref="AB366" r:id="rId226" display="https://www.jivi.com.ar/ficha.php?id=1267"/>
    <hyperlink ref="AB417" r:id="rId227" display="https://www.jivi.com.ar/ficha.php?id=1268"/>
    <hyperlink ref="AB367" r:id="rId228" display="https://www.jivi.com.ar/ficha.php?id=1277"/>
    <hyperlink ref="AB368" r:id="rId229" display="https://www.jivi.com.ar/ficha.php?id=1278"/>
    <hyperlink ref="AB369" r:id="rId230" display="https://www.jivi.com.ar/ficha.php?id=1280"/>
    <hyperlink ref="AB626" r:id="rId231"/>
    <hyperlink ref="AB97" r:id="rId232" display="https://www.jivi.com.ar/ficha.php?id=378"/>
    <hyperlink ref="AB170" r:id="rId233"/>
    <hyperlink ref="AB108" r:id="rId234"/>
    <hyperlink ref="AB110" r:id="rId235"/>
    <hyperlink ref="AB115" r:id="rId236" display="https://www.jivi.com.ar/ficha.php?id=1305"/>
    <hyperlink ref="AB116" r:id="rId237"/>
    <hyperlink ref="AB216" r:id="rId238" display="https://www.jivi.com.ar/ficha.php?id=1287"/>
    <hyperlink ref="AB586" r:id="rId239" display="https://www.jivi.com.ar/ficha.php?id=1290"/>
    <hyperlink ref="AB163" r:id="rId240" display="https://www.jivi.com.ar/ficha.php?id=1316"/>
    <hyperlink ref="AB104" r:id="rId241" display="https://www.jivi.com.ar/ficha.php?id=1314"/>
    <hyperlink ref="AJ1:AJ2" location="'Artículos Publicitarios'!A3" display="IR A PAGINA 1"/>
    <hyperlink ref="AB169" r:id="rId242"/>
    <hyperlink ref="AB355" r:id="rId243" display="https://www.jivi.com.ar/ficha.php?id=1344"/>
    <hyperlink ref="AB117" r:id="rId244"/>
    <hyperlink ref="AF668:AH668" location="'Artículos Publicitarios'!A3" display="IR A PAGINA 1"/>
    <hyperlink ref="AB161" r:id="rId245" display="https://www.jivi.com.ar/ficha.php?id=1346"/>
    <hyperlink ref="AB162" r:id="rId246" display="https://www.jivi.com.ar/ficha.php?id=1347"/>
    <hyperlink ref="AB189" r:id="rId247" display="https://www.jivi.com.ar/ficha.php?id=1348"/>
    <hyperlink ref="AB356" r:id="rId248" display="https://www.jivi.com.ar/ficha.php?id=1359"/>
    <hyperlink ref="AB370" r:id="rId249" display="https://www.jivi.com.ar/ficha.php?id=1360"/>
    <hyperlink ref="AB171" r:id="rId250"/>
    <hyperlink ref="AB105" r:id="rId251" display="https://www.jivi.com.ar/ficha.php?id=1366"/>
    <hyperlink ref="AC8:AI9" r:id="rId252" display="REGISTRATE EN NUESTRA WEB PARA BAJAR LISTA DE PRECIOS DESDE CUALQUIER PC"/>
    <hyperlink ref="AB255" r:id="rId253" display="https://www.jivi.com.ar/ficha.php?id=864"/>
    <hyperlink ref="AB374" r:id="rId254" display="https://www.jivi.com.ar/ficha.php?id=1372"/>
    <hyperlink ref="AB373" r:id="rId255" display="https://www.jivi.com.ar/ficha.php?id=1378"/>
    <hyperlink ref="AB375" r:id="rId256" display="https://www.jivi.com.ar/ficha.php?id=1382"/>
    <hyperlink ref="AB372" r:id="rId257" display="https://www.jivi.com.ar/ficha.php?id=1383"/>
    <hyperlink ref="AB393" r:id="rId258" display="https://www.jivi.com.ar/ficha.php?id=1384"/>
    <hyperlink ref="AB127" r:id="rId259" display="https://www.jivi.com.ar/ficha.php?id=1428"/>
    <hyperlink ref="AB394" r:id="rId260" display="https://www.jivi.com.ar/ficha.php?id=1385"/>
    <hyperlink ref="AB392" r:id="rId261" display="https://www.jivi.com.ar/ficha.php?id=1387"/>
    <hyperlink ref="AB395" r:id="rId262" display="https://www.jivi.com.ar/ficha.php?id=1389"/>
    <hyperlink ref="AB401" r:id="rId263" display="https://www.jivi.com.ar/ficha.php?id=1390"/>
    <hyperlink ref="AB21" r:id="rId264" display="https://www.jivi.com.ar/ficha.php?id=363"/>
    <hyperlink ref="AF21" location="'Artículos Publicitarios'!A582" display="IR A REMERAS"/>
    <hyperlink ref="AF21:AI21" location="'Artículos Publicitarios'!A472" display="IR A REMERAS"/>
    <hyperlink ref="AF27:AJ27" location="'Artículos Publicitarios'!A223" display="IR A PORTADOCUMENTOS"/>
    <hyperlink ref="AF25:AH25" location="'Artículos Publicitarios'!A427" display="IR A BOLIGRAFOS"/>
    <hyperlink ref="AF25:AI25" location="'Artículos Publicitarios'!A128" display="IR A LLAVEROS DE CUERO"/>
    <hyperlink ref="AF25:AJ25" location="'Artículos Publicitarios'!A612" display="IR A ART. DE CUERO - CUCHILLERIA"/>
    <hyperlink ref="AB59" r:id="rId265" display="https://www.jivi.com.ar/ficha.php?id=236"/>
    <hyperlink ref="AB164" r:id="rId266" display="https://www.jivi.com.ar/ficha.php?id=1343"/>
    <hyperlink ref="AF12:AH12" location="'Artículos Publicitarios'!A342" display="IR A PAGINA 5"/>
    <hyperlink ref="AF13:AH13" location="'Artículos Publicitarios'!A421" display="IR A PAGINA 6"/>
    <hyperlink ref="AB376" r:id="rId267" display="https://www.jivi.com.ar/ficha.php?id=1394"/>
    <hyperlink ref="AB218" r:id="rId268" display="https://www.jivi.com.ar/ficha.php?id=872"/>
    <hyperlink ref="AB146" r:id="rId269" display="https://www.jivi.com.ar/ficha.php?id=1399"/>
    <hyperlink ref="AF18:AH18" location="'Artículos Publicitarios'!A427" display="IR A BOLIGRAFOS"/>
    <hyperlink ref="AF18:AI18" location="'Artículos Publicitarios'!A128" display="IR A LLAVEROS DE CUERO"/>
    <hyperlink ref="AF18:AJ18" location="'Artículos Publicitarios'!A331" display="IR A BOLIGRAFOS"/>
    <hyperlink ref="AB391" r:id="rId270" display="https://www.jivi.com.ar/ficha.php?id=1262"/>
    <hyperlink ref="AB371" r:id="rId271" display="https://www.jivi.com.ar/ficha.php?id=1400"/>
    <hyperlink ref="AB377" r:id="rId272" display="https://www.jivi.com.ar/ficha.php?id=1401"/>
    <hyperlink ref="AB154" r:id="rId273" display="https://www.jivi.com.ar/ficha.php?id=1392"/>
    <hyperlink ref="AB248" r:id="rId274" display="https://www.jivi.com.ar/ficha.php?id=1230"/>
    <hyperlink ref="AB357" r:id="rId275" display="https://www.jivi.com.ar/ficha.php?id=1110"/>
    <hyperlink ref="AB360" r:id="rId276" display="https://www.jivi.com.ar/ficha.php?id=1111"/>
    <hyperlink ref="AF20:AI20" location="'Artículos Publicitarios'!A325" display="IR A SET DE NOTAS"/>
    <hyperlink ref="AF20:AJ20" location="'Artículos Publicitarios'!A502" display="IR A PARAGUAS"/>
    <hyperlink ref="AB93" r:id="rId277" display="https://www.jivi.com.ar/ficha.php?id=477"/>
    <hyperlink ref="AB95" r:id="rId278" display="https://www.jivi.com.ar/ficha.php?id=376"/>
    <hyperlink ref="AB13" r:id="rId279" display="https://www.jivi.com.ar/ficha.php?id=1402"/>
    <hyperlink ref="AB502" r:id="rId280" display="https://www.jivi.com.ar/ficha.php?id=1393"/>
    <hyperlink ref="AB15" r:id="rId281" display="https://www.jivi.com.ar/ficha.php?id=1405"/>
    <hyperlink ref="AB125" r:id="rId282" display="https://www.jivi.com.ar/ficha.php?id=1413"/>
    <hyperlink ref="AB166" r:id="rId283" display="https://www.jivi.com.ar/ficha.php?id=1416"/>
    <hyperlink ref="AB167" r:id="rId284" display="https://www.jivi.com.ar/ficha.php?id=1415"/>
    <hyperlink ref="AF11:AH11" location="'Artículos Publicitarios'!A260" display="IR A PAGINA 4"/>
    <hyperlink ref="AB308" r:id="rId285" display="https://www.jivi.com.ar/ficha.php?id=1356"/>
    <hyperlink ref="AB205" r:id="rId286" display="https://www.jivi.com.ar/ficha.php?id=1084"/>
    <hyperlink ref="AB305" r:id="rId287" display="https://www.jivi.com.ar/ficha.php?id=1353"/>
    <hyperlink ref="AF17:AH17" location="'Artículos Publicitarios'!A427" display="IR A BOLIGRAFOS"/>
    <hyperlink ref="AF17:AI17" location="'Artículos Publicitarios'!A128" display="IR A LLAVEROS DE CUERO"/>
    <hyperlink ref="AF17:AJ17" location="'Artículos Publicitarios'!A651" display="IR A DELANTALES"/>
    <hyperlink ref="AB629" r:id="rId288"/>
    <hyperlink ref="AB632" r:id="rId289"/>
    <hyperlink ref="AB266" r:id="rId290" display="https://www.jivi.com.ar/ficha.php?id=1281"/>
    <hyperlink ref="AB624" r:id="rId291"/>
    <hyperlink ref="AB289" r:id="rId292" display="https://www.jivi.com.ar/ficha.php?id=1421"/>
    <hyperlink ref="AB292" r:id="rId293" display="https://www.jivi.com.ar/ficha.php?id=1422"/>
    <hyperlink ref="AB293" r:id="rId294" display="https://www.jivi.com.ar/ficha.php?id=1423"/>
    <hyperlink ref="AB303" r:id="rId295" display="https://www.jivi.com.ar/ficha.php?id=1425"/>
    <hyperlink ref="AB304" r:id="rId296" display="https://www.jivi.com.ar/ficha.php?id=1426"/>
    <hyperlink ref="AB414" r:id="rId297" display="https://www.jivi.com.ar/ficha.php?id=1429"/>
    <hyperlink ref="AB447" r:id="rId298"/>
    <hyperlink ref="AB449" r:id="rId299"/>
    <hyperlink ref="AB496" r:id="rId300" display="https://www.jivi.com.ar/ficha.php?id=1436"/>
    <hyperlink ref="AB497" r:id="rId301" display="https://www.jivi.com.ar/ficha.php?id=1437"/>
    <hyperlink ref="AB498" r:id="rId302"/>
    <hyperlink ref="AB500" r:id="rId303" display="https://www.jivi.com.ar/ficha.php?id=1439"/>
    <hyperlink ref="AB291" r:id="rId304" display="https://www.jivi.com.ar/ficha.php?id=1442"/>
    <hyperlink ref="AB302" r:id="rId305" display="https://www.jivi.com.ar/ficha.php?id=1427"/>
    <hyperlink ref="AB607" r:id="rId306"/>
    <hyperlink ref="AB352" r:id="rId307" display="https://www.jivi.com.ar/ficha.php?id=1056"/>
    <hyperlink ref="AB247" r:id="rId308" display="https://www.jivi.com.ar/ficha.php?id=1334"/>
    <hyperlink ref="AB244" r:id="rId309" display="https://www.jivi.com.ar/ficha.php?id=1335"/>
    <hyperlink ref="AB299" r:id="rId310" display="https://www.jivi.com.ar/ficha.php?id=1446"/>
    <hyperlink ref="AB306" r:id="rId311" display="https://www.jivi.com.ar/ficha.php?id=1354"/>
    <hyperlink ref="AB301" r:id="rId312" display="https://www.jivi.com.ar/ficha.php?id=1448"/>
    <hyperlink ref="AB309" r:id="rId313" display="https://www.jivi.com.ar/ficha.php?id=1450"/>
    <hyperlink ref="AB187" r:id="rId314"/>
    <hyperlink ref="AB195" r:id="rId315" display="https://www.jivi.com.ar/ficha.php?id=1064"/>
    <hyperlink ref="AB194" r:id="rId316" display="https://www.jivi.com.ar/ficha.php?id=1063"/>
    <hyperlink ref="AB439" r:id="rId317"/>
    <hyperlink ref="AB627" r:id="rId318"/>
    <hyperlink ref="AB383" r:id="rId319" display="https://www.jivi.com.ar/ficha.php?id=1463"/>
    <hyperlink ref="AB384" r:id="rId320" display="https://www.jivi.com.ar/ficha.php?id=1464"/>
    <hyperlink ref="AB385" r:id="rId321" display="https://www.jivi.com.ar/ficha.php?id=1465"/>
    <hyperlink ref="AB404" r:id="rId322" display="https://www.jivi.com.ar/ficha.php?id=1466"/>
    <hyperlink ref="AB503" r:id="rId323" display="https://www.jivi.com.ar/ficha.php?id=1467"/>
    <hyperlink ref="AB501" r:id="rId324" display="https://www.jivi.com.ar/ficha.php?id=1468"/>
    <hyperlink ref="AB507" r:id="rId325" display="https://www.jivi.com.ar/ficha.php?id=1470"/>
    <hyperlink ref="AB511" r:id="rId326"/>
    <hyperlink ref="AB512" r:id="rId327" display="https://www.jivi.com.ar/ficha.php?id=1472"/>
    <hyperlink ref="AB459" r:id="rId328"/>
    <hyperlink ref="AB574" r:id="rId329"/>
    <hyperlink ref="AB575" r:id="rId330"/>
    <hyperlink ref="AB573" r:id="rId331"/>
    <hyperlink ref="AB209" r:id="rId332" display="https://www.jivi.com.ar/ficha.php?id=1478"/>
    <hyperlink ref="AB210" r:id="rId333"/>
    <hyperlink ref="AB211" r:id="rId334"/>
    <hyperlink ref="AB204" r:id="rId335" display="https://www.jivi.com.ar/ficha.php?id=1481"/>
    <hyperlink ref="AB219" r:id="rId336" display="https://www.jivi.com.ar/ficha.php?id=1483"/>
    <hyperlink ref="AB242" r:id="rId337" display="https://www.jivi.com.ar/ficha.php?id=1486"/>
    <hyperlink ref="AB243" r:id="rId338" display="https://www.jivi.com.ar/ficha.php?id=1488"/>
    <hyperlink ref="AB260" r:id="rId339" display="https://www.jivi.com.ar/ficha.php?id=1492"/>
    <hyperlink ref="AB261" r:id="rId340" display="https://www.jivi.com.ar/ficha.php?id=1493"/>
    <hyperlink ref="AB262" r:id="rId341" display="https://www.jivi.com.ar/ficha.php?id=1494"/>
    <hyperlink ref="AB263" r:id="rId342"/>
    <hyperlink ref="AB274" r:id="rId343" display="https://www.jivi.com.ar/ficha.php?id=1496"/>
    <hyperlink ref="AB275" r:id="rId344" display="https://www.jivi.com.ar/ficha.php?id=1497"/>
    <hyperlink ref="AB277" r:id="rId345" display="httphttps://www.jivi.com.ar/ficha.php?id=1498"/>
    <hyperlink ref="AB278" r:id="rId346" display="https://www.jivi.com.ar/ficha.php?id=1499"/>
    <hyperlink ref="AB279" r:id="rId347" display="https://www.jivi.com.ar/ficha.php?id=1500"/>
    <hyperlink ref="AB36" r:id="rId348"/>
    <hyperlink ref="AB288" r:id="rId349" display="https://www.jivi.com.ar/ficha.php?id=1503"/>
    <hyperlink ref="AB38" r:id="rId350"/>
    <hyperlink ref="AB35" r:id="rId351"/>
    <hyperlink ref="AB37" r:id="rId352"/>
    <hyperlink ref="AB39" r:id="rId353"/>
    <hyperlink ref="AB40" r:id="rId354"/>
    <hyperlink ref="AB495" r:id="rId355" display="https://www.jivi.com.ar/ficha.php?id=1509"/>
    <hyperlink ref="AB471" r:id="rId356"/>
    <hyperlink ref="AB287" r:id="rId357" display="https://www.jivi.com.ar/ficha.php?id=1515"/>
    <hyperlink ref="AB70" r:id="rId358"/>
    <hyperlink ref="AB72" r:id="rId359"/>
    <hyperlink ref="AB379" r:id="rId360" display="https://www.jivi.com.ar/ficha.php?id=1523"/>
    <hyperlink ref="AB625" r:id="rId361"/>
    <hyperlink ref="AB286" r:id="rId362" display="https://www.jivi.com.ar/ficha.php?id=1524"/>
    <hyperlink ref="AB290" r:id="rId363" display="https://www.jivi.com.ar/ficha.php?id=1527"/>
    <hyperlink ref="AB230" r:id="rId364" display="https://www.jivi.com.ar/ficha.php?id=1532"/>
    <hyperlink ref="AB235" r:id="rId365" display="https://www.jivi.com.ar/ficha.php?id=1534"/>
    <hyperlink ref="AB616" r:id="rId366" display="https://www.jivi.com.ar/ficha.php?id=1535"/>
    <hyperlink ref="AB617" r:id="rId367" display="https://www.jivi.com.ar/ficha.php?id=1536"/>
    <hyperlink ref="AB221" r:id="rId368" display="https://www.jivi.com.ar/ficha.php?id=1539"/>
    <hyperlink ref="AB130" r:id="rId369" display="https://www.jivi.com.ar/ficha.php?id=1540"/>
    <hyperlink ref="AB509" r:id="rId370" display="https://www.jivi.com.ar/ficha.php?id=1541"/>
    <hyperlink ref="AB510" r:id="rId371" display="https://www.jivi.com.ar/ficha.php?id=1542"/>
    <hyperlink ref="AB245" r:id="rId372" display="https://www.jivi.com.ar/ficha.php?id=1363"/>
    <hyperlink ref="AB227" r:id="rId373" display="https://www.jivi.com.ar/ficha.php?id=1545"/>
    <hyperlink ref="AB359" r:id="rId374"/>
    <hyperlink ref="AB358" r:id="rId375"/>
    <hyperlink ref="AB339" r:id="rId376" display="https://www.jivi.com.ar/ficha.php?id=981"/>
    <hyperlink ref="AB380" r:id="rId377" display="https://www.jivi.com.ar/ficha.php?id=1548"/>
    <hyperlink ref="AB381" r:id="rId378" display="https://www.jivi.com.ar/ficha.php?id=1549"/>
    <hyperlink ref="AB425" r:id="rId379"/>
    <hyperlink ref="AB413" r:id="rId380" display="https://www.jivi.com.ar/ficha.php?id=1552"/>
    <hyperlink ref="AB354" r:id="rId381" display="https://www.jivi.com.ar/ficha.php?id=1311"/>
    <hyperlink ref="AB145" r:id="rId382" display="https://www.jivi.com.ar/ficha.php?id=1553"/>
    <hyperlink ref="AB141" r:id="rId383" display="https://www.jivi.com.ar/ficha.php?id=1554"/>
    <hyperlink ref="AB222" r:id="rId384" display="https://www.jivi.com.ar/ficha.php?id=1397"/>
    <hyperlink ref="AB542" r:id="rId385" display="https://www.jivi.com.ar/ficha.php?id=1555"/>
    <hyperlink ref="AB58" r:id="rId386" display="https://www.jivi.com.ar/ficha.php?id=1557"/>
    <hyperlink ref="AB630" r:id="rId387"/>
    <hyperlink ref="AB220" r:id="rId388" display="https://www.jivi.com.ar/ficha.php?id=518"/>
    <hyperlink ref="AB188" r:id="rId389" display="https://www.jivi.com.ar/ficha.php?id=1561"/>
    <hyperlink ref="AB10" r:id="rId390" display="https://www.jivi.com.ar/ficha.php?id=26"/>
    <hyperlink ref="AB224" r:id="rId391" display="https://www.jivi.com.ar/ficha.php?id=1066"/>
    <hyperlink ref="AB225" r:id="rId392" display="https://www.jivi.com.ar/ficha.php?id=1562"/>
    <hyperlink ref="AB421" r:id="rId393" display="https://www.jivi.com.ar/ficha.php?id=1563"/>
    <hyperlink ref="AB155" r:id="rId394" display="https://www.jivi.com.ar/ficha.php?id=1414"/>
    <hyperlink ref="AB16" r:id="rId395" display="https://www.jivi.com.ar/ficha.php?id=790"/>
    <hyperlink ref="AB297" r:id="rId396" display="https://www.jivi.com.ar/ficha.php?id=1407"/>
    <hyperlink ref="AB296" r:id="rId397" display="https://www.jivi.com.ar/ficha.php?id=1409"/>
    <hyperlink ref="AB298" r:id="rId398" display="https://www.jivi.com.ar/ficha.php?id=1408"/>
    <hyperlink ref="AB284" r:id="rId399" display="https://www.jivi.com.ar/ficha.php?id=1564"/>
    <hyperlink ref="AB28" r:id="rId400" display="https://www.jivi.com.ar/ficha.php?id=1434"/>
    <hyperlink ref="AF28:AI28" location="'Artículos Publicitarios'!A280" display="IR A LLAVEROS ALTA FRECUENCIA"/>
    <hyperlink ref="AF28:AJ28" location="'Artículos Publicitarios'!A295" display="IR A TABLAS DE MADERA"/>
    <hyperlink ref="AB386" r:id="rId401" display="https://www.jivi.com.ar/ficha.php?id=1567"/>
    <hyperlink ref="AB44" r:id="rId402"/>
    <hyperlink ref="AB45" r:id="rId403"/>
    <hyperlink ref="AB46" r:id="rId404"/>
    <hyperlink ref="AB128" r:id="rId405" display="https://www.jivi.com.ar/ficha.php?id=1571"/>
    <hyperlink ref="AB203" r:id="rId406"/>
    <hyperlink ref="AB382" r:id="rId407" display="https://www.jivi.com.ar/ficha.php?id=1572"/>
    <hyperlink ref="AB285" r:id="rId408" display="https://www.jivi.com.ar/ficha.php?id=1573"/>
    <hyperlink ref="AB519" r:id="rId409" display="https://www.jivi.com.ar/ficha.php?id=1294"/>
    <hyperlink ref="AF29:AJ29" location="'Artículos Publicitarios'!A530" display="IR A MOCHILAS"/>
    <hyperlink ref="AB524" r:id="rId410" display="https://www.jivi.com.ar/ficha.php?id=1271"/>
    <hyperlink ref="AB523" r:id="rId411" display="https://www.jivi.com.ar/ficha.php?id=1296"/>
    <hyperlink ref="AB526" r:id="rId412" display="https://www.jivi.com.ar/ficha.php?id=1139"/>
    <hyperlink ref="AB521" r:id="rId413" display="https://www.jivi.com.ar/ficha.php?id=1249"/>
    <hyperlink ref="AB552" r:id="rId414" display="https://www.jivi.com.ar/ficha.php?id=1574"/>
    <hyperlink ref="AB522" r:id="rId415" display="https://www.jivi.com.ar/ficha.php?id=1576"/>
    <hyperlink ref="AB529" r:id="rId416" display="https://www.jivi.com.ar/ficha.php?id=1580"/>
    <hyperlink ref="AB530" r:id="rId417" display="https://www.jivi.com.ar/ficha.php?id=1581"/>
    <hyperlink ref="AB534" r:id="rId418" display="https://www.jivi.com.ar/ficha.php?id=1583"/>
    <hyperlink ref="AB535" r:id="rId419" display="https://www.jivi.com.ar/ficha.php?id=1584"/>
    <hyperlink ref="AB537" r:id="rId420" display="https://www.jivi.com.ar/ficha.php?id=1586"/>
    <hyperlink ref="AB539" r:id="rId421" display="https://www.jivi.com.ar/ficha.php?id=1587"/>
    <hyperlink ref="AF30:AJ30" location="'Artículos Publicitarios'!A251" display="IR A CUADERNOS"/>
    <hyperlink ref="AB250" r:id="rId422" display="https://www.jivi.com.ar/ficha.php?id=1221"/>
    <hyperlink ref="AB257" r:id="rId423" display="https://www.jivi.com.ar/ficha.php?id=1588"/>
    <hyperlink ref="AB259" r:id="rId424" display="https://www.jivi.com.ar/ficha.php?id=1411"/>
    <hyperlink ref="AB490" r:id="rId425"/>
    <hyperlink ref="AB491" r:id="rId426" display="https://www.jivi.com.ar/ficha.php?id=1590"/>
    <hyperlink ref="AB492" r:id="rId427"/>
    <hyperlink ref="AB493" r:id="rId428" display="https://www.jivi.com.ar/ficha.php?id=1592"/>
    <hyperlink ref="AB543" r:id="rId429" display="https://www.jivi.com.ar/ficha.php?id=1593"/>
    <hyperlink ref="AB283" r:id="rId430" display="https://www.jivi.com.ar/ficha.php?id=1594"/>
    <hyperlink ref="AB282" r:id="rId431" display="https://www.jivi.com.ar/ficha.php?id=1595"/>
    <hyperlink ref="AB407" r:id="rId432" display="https://www.jivi.com.ar/ficha.php?id=1596"/>
    <hyperlink ref="AB544" r:id="rId433" display="https://www.jivi.com.ar/ficha.php?id=1598"/>
    <hyperlink ref="AB536" r:id="rId434" display="https://www.jivi.com.ar/ficha.php?id=1599"/>
    <hyperlink ref="AB545" r:id="rId435" display="https://www.jivi.com.ar/ficha.php?id=1602"/>
    <hyperlink ref="AB546" r:id="rId436" display="https://www.jivi.com.ar/ficha.php?id=1603"/>
    <hyperlink ref="AB61" r:id="rId437"/>
    <hyperlink ref="AB547" r:id="rId438" display="https://www.jivi.com.ar/ficha.php?id=1604"/>
    <hyperlink ref="AB548" r:id="rId439" display="https://www.jivi.com.ar/ficha.php?id=1606"/>
    <hyperlink ref="AB300" r:id="rId440" display="https://www.jivi.com.ar/ficha.php?id=1424"/>
    <hyperlink ref="AB174" r:id="rId441"/>
    <hyperlink ref="AB234" r:id="rId442" display="https://www.jivi.com.ar/ficha.php?id=1520"/>
    <hyperlink ref="AB233" r:id="rId443" display="https://www.jivi.com.ar/ficha.php?id=1459"/>
    <hyperlink ref="AB232" r:id="rId444" display="https://www.jivi.com.ar/ficha.php?id=1608"/>
    <hyperlink ref="AB231" r:id="rId445" display="https://www.jivi.com.ar/ficha.php?id=1609"/>
    <hyperlink ref="AB251" r:id="rId446" display="https://www.jivi.com.ar/ficha.php?id=1274"/>
    <hyperlink ref="AB410" r:id="rId447" display="https://www.jivi.com.ar/ficha.php?id=1610"/>
    <hyperlink ref="AB538" r:id="rId448" display="https://www.jivi.com.ar/ficha.php?id=1396"/>
    <hyperlink ref="AB533" r:id="rId449" display="https://www.jivi.com.ar/ficha.php?id=1611"/>
    <hyperlink ref="AB532" r:id="rId450" display="https://www.jivi.com.ar/ficha.php?id=1612"/>
    <hyperlink ref="AB531" r:id="rId451" display="https://www.jivi.com.ar/ficha.php?id=1613"/>
    <hyperlink ref="AB197" r:id="rId452" display="https://www.jivi.com.ar/ficha.php?id=1614"/>
    <hyperlink ref="AB196" r:id="rId453" display="https://www.jivi.com.ar/ficha.php?id=1452"/>
    <hyperlink ref="AB213" r:id="rId454" display="https://www.jivi.com.ar/ficha.php?id=608"/>
    <hyperlink ref="AB364" r:id="rId455" display="https://www.jivi.com.ar/ficha.php?id=1615"/>
    <hyperlink ref="AB554" r:id="rId456" display="https://www.jivi.com.ar/ficha.php?id=1616"/>
    <hyperlink ref="AB555" r:id="rId457" display="https://www.jivi.com.ar/ficha.php?id=1617"/>
    <hyperlink ref="AB556" r:id="rId458" display="https://www.jivi.com.ar/ficha.php?id=1618"/>
    <hyperlink ref="AB488" r:id="rId459"/>
    <hyperlink ref="AB489" r:id="rId460" display="https://www.jivi.com.ar/ficha.php?id=1620"/>
    <hyperlink ref="AB307" r:id="rId461" display="https://www.jivi.com.ar/ficha.php?id=1355"/>
    <hyperlink ref="AB17" r:id="rId462" display="https://www.jivi.com.ar/ficha.php?id=998"/>
    <hyperlink ref="AB504" r:id="rId463" display="https://www.jivi.com.ar/ficha.php?id=1204"/>
    <hyperlink ref="AB505" r:id="rId464"/>
    <hyperlink ref="AB337" r:id="rId465"/>
    <hyperlink ref="AB470" r:id="rId466"/>
    <hyperlink ref="AB598" r:id="rId467"/>
    <hyperlink ref="AB601" r:id="rId468"/>
    <hyperlink ref="AB634" r:id="rId469"/>
    <hyperlink ref="AB635" r:id="rId470"/>
    <hyperlink ref="AB636" r:id="rId471"/>
    <hyperlink ref="AB362" r:id="rId472" display="https://www.jivi.com.ar/ficha.php?id=1641"/>
    <hyperlink ref="AB430" r:id="rId473"/>
    <hyperlink ref="AB429" r:id="rId474"/>
    <hyperlink ref="AB431" r:id="rId475"/>
    <hyperlink ref="AB432" r:id="rId476"/>
    <hyperlink ref="AB433" r:id="rId477"/>
    <hyperlink ref="AB434" r:id="rId478"/>
    <hyperlink ref="AB622" r:id="rId479"/>
    <hyperlink ref="AB427" r:id="rId480"/>
    <hyperlink ref="AB428" r:id="rId481"/>
    <hyperlink ref="AB426" r:id="rId482"/>
    <hyperlink ref="AB165" r:id="rId483" display="https://www.jivi.com.ar/ficha.php?id=1660"/>
    <hyperlink ref="AB147" r:id="rId484" display="https://www.jivi.com.ar/ficha.php?id=1663"/>
    <hyperlink ref="AB101" r:id="rId485" display="https://www.jivi.com.ar/ficha.php?id=440"/>
    <hyperlink ref="AB623" r:id="rId486"/>
    <hyperlink ref="AB628" r:id="rId487"/>
    <hyperlink ref="AB633" r:id="rId488"/>
    <hyperlink ref="AB494" r:id="rId489" display="https://www.jivi.com.ar/ficha.php?id=1684"/>
    <hyperlink ref="AB365" r:id="rId490" display="https://www.jivi.com.ar/ficha.php?id=1272"/>
    <hyperlink ref="AB363" r:id="rId491" display="https://www.jivi.com.ar/ficha.php?id=1687"/>
    <hyperlink ref="AB361" r:id="rId492" display="https://www.jivi.com.ar/ficha.php?id=1672"/>
    <hyperlink ref="AB540" r:id="rId493" display="https://www.jivi.com.ar/ficha.php?id=1690"/>
    <hyperlink ref="AB487" r:id="rId494" display="https://www.jivi.com.ar/ficha.php?id=1691"/>
    <hyperlink ref="AB411" r:id="rId495" display="https://www.jivi.com.ar/ficha.php?id=1692"/>
    <hyperlink ref="AB499" r:id="rId496" display="https://www.jivi.com.ar/ficha.php?id=1438"/>
    <hyperlink ref="AF480:AH480" location="'Artículos Publicitarios'!A3" display="IR A PAGINA 1"/>
    <hyperlink ref="AF517:AH517" location="'Artículos Publicitarios'!A3" display="IR A PAGINA 1"/>
    <hyperlink ref="AB408" r:id="rId497" display="https://www.jivi.com.ar/ficha.php?id=1695"/>
    <hyperlink ref="AB29" r:id="rId498" display="https://www.jivi.com.ar/ficha.php?id=36"/>
    <hyperlink ref="AB485" r:id="rId499"/>
    <hyperlink ref="AB486" r:id="rId500" display="https://www.jivi.com.ar/ficha.php?id=1698"/>
    <hyperlink ref="AB409" r:id="rId501" display="https://www.jivi.com.ar/ficha.php?id=1699"/>
    <hyperlink ref="AB281" r:id="rId502" display="https://www.jivi.com.ar/ficha.php?id=1700"/>
    <hyperlink ref="AB472" r:id="rId503"/>
    <hyperlink ref="AB378" r:id="rId504" display="https://www.jivi.com.ar/ficha.php?id=1462"/>
    <hyperlink ref="AB229" r:id="rId505" display="https://www.jivi.com.ar/ficha.php?id=1531"/>
    <hyperlink ref="AB228" r:id="rId506" display="https://www.jivi.com.ar/ficha.php?id=1528"/>
    <hyperlink ref="AB415" r:id="rId507"/>
    <hyperlink ref="AB345" r:id="rId508" display="https://www.jivi.com.ar/ficha.php?id=977"/>
    <hyperlink ref="AB403" r:id="rId509" display="https://www.jivi.com.ar/ficha.php?id=1457"/>
    <hyperlink ref="AB402" r:id="rId510" display="https://www.jivi.com.ar/ficha.php?id=1456"/>
    <hyperlink ref="AB346" r:id="rId511" display="https://www.jivi.com.ar/ficha.php?id=1707"/>
    <hyperlink ref="AB347" r:id="rId512" display="https://www.jivi.com.ar/ficha.php?id=1708"/>
    <hyperlink ref="AB390" r:id="rId513" display="https://www.jivi.com.ar/ficha.php?id=1720"/>
    <hyperlink ref="AB405" r:id="rId514"/>
    <hyperlink ref="AB484" r:id="rId515" display="https://www.jivi.com.ar/ficha.php?id=1722"/>
    <hyperlink ref="AB14" r:id="rId516" display="https://www.jivi.com.ar/ficha.php?id=1723"/>
    <hyperlink ref="AB185" r:id="rId517"/>
    <hyperlink ref="AB181" r:id="rId518"/>
    <hyperlink ref="AB183" r:id="rId519"/>
    <hyperlink ref="AB182" r:id="rId520"/>
    <hyperlink ref="AB184" r:id="rId521"/>
    <hyperlink ref="AB180" r:id="rId522"/>
    <hyperlink ref="AB602" r:id="rId523"/>
    <hyperlink ref="AB603" r:id="rId524"/>
    <hyperlink ref="AB599" r:id="rId525"/>
    <hyperlink ref="AB604" r:id="rId526"/>
    <hyperlink ref="AB252" r:id="rId527" display="https://www.jivi.com.ar/ficha.php?id=1077"/>
    <hyperlink ref="AB613" r:id="rId528"/>
    <hyperlink ref="AB614" r:id="rId529"/>
    <hyperlink ref="AB615" r:id="rId530"/>
    <hyperlink ref="AB612" r:id="rId531"/>
    <hyperlink ref="AB553" r:id="rId532" display="https://www.jivi.com.ar/ficha.php?id=1575"/>
    <hyperlink ref="AB549" r:id="rId533" display="https://www.jivi.com.ar/ficha.php?id=1743"/>
    <hyperlink ref="AB550" r:id="rId534" display="https://www.jivi.com.ar/ficha.php?id=1744"/>
    <hyperlink ref="AB551" r:id="rId535" display="https://www.jivi.com.ar/ficha.php?id=1745"/>
    <hyperlink ref="AB527" r:id="rId536" display="https://www.jivi.com.ar/ficha.php?id=1746"/>
    <hyperlink ref="AB593" r:id="rId537"/>
    <hyperlink ref="AB482" r:id="rId538"/>
    <hyperlink ref="AB483" r:id="rId539" display="https://www.jivi.com.ar/ficha.php?id=1749"/>
    <hyperlink ref="AB528" r:id="rId540" display="https://www.jivi.com.ar/ficha.php?id=1579"/>
    <hyperlink ref="AB520" r:id="rId541"/>
    <hyperlink ref="AB631" r:id="rId542"/>
    <hyperlink ref="AB406" r:id="rId543"/>
    <hyperlink ref="AB280" r:id="rId544" display="https://www.jivi.com.ar/ficha.php?id=1774"/>
    <hyperlink ref="AB295" r:id="rId545" display="https://www.jivi.com.ar/ficha.php?id=1775"/>
    <hyperlink ref="AB294" r:id="rId546" display="https://www.jivi.com.ar/ficha.php?id=1461"/>
    <hyperlink ref="AB541" r:id="rId547" display="https://www.jivi.com.ar/ficha.php?id=1776"/>
    <hyperlink ref="AB126" r:id="rId548" display="https://www.jivi.com.ar/ficha.php?id=1310"/>
    <hyperlink ref="AB448" r:id="rId549"/>
    <hyperlink ref="AB64" r:id="rId550" display="https://www.jivi.com.ar/ficha.php?id=76"/>
    <hyperlink ref="AB63" r:id="rId551"/>
    <hyperlink ref="AB62" r:id="rId552"/>
    <hyperlink ref="AB226" r:id="rId553" display="https://www.jivi.com.ar/ficha.php?id=1709"/>
    <hyperlink ref="AB557" r:id="rId554" display="https://www.jivi.com.ar/ficha.php?id=1710"/>
    <hyperlink ref="AB564" r:id="rId555"/>
    <hyperlink ref="AB566" r:id="rId556"/>
    <hyperlink ref="AB567" r:id="rId557"/>
    <hyperlink ref="AB570" r:id="rId558"/>
    <hyperlink ref="AB569" r:id="rId559"/>
    <hyperlink ref="AB412" r:id="rId560" display="https://www.jivi.com.ar/ficha.php?id=1786"/>
    <hyperlink ref="AB525" r:id="rId561" display="https://www.jivi.com.ar/ficha.php?id=1293"/>
    <hyperlink ref="AB246" r:id="rId562" display="https://www.jivi.com.ar/ficha.php?id=1340"/>
    <hyperlink ref="AB249" r:id="rId563" display="https://www.jivi.com.ar/ficha.php?id=1265"/>
    <hyperlink ref="AB241" r:id="rId564" display="https://www.jivi.com.ar/ficha.php?id=1487"/>
    <hyperlink ref="AB118" r:id="rId565"/>
    <hyperlink ref="AB123" r:id="rId566"/>
    <hyperlink ref="AB119" r:id="rId567"/>
    <hyperlink ref="AB199" r:id="rId568" display="https://www.jivi.com.ar/ficha.php?id=1319"/>
  </hyperlinks>
  <pageMargins left="0.27559055118110237" right="0.11811023622047245" top="0.19685039370078741" bottom="0.15748031496062992" header="0.11811023622047245" footer="0.15748031496062992"/>
  <pageSetup paperSize="5" orientation="portrait" copies="5" r:id="rId569"/>
  <headerFooter alignWithMargins="0"/>
  <cellWatches>
    <cellWatch r="X8"/>
  </cellWatches>
  <ignoredErrors>
    <ignoredError sqref="AB626:AB627 AB623:AB625 AB622 AB612:AB615 AB593" numberStoredAsText="1"/>
    <ignoredError sqref="X586 B26:E26 C25:E25 A163 C163:E163 V599 A189:E189 A105:E106 H396:Q396 C27:E27 H55:I55 G56:I57 H605:L607 G186 G253 G255:G256 G423 B146:E146 C221:E221 G316:W316 U21:V23 J17:V17 V28 U30 S38:S39 S35 U35 U38:U39 S41 U41 G54:I54 G355:G360 H440 H441:M441 H442:M442 H443:M443 H444:M444 H445:M445 O435 H435:H437 J440:M440 S435 U435 Q435 S47 U47 G436:G439 F473:T473 G221 G416:G417 W469 G163:G164 G339:G341 G244 G278:M278 F205:W205 G196:I196 I178:M178 G189 G179:K179 G223 V92:W94 F82:I89 F91:I91 F90:I90 Q107 I58:I60 I65:I66 U107 S107 H130 J81:J91 G548 G198:I198 B248:E248 W312 G334:J336 W513:W514 H369:J369 I175:M175 I176:M176 I177:M177 H279:M279 H324:J333 G282 G96:G100 H338:J342 G81:I81 G370:J372 W498 G102:G106 H141 G367:J368 G366 G414 F466:V466 H352:J352 G302:G304 G284:G285 H310 G274:M274 G275:M275 G276:M276 G277:M277 N274:V278 H97:W98 N96:W96 H95:W95 H96:M96 H99:K99 J10:V10 M99:W99 W179 L179:V185 H186:V189 G207:V212 G217:G219 G214:L214 P215:W215 G216:W216 X204:X206 P206:W206 G206:N206 H201:M201 G202:M203 G201 G200:V200 N201:V201 J196:V198 G258:G266 G273:V273 G351:J351 W348:W349 G374:G377 G408:G409 G555:G556 H558 H438:V439 H472:V472 H491:V495 G343:G344 K345 G229:G233 J12:V12 P11:X11 H253:V258 H217:V221 B406:E406 B405:E405 F471:V471 G348:J349 G557:V557 G129 J58:W58 J65:V68 G69:H69 H223:V232 H222:K222 T222:V222 G484:G495 G387 H354:J360 G564:V567 I14:J14 G308 H423:V424 P420:V421 G498 H508:V514 H507:U507 H529:V530 L531:V531 H532:V537 G540:V540 J538:V539 H554:V556 H568:W570 G604 H250:V251 H252:W252 F625:T627 F618:V624 G612:W612 G552:V552 H553:W553 H140:R140 T140:V140 H260:V266 H259:S259 F613:V615 H601:V604 H616:V617 H543:W549 H163:I163 H361:J365 G500:G512 H498:V506 H551:W551 H521:V524 H413:V413 H482:W490 G215:K215 H593:W593 F634:T636 N175:V178 H233:W233 G394 H519:W519 W520 G632:T633 G628:T628 G629:I629 H631:T631 G630:T630 L629:T629 T202:V203 J54:V57 N111:V112 H144:V144 H142:O143 Q142:V143 J148:V148 K163:S163 G464:V465 G452:V462 G407 H496:W497 G296:G299 G286 G467:V470 W542 H541:V542 G571:V575 H100:W106 G154:W154 G146:W146 H147:V147 H173:V174 H166:V171 H172:I172 K172:V172 W234 F234:V235 F315:H315 J129:O129 I126:V126 J130:V130 I129:I130 H425:W433 F446:V447 F449:V450 H448:W448 G204:V204 O109:O110 S109:S110 Q109:Q110 U109:U110 H155:O155 R155:W155 J164:K164 N164:V164 I165:V165 H164:H165 H410:V410 H411:M411 H412:W412 H525:W528 W414:X414 H414:L414 N414 P414 R414 T414 M414 O414 Q414 S414 U414:V416 H416:K419 V417:V419 G247:G248 H247:V248 H244:V245 H246:W246 W244:W245 H249:W249 W247:W248 V27 T28 R28 P28 N28 L28 K28 M28 O28 Q28 S28 I27 I29 I28 I26:J26 S30 H27 H30:M30 H26 K26:T26 H29 H28 J29 J27:T27 S29 Q29 O29 K29 M29 U29 L29 V29 N29 P29 R29 T29 H243:V243 W213 U213 S213 Q213 O213 M213 I213 H213 J213:L213 N213 P213 R213 T213 V213 M214:W214 M215 G402 G403 M416 O416 Q416 S416 H415:K415 S415 Q415 O415 M415 L415 N415 P415 R415 T415 J422:V422 W60 J59:K59 U60 S60 Q60 O60 J60:K61 L59:V59 J62:V62 L61:V61 L60:N60 P60 R60 T60 V60 W64 U64 S64 Q64 O64 M64 K64 I64 J64 L64 N64 P64 R64 T64 V64 M63 O63 Q63 S63 U63 K63 J63 L63 V63 T63 R63 P63 N63 J69:W69 I69 I128:K128 I127:K127 O127 Q127 S127 U127 M127 M128 O30 Q30 H14:H16 U13:V13 S13 Q13 O13 M13 K13:L13 I13 J13 N13 P13 R13 T13 U14:V14 S19 S20 S25 Q20 Q19 O25:Q25 O20 O19 L19:L20 M25 M20 M19 J19:J20 K19 H19:H20 J25:K25 H25 I25 K20 J21:O23 R21:T23 H18:T18 H24:T24 H21:I23 P21:Q23 I20 L25 I19 N19 N20 N25 P19 P20 R25 R19 R20 T25 T20 T19 S14 Q14 O14 M14 K14:L14 N14 P14 R14 T14 H145 W145 U145 S145 Q145 O145 M145 K145 I145 J145 L145 N145 P145 R145 T145 V145 K141 M141 O141 Q141 S141 U141 I141 J141 V141 T141 R141 P141 N141 L141 G161:V162 H241:V242 J321 J322 G401 F314:H314 K311 J312:V312 I314:K314 J310:K310 I315:K315 K313 I310 I311 I312 J311 L310:V310 L314:V314 I313:J313 L313:V313 L315:V315 L311:V311 U321 S321 Q321 O321 M321 K322 K321 K324:K342 K323:V323 L324:V342 L321 L322:V322 N321 P321 R321 T321 V321 G350:J350 K350 K361:K364 K354:K360 K348:K349 K351 K352 K353 L361:V364 L358:V360 G379:G384 L365:V365 K365 K367:K372 L367:V372 G385 G386 U349 U348:V348 S349 S348 Q349 Q348 O349 O348 M348 L354:V357 L351:V351 L352:V352 L353:V353 L350:V350 M349 L345:V347 L349 N349 L348 N348 P348 P349 R348 R349 T348 T349 V349 M344 K344 W343 U343 S343 Q343 O343 M343 K343 H344:I344 I343 P344 R344:W344 Q344 H343 J344 J343 L343 N343 P343 R343 T343 V343 L344 N344:O344 H366:V366 G389 G388 W388:W389 G391 G392 G393 G405 G406 W390 H401:V409 G373 H390:V390 H387:M387 N387:V387 H388:V389 H386:K386 N385 L385 M385 O385:V385 H385:K385 L373:V373 L378:V378 L374:V377 L379:V384 K374:K377 K378 K373 K379:K384 H379:J384 H374:J377 H373:J373 H378:J378 L386:V386 H391:V395 G293 G289 G290 G288 G287 G291 G292 U280 S280 Q280 O280 M280 K280 H280:I280 G280 J280 L280 N280 P280 R280 T280 V280 U282 S282 Q282 O282 M282 K282 I282 H283:I283 H284:I285 H281:V281 H286:V294 J284:V285 J283:V283 H282 J282 L282 N282 P282 R282 T282 V282 H295:V303 G305:G306 H304:L304 V309 T309 R309 P309 N309 L309 I309:J309 K309 M309 O309 Q309 S309 U309 H309 H305:V308 H199:I199 J199:W199" formula="1"/>
    <ignoredError sqref="G353 G550 W550 G520" evalError="1"/>
    <ignoredError sqref="H353:J353 H550:V550 L520:V520" evalError="1" formula="1"/>
  </ignoredErrors>
  <drawing r:id="rId570"/>
  <legacyDrawing r:id="rId57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7" sqref="B7"/>
    </sheetView>
  </sheetViews>
  <sheetFormatPr baseColWidth="10" defaultColWidth="9.140625" defaultRowHeight="12.75" x14ac:dyDescent="0.2"/>
  <cols>
    <col min="1" max="256" width="11.42578125" customWidth="1"/>
  </cols>
  <sheetData>
    <row r="1" spans="1:1" x14ac:dyDescent="0.2">
      <c r="A1" s="40"/>
    </row>
  </sheetData>
  <phoneticPr fontId="4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Artículos Publicitarios</vt:lpstr>
      <vt:lpstr>Hoja1</vt:lpstr>
    </vt:vector>
  </TitlesOfParts>
  <Company>JIVI PROPAGANDA S.R.L.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JIVI PROPAGANDA S.R.L.</dc:creator>
  <dc:description>Esta lista puede variar sin previo aviso.</dc:description>
  <cp:lastModifiedBy>Usuario</cp:lastModifiedBy>
  <cp:revision/>
  <cp:lastPrinted>2024-07-05T17:27:19Z</cp:lastPrinted>
  <dcterms:created xsi:type="dcterms:W3CDTF">2003-01-03T20:20:32Z</dcterms:created>
  <dcterms:modified xsi:type="dcterms:W3CDTF">2024-07-05T17:46:08Z</dcterms:modified>
</cp:coreProperties>
</file>