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0" i="1" l="1"/>
  <c r="F259" i="1" l="1"/>
  <c r="V259" i="1" s="1"/>
  <c r="W259" i="1" s="1"/>
  <c r="F260" i="1"/>
  <c r="V260" i="1" s="1"/>
  <c r="W260" i="1" s="1"/>
  <c r="L260" i="1" l="1"/>
  <c r="M260" i="1" s="1"/>
  <c r="P260" i="1"/>
  <c r="Q260" i="1" s="1"/>
  <c r="H260" i="1"/>
  <c r="I260" i="1" s="1"/>
  <c r="T260" i="1"/>
  <c r="U260" i="1" s="1"/>
  <c r="N260" i="1"/>
  <c r="O260" i="1" s="1"/>
  <c r="G260" i="1"/>
  <c r="R260" i="1"/>
  <c r="S260" i="1" s="1"/>
  <c r="J260" i="1"/>
  <c r="K260" i="1" s="1"/>
  <c r="H259" i="1"/>
  <c r="I259" i="1" s="1"/>
  <c r="T259" i="1"/>
  <c r="U259" i="1" s="1"/>
  <c r="R259" i="1"/>
  <c r="S259" i="1" s="1"/>
  <c r="G259" i="1"/>
  <c r="L259" i="1"/>
  <c r="M259" i="1" s="1"/>
  <c r="N259" i="1"/>
  <c r="O259" i="1" s="1"/>
  <c r="P259" i="1"/>
  <c r="Q259" i="1" s="1"/>
  <c r="J259" i="1"/>
  <c r="K259" i="1" s="1"/>
  <c r="F311" i="1"/>
  <c r="F610" i="1"/>
  <c r="F614" i="1"/>
  <c r="F697" i="1"/>
  <c r="F696" i="1"/>
  <c r="F170" i="1" l="1"/>
  <c r="N170" i="1" s="1"/>
  <c r="O170" i="1" s="1"/>
  <c r="F127" i="1"/>
  <c r="R170" i="1" l="1"/>
  <c r="S170" i="1" s="1"/>
  <c r="G170" i="1"/>
  <c r="H170" i="1"/>
  <c r="I170" i="1" s="1"/>
  <c r="T170" i="1"/>
  <c r="U170" i="1" s="1"/>
  <c r="J170" i="1"/>
  <c r="K170" i="1" s="1"/>
  <c r="V170" i="1"/>
  <c r="W170" i="1" s="1"/>
  <c r="L170" i="1"/>
  <c r="M170" i="1" s="1"/>
  <c r="P170" i="1"/>
  <c r="Q170" i="1" s="1"/>
  <c r="L27" i="1" l="1"/>
  <c r="N27" i="1"/>
  <c r="P27" i="1"/>
  <c r="R27" i="1"/>
  <c r="T27" i="1"/>
  <c r="H19" i="1"/>
  <c r="I19" i="1" s="1"/>
  <c r="H20" i="1"/>
  <c r="I20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H69" i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62" i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144" i="1"/>
  <c r="W144" i="1" s="1"/>
  <c r="T144" i="1"/>
  <c r="U144" i="1" s="1"/>
  <c r="R144" i="1"/>
  <c r="S144" i="1" s="1"/>
  <c r="P144" i="1"/>
  <c r="Q144" i="1" s="1"/>
  <c r="N144" i="1"/>
  <c r="O144" i="1" s="1"/>
  <c r="L144" i="1"/>
  <c r="M144" i="1" s="1"/>
  <c r="J144" i="1"/>
  <c r="K144" i="1" s="1"/>
  <c r="V143" i="1"/>
  <c r="W143" i="1" s="1"/>
  <c r="T143" i="1"/>
  <c r="U143" i="1" s="1"/>
  <c r="R143" i="1"/>
  <c r="S143" i="1" s="1"/>
  <c r="P143" i="1"/>
  <c r="Q143" i="1" s="1"/>
  <c r="N143" i="1"/>
  <c r="O143" i="1" s="1"/>
  <c r="L143" i="1"/>
  <c r="M143" i="1" s="1"/>
  <c r="J143" i="1"/>
  <c r="K143" i="1" s="1"/>
  <c r="V140" i="1"/>
  <c r="T140" i="1"/>
  <c r="F510" i="1" l="1"/>
  <c r="N510" i="1" s="1"/>
  <c r="O510" i="1" s="1"/>
  <c r="F509" i="1"/>
  <c r="J509" i="1" s="1"/>
  <c r="K509" i="1" s="1"/>
  <c r="T510" i="1" l="1"/>
  <c r="U510" i="1" s="1"/>
  <c r="P509" i="1"/>
  <c r="Q509" i="1" s="1"/>
  <c r="P510" i="1"/>
  <c r="Q510" i="1" s="1"/>
  <c r="V510" i="1"/>
  <c r="W510" i="1" s="1"/>
  <c r="L509" i="1"/>
  <c r="M509" i="1" s="1"/>
  <c r="N509" i="1"/>
  <c r="O509" i="1" s="1"/>
  <c r="R509" i="1"/>
  <c r="S509" i="1" s="1"/>
  <c r="V509" i="1"/>
  <c r="W509" i="1" s="1"/>
  <c r="T509" i="1"/>
  <c r="U509" i="1" s="1"/>
  <c r="R510" i="1"/>
  <c r="S510" i="1" s="1"/>
  <c r="H509" i="1"/>
  <c r="I509" i="1" s="1"/>
  <c r="H510" i="1"/>
  <c r="I510" i="1" s="1"/>
  <c r="J510" i="1"/>
  <c r="K510" i="1" s="1"/>
  <c r="L510" i="1"/>
  <c r="M510" i="1" s="1"/>
  <c r="G510" i="1"/>
  <c r="G509" i="1"/>
  <c r="V64" i="1"/>
  <c r="T64" i="1"/>
  <c r="R64" i="1"/>
  <c r="P64" i="1"/>
  <c r="N64" i="1"/>
  <c r="L64" i="1"/>
  <c r="J64" i="1"/>
  <c r="R140" i="1"/>
  <c r="P140" i="1"/>
  <c r="N140" i="1"/>
  <c r="L140" i="1"/>
  <c r="V139" i="1"/>
  <c r="T139" i="1"/>
  <c r="R139" i="1"/>
  <c r="P139" i="1"/>
  <c r="N139" i="1"/>
  <c r="L139" i="1"/>
  <c r="J139" i="1"/>
  <c r="J140" i="1"/>
  <c r="V58" i="1"/>
  <c r="T58" i="1"/>
  <c r="R58" i="1"/>
  <c r="P58" i="1"/>
  <c r="N58" i="1"/>
  <c r="L58" i="1"/>
  <c r="J58" i="1"/>
  <c r="V57" i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V54" i="1"/>
  <c r="T54" i="1"/>
  <c r="R54" i="1"/>
  <c r="P54" i="1"/>
  <c r="N54" i="1"/>
  <c r="L54" i="1"/>
  <c r="J57" i="1"/>
  <c r="J56" i="1"/>
  <c r="J55" i="1"/>
  <c r="J54" i="1"/>
  <c r="V660" i="1" l="1"/>
  <c r="W660" i="1" s="1"/>
  <c r="T660" i="1"/>
  <c r="U660" i="1" s="1"/>
  <c r="R660" i="1"/>
  <c r="S660" i="1" s="1"/>
  <c r="P660" i="1"/>
  <c r="Q660" i="1" s="1"/>
  <c r="G660" i="1"/>
  <c r="V659" i="1"/>
  <c r="W659" i="1" s="1"/>
  <c r="T659" i="1"/>
  <c r="U659" i="1" s="1"/>
  <c r="R659" i="1"/>
  <c r="S659" i="1" s="1"/>
  <c r="P659" i="1"/>
  <c r="Q659" i="1" s="1"/>
  <c r="G659" i="1"/>
  <c r="V661" i="1"/>
  <c r="W661" i="1" s="1"/>
  <c r="T661" i="1"/>
  <c r="U661" i="1" s="1"/>
  <c r="R661" i="1"/>
  <c r="S661" i="1" s="1"/>
  <c r="P661" i="1"/>
  <c r="Q661" i="1" s="1"/>
  <c r="G661" i="1"/>
  <c r="V662" i="1"/>
  <c r="W662" i="1" s="1"/>
  <c r="T662" i="1"/>
  <c r="U662" i="1" s="1"/>
  <c r="R662" i="1"/>
  <c r="S662" i="1" s="1"/>
  <c r="P662" i="1"/>
  <c r="Q662" i="1" s="1"/>
  <c r="G662" i="1"/>
  <c r="V663" i="1"/>
  <c r="W663" i="1" s="1"/>
  <c r="T663" i="1"/>
  <c r="U663" i="1" s="1"/>
  <c r="R663" i="1"/>
  <c r="S663" i="1" s="1"/>
  <c r="P663" i="1"/>
  <c r="Q663" i="1" s="1"/>
  <c r="G663" i="1"/>
  <c r="V664" i="1"/>
  <c r="W664" i="1" s="1"/>
  <c r="T664" i="1"/>
  <c r="U664" i="1" s="1"/>
  <c r="R664" i="1"/>
  <c r="S664" i="1" s="1"/>
  <c r="P664" i="1"/>
  <c r="Q664" i="1" s="1"/>
  <c r="G664" i="1"/>
  <c r="V665" i="1"/>
  <c r="W665" i="1" s="1"/>
  <c r="T665" i="1"/>
  <c r="U665" i="1" s="1"/>
  <c r="R665" i="1"/>
  <c r="S665" i="1" s="1"/>
  <c r="P665" i="1"/>
  <c r="Q665" i="1" s="1"/>
  <c r="G665" i="1"/>
  <c r="V666" i="1"/>
  <c r="W666" i="1" s="1"/>
  <c r="T666" i="1"/>
  <c r="U666" i="1" s="1"/>
  <c r="R666" i="1"/>
  <c r="S666" i="1" s="1"/>
  <c r="P666" i="1"/>
  <c r="Q666" i="1" s="1"/>
  <c r="G666" i="1"/>
  <c r="F445" i="1" l="1"/>
  <c r="P445" i="1" s="1"/>
  <c r="Q445" i="1" s="1"/>
  <c r="R445" i="1" l="1"/>
  <c r="S445" i="1" s="1"/>
  <c r="G445" i="1"/>
  <c r="H445" i="1"/>
  <c r="I445" i="1" s="1"/>
  <c r="T445" i="1"/>
  <c r="U445" i="1" s="1"/>
  <c r="J445" i="1"/>
  <c r="K445" i="1" s="1"/>
  <c r="V445" i="1"/>
  <c r="W445" i="1" s="1"/>
  <c r="L445" i="1"/>
  <c r="M445" i="1" s="1"/>
  <c r="N445" i="1"/>
  <c r="O445" i="1" s="1"/>
  <c r="F622" i="1"/>
  <c r="R622" i="1" s="1"/>
  <c r="S622" i="1" s="1"/>
  <c r="L622" i="1" l="1"/>
  <c r="M622" i="1" s="1"/>
  <c r="G622" i="1"/>
  <c r="H622" i="1"/>
  <c r="I622" i="1" s="1"/>
  <c r="T622" i="1"/>
  <c r="U622" i="1" s="1"/>
  <c r="J622" i="1"/>
  <c r="K622" i="1" s="1"/>
  <c r="V622" i="1"/>
  <c r="W622" i="1" s="1"/>
  <c r="N622" i="1"/>
  <c r="O622" i="1" s="1"/>
  <c r="P622" i="1"/>
  <c r="Q622" i="1" s="1"/>
  <c r="F370" i="1"/>
  <c r="V370" i="1" s="1"/>
  <c r="W370" i="1" s="1"/>
  <c r="F446" i="1"/>
  <c r="F444" i="1"/>
  <c r="P444" i="1" s="1"/>
  <c r="Q444" i="1" s="1"/>
  <c r="F441" i="1"/>
  <c r="J441" i="1" s="1"/>
  <c r="K441" i="1" s="1"/>
  <c r="P441" i="1" l="1"/>
  <c r="Q441" i="1" s="1"/>
  <c r="N441" i="1"/>
  <c r="O441" i="1" s="1"/>
  <c r="N444" i="1"/>
  <c r="O444" i="1" s="1"/>
  <c r="T444" i="1"/>
  <c r="U444" i="1" s="1"/>
  <c r="J444" i="1"/>
  <c r="K444" i="1" s="1"/>
  <c r="L444" i="1"/>
  <c r="M444" i="1" s="1"/>
  <c r="L370" i="1"/>
  <c r="M370" i="1" s="1"/>
  <c r="V444" i="1"/>
  <c r="W444" i="1" s="1"/>
  <c r="V441" i="1"/>
  <c r="W441" i="1" s="1"/>
  <c r="H444" i="1"/>
  <c r="I444" i="1" s="1"/>
  <c r="P370" i="1"/>
  <c r="Q370" i="1" s="1"/>
  <c r="G370" i="1"/>
  <c r="T370" i="1"/>
  <c r="U370" i="1" s="1"/>
  <c r="N370" i="1"/>
  <c r="O370" i="1" s="1"/>
  <c r="R370" i="1"/>
  <c r="S370" i="1" s="1"/>
  <c r="R444" i="1"/>
  <c r="S444" i="1" s="1"/>
  <c r="G444" i="1"/>
  <c r="L441" i="1"/>
  <c r="M441" i="1" s="1"/>
  <c r="R441" i="1"/>
  <c r="S441" i="1" s="1"/>
  <c r="T441" i="1"/>
  <c r="U441" i="1" s="1"/>
  <c r="G441" i="1"/>
  <c r="H441" i="1"/>
  <c r="I441" i="1" s="1"/>
  <c r="F589" i="1" l="1"/>
  <c r="F233" i="1"/>
  <c r="F698" i="1"/>
  <c r="F588" i="1"/>
  <c r="F374" i="1"/>
  <c r="F621" i="1" l="1"/>
  <c r="P621" i="1" s="1"/>
  <c r="Q621" i="1" s="1"/>
  <c r="R621" i="1" l="1"/>
  <c r="S621" i="1" s="1"/>
  <c r="G621" i="1"/>
  <c r="H621" i="1"/>
  <c r="I621" i="1" s="1"/>
  <c r="T621" i="1"/>
  <c r="U621" i="1" s="1"/>
  <c r="J621" i="1"/>
  <c r="K621" i="1" s="1"/>
  <c r="V621" i="1"/>
  <c r="W621" i="1" s="1"/>
  <c r="L621" i="1"/>
  <c r="M621" i="1" s="1"/>
  <c r="N621" i="1"/>
  <c r="O621" i="1" s="1"/>
  <c r="F354" i="1"/>
  <c r="F103" i="1" l="1"/>
  <c r="R103" i="1" s="1"/>
  <c r="S103" i="1" s="1"/>
  <c r="V103" i="1" l="1"/>
  <c r="W103" i="1" s="1"/>
  <c r="N103" i="1"/>
  <c r="O103" i="1" s="1"/>
  <c r="T103" i="1"/>
  <c r="U103" i="1" s="1"/>
  <c r="L103" i="1"/>
  <c r="M103" i="1" s="1"/>
  <c r="J103" i="1"/>
  <c r="K103" i="1" s="1"/>
  <c r="P103" i="1"/>
  <c r="Q103" i="1" s="1"/>
  <c r="G103" i="1"/>
  <c r="F173" i="1"/>
  <c r="F174" i="1"/>
  <c r="G174" i="1" s="1"/>
  <c r="N174" i="1" l="1"/>
  <c r="O174" i="1" s="1"/>
  <c r="P174" i="1"/>
  <c r="Q174" i="1" s="1"/>
  <c r="H174" i="1"/>
  <c r="I174" i="1" s="1"/>
  <c r="T174" i="1"/>
  <c r="U174" i="1" s="1"/>
  <c r="J174" i="1"/>
  <c r="K174" i="1" s="1"/>
  <c r="V174" i="1"/>
  <c r="W174" i="1" s="1"/>
  <c r="L174" i="1"/>
  <c r="M174" i="1" s="1"/>
  <c r="R174" i="1"/>
  <c r="S174" i="1" s="1"/>
  <c r="F167" i="1"/>
  <c r="P167" i="1" s="1"/>
  <c r="Q167" i="1" s="1"/>
  <c r="N167" i="1" l="1"/>
  <c r="O167" i="1" s="1"/>
  <c r="L167" i="1"/>
  <c r="M167" i="1" s="1"/>
  <c r="R167" i="1"/>
  <c r="S167" i="1" s="1"/>
  <c r="G167" i="1"/>
  <c r="H167" i="1"/>
  <c r="I167" i="1" s="1"/>
  <c r="T167" i="1"/>
  <c r="U167" i="1" s="1"/>
  <c r="J167" i="1"/>
  <c r="K167" i="1" s="1"/>
  <c r="V167" i="1"/>
  <c r="W167" i="1" s="1"/>
  <c r="V173" i="1"/>
  <c r="W173" i="1" s="1"/>
  <c r="F168" i="1"/>
  <c r="R168" i="1" s="1"/>
  <c r="S168" i="1" s="1"/>
  <c r="T168" i="1" l="1"/>
  <c r="U168" i="1" s="1"/>
  <c r="V168" i="1"/>
  <c r="W168" i="1" s="1"/>
  <c r="N168" i="1"/>
  <c r="O168" i="1" s="1"/>
  <c r="H168" i="1"/>
  <c r="I168" i="1" s="1"/>
  <c r="L168" i="1"/>
  <c r="M168" i="1" s="1"/>
  <c r="P168" i="1"/>
  <c r="Q168" i="1" s="1"/>
  <c r="J168" i="1"/>
  <c r="K168" i="1" s="1"/>
  <c r="P173" i="1"/>
  <c r="Q173" i="1" s="1"/>
  <c r="N173" i="1"/>
  <c r="O173" i="1" s="1"/>
  <c r="L173" i="1"/>
  <c r="M173" i="1" s="1"/>
  <c r="T173" i="1"/>
  <c r="U173" i="1" s="1"/>
  <c r="R173" i="1"/>
  <c r="S173" i="1" s="1"/>
  <c r="G173" i="1"/>
  <c r="H173" i="1"/>
  <c r="I173" i="1" s="1"/>
  <c r="J173" i="1"/>
  <c r="K173" i="1" s="1"/>
  <c r="G168" i="1"/>
  <c r="F566" i="1"/>
  <c r="T566" i="1" s="1"/>
  <c r="U566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G305" i="1"/>
  <c r="F223" i="1"/>
  <c r="V566" i="1" l="1"/>
  <c r="W566" i="1" s="1"/>
  <c r="L566" i="1"/>
  <c r="M566" i="1" s="1"/>
  <c r="N566" i="1"/>
  <c r="O566" i="1" s="1"/>
  <c r="R566" i="1"/>
  <c r="S566" i="1" s="1"/>
  <c r="G566" i="1"/>
  <c r="P566" i="1"/>
  <c r="Q566" i="1" s="1"/>
  <c r="F568" i="1" l="1"/>
  <c r="F416" i="1" l="1"/>
  <c r="F426" i="1"/>
  <c r="F604" i="1" l="1"/>
  <c r="N604" i="1" s="1"/>
  <c r="O604" i="1" s="1"/>
  <c r="P604" i="1" l="1"/>
  <c r="Q604" i="1" s="1"/>
  <c r="L604" i="1"/>
  <c r="M604" i="1" s="1"/>
  <c r="R604" i="1"/>
  <c r="S604" i="1" s="1"/>
  <c r="G604" i="1"/>
  <c r="H604" i="1"/>
  <c r="I604" i="1" s="1"/>
  <c r="T604" i="1"/>
  <c r="U604" i="1" s="1"/>
  <c r="J604" i="1"/>
  <c r="K604" i="1" s="1"/>
  <c r="V604" i="1"/>
  <c r="W604" i="1" s="1"/>
  <c r="F572" i="1" l="1"/>
  <c r="V571" i="1"/>
  <c r="W571" i="1" s="1"/>
  <c r="F440" i="1"/>
  <c r="P440" i="1" s="1"/>
  <c r="Q440" i="1" s="1"/>
  <c r="F439" i="1"/>
  <c r="P439" i="1" s="1"/>
  <c r="Q439" i="1" s="1"/>
  <c r="F197" i="1"/>
  <c r="N197" i="1" s="1"/>
  <c r="O197" i="1" s="1"/>
  <c r="R571" i="1" l="1"/>
  <c r="S571" i="1" s="1"/>
  <c r="T571" i="1"/>
  <c r="U571" i="1" s="1"/>
  <c r="G571" i="1"/>
  <c r="R440" i="1"/>
  <c r="S440" i="1" s="1"/>
  <c r="G440" i="1"/>
  <c r="H440" i="1"/>
  <c r="I440" i="1" s="1"/>
  <c r="T440" i="1"/>
  <c r="U440" i="1" s="1"/>
  <c r="J440" i="1"/>
  <c r="K440" i="1" s="1"/>
  <c r="V440" i="1"/>
  <c r="W440" i="1" s="1"/>
  <c r="L440" i="1"/>
  <c r="M440" i="1" s="1"/>
  <c r="N440" i="1"/>
  <c r="O440" i="1" s="1"/>
  <c r="L439" i="1"/>
  <c r="M439" i="1" s="1"/>
  <c r="N439" i="1"/>
  <c r="O439" i="1" s="1"/>
  <c r="R439" i="1"/>
  <c r="S439" i="1" s="1"/>
  <c r="G439" i="1"/>
  <c r="H439" i="1"/>
  <c r="I439" i="1" s="1"/>
  <c r="T439" i="1"/>
  <c r="U439" i="1" s="1"/>
  <c r="J439" i="1"/>
  <c r="K439" i="1" s="1"/>
  <c r="V439" i="1"/>
  <c r="W439" i="1" s="1"/>
  <c r="R197" i="1"/>
  <c r="S197" i="1" s="1"/>
  <c r="G197" i="1"/>
  <c r="H197" i="1"/>
  <c r="I197" i="1" s="1"/>
  <c r="T197" i="1"/>
  <c r="U197" i="1" s="1"/>
  <c r="J197" i="1"/>
  <c r="K197" i="1" s="1"/>
  <c r="V197" i="1"/>
  <c r="W197" i="1" s="1"/>
  <c r="L197" i="1"/>
  <c r="M197" i="1" s="1"/>
  <c r="P197" i="1"/>
  <c r="Q197" i="1" s="1"/>
  <c r="F196" i="1"/>
  <c r="N196" i="1" s="1"/>
  <c r="O196" i="1" s="1"/>
  <c r="F268" i="1"/>
  <c r="R268" i="1" s="1"/>
  <c r="S268" i="1" s="1"/>
  <c r="F165" i="1"/>
  <c r="P165" i="1" s="1"/>
  <c r="Q165" i="1" s="1"/>
  <c r="F166" i="1"/>
  <c r="P268" i="1" l="1"/>
  <c r="Q268" i="1" s="1"/>
  <c r="T196" i="1"/>
  <c r="U196" i="1" s="1"/>
  <c r="V196" i="1"/>
  <c r="W196" i="1" s="1"/>
  <c r="L196" i="1"/>
  <c r="M196" i="1" s="1"/>
  <c r="G196" i="1"/>
  <c r="H196" i="1"/>
  <c r="I196" i="1" s="1"/>
  <c r="J196" i="1"/>
  <c r="K196" i="1" s="1"/>
  <c r="P196" i="1"/>
  <c r="Q196" i="1" s="1"/>
  <c r="R196" i="1"/>
  <c r="S196" i="1" s="1"/>
  <c r="L268" i="1"/>
  <c r="M268" i="1" s="1"/>
  <c r="G268" i="1"/>
  <c r="H268" i="1"/>
  <c r="I268" i="1" s="1"/>
  <c r="T268" i="1"/>
  <c r="U268" i="1" s="1"/>
  <c r="J268" i="1"/>
  <c r="K268" i="1" s="1"/>
  <c r="V268" i="1"/>
  <c r="W268" i="1" s="1"/>
  <c r="N268" i="1"/>
  <c r="O268" i="1" s="1"/>
  <c r="V165" i="1"/>
  <c r="W165" i="1" s="1"/>
  <c r="L165" i="1"/>
  <c r="M165" i="1" s="1"/>
  <c r="N165" i="1"/>
  <c r="O165" i="1" s="1"/>
  <c r="R165" i="1"/>
  <c r="S165" i="1" s="1"/>
  <c r="G165" i="1"/>
  <c r="H165" i="1"/>
  <c r="I165" i="1" s="1"/>
  <c r="T165" i="1"/>
  <c r="U165" i="1" s="1"/>
  <c r="J165" i="1"/>
  <c r="K165" i="1" s="1"/>
  <c r="F680" i="1"/>
  <c r="N680" i="1" s="1"/>
  <c r="F673" i="1"/>
  <c r="P673" i="1" s="1"/>
  <c r="Q673" i="1" s="1"/>
  <c r="F684" i="1"/>
  <c r="N684" i="1" s="1"/>
  <c r="O684" i="1" s="1"/>
  <c r="F235" i="1"/>
  <c r="V235" i="1" s="1"/>
  <c r="W235" i="1" s="1"/>
  <c r="F241" i="1"/>
  <c r="L241" i="1" s="1"/>
  <c r="M241" i="1" s="1"/>
  <c r="F258" i="1"/>
  <c r="J258" i="1" s="1"/>
  <c r="K258" i="1" s="1"/>
  <c r="R241" i="1" l="1"/>
  <c r="S241" i="1" s="1"/>
  <c r="L258" i="1"/>
  <c r="M258" i="1" s="1"/>
  <c r="R680" i="1"/>
  <c r="S680" i="1" s="1"/>
  <c r="T680" i="1"/>
  <c r="U680" i="1" s="1"/>
  <c r="N258" i="1"/>
  <c r="O258" i="1" s="1"/>
  <c r="V680" i="1"/>
  <c r="W680" i="1" s="1"/>
  <c r="P258" i="1"/>
  <c r="Q258" i="1" s="1"/>
  <c r="P680" i="1"/>
  <c r="Q680" i="1" s="1"/>
  <c r="R258" i="1"/>
  <c r="S258" i="1" s="1"/>
  <c r="H258" i="1"/>
  <c r="I258" i="1" s="1"/>
  <c r="L680" i="1"/>
  <c r="M680" i="1" s="1"/>
  <c r="T258" i="1"/>
  <c r="U258" i="1" s="1"/>
  <c r="V258" i="1"/>
  <c r="W258" i="1" s="1"/>
  <c r="J680" i="1"/>
  <c r="K680" i="1" s="1"/>
  <c r="O680" i="1"/>
  <c r="G680" i="1"/>
  <c r="R673" i="1"/>
  <c r="S673" i="1" s="1"/>
  <c r="G673" i="1"/>
  <c r="H673" i="1"/>
  <c r="I673" i="1" s="1"/>
  <c r="T673" i="1"/>
  <c r="U673" i="1" s="1"/>
  <c r="J673" i="1"/>
  <c r="K673" i="1" s="1"/>
  <c r="V673" i="1"/>
  <c r="W673" i="1" s="1"/>
  <c r="L673" i="1"/>
  <c r="M673" i="1" s="1"/>
  <c r="N673" i="1"/>
  <c r="O673" i="1" s="1"/>
  <c r="H684" i="1"/>
  <c r="I684" i="1" s="1"/>
  <c r="V684" i="1"/>
  <c r="W684" i="1" s="1"/>
  <c r="L684" i="1"/>
  <c r="M684" i="1" s="1"/>
  <c r="P684" i="1"/>
  <c r="Q684" i="1" s="1"/>
  <c r="R684" i="1"/>
  <c r="S684" i="1" s="1"/>
  <c r="G684" i="1"/>
  <c r="T684" i="1"/>
  <c r="U684" i="1" s="1"/>
  <c r="J684" i="1"/>
  <c r="K684" i="1" s="1"/>
  <c r="G235" i="1"/>
  <c r="T235" i="1"/>
  <c r="U235" i="1" s="1"/>
  <c r="L235" i="1"/>
  <c r="M235" i="1" s="1"/>
  <c r="N235" i="1"/>
  <c r="O235" i="1" s="1"/>
  <c r="J235" i="1"/>
  <c r="K235" i="1" s="1"/>
  <c r="P235" i="1"/>
  <c r="Q235" i="1" s="1"/>
  <c r="R235" i="1"/>
  <c r="S235" i="1" s="1"/>
  <c r="H235" i="1"/>
  <c r="I235" i="1" s="1"/>
  <c r="V241" i="1"/>
  <c r="W241" i="1" s="1"/>
  <c r="N241" i="1"/>
  <c r="O241" i="1" s="1"/>
  <c r="G241" i="1"/>
  <c r="J241" i="1"/>
  <c r="K241" i="1" s="1"/>
  <c r="T241" i="1"/>
  <c r="U241" i="1" s="1"/>
  <c r="H241" i="1"/>
  <c r="I241" i="1" s="1"/>
  <c r="P241" i="1"/>
  <c r="Q241" i="1" s="1"/>
  <c r="F261" i="1" l="1"/>
  <c r="G258" i="1" l="1"/>
  <c r="F162" i="1"/>
  <c r="V162" i="1" s="1"/>
  <c r="W162" i="1" s="1"/>
  <c r="H162" i="1" l="1"/>
  <c r="I162" i="1" s="1"/>
  <c r="L162" i="1"/>
  <c r="M162" i="1" s="1"/>
  <c r="N162" i="1"/>
  <c r="O162" i="1" s="1"/>
  <c r="P162" i="1"/>
  <c r="Q162" i="1" s="1"/>
  <c r="R162" i="1"/>
  <c r="S162" i="1" s="1"/>
  <c r="G162" i="1"/>
  <c r="T162" i="1"/>
  <c r="U162" i="1" s="1"/>
  <c r="J162" i="1"/>
  <c r="K162" i="1" s="1"/>
  <c r="J153" i="1"/>
  <c r="K153" i="1" s="1"/>
  <c r="F619" i="1" l="1"/>
  <c r="F618" i="1"/>
  <c r="F617" i="1"/>
  <c r="F613" i="1"/>
  <c r="F612" i="1"/>
  <c r="F611" i="1"/>
  <c r="F606" i="1"/>
  <c r="F601" i="1"/>
  <c r="F593" i="1"/>
  <c r="F590" i="1"/>
  <c r="F582" i="1"/>
  <c r="F576" i="1"/>
  <c r="F573" i="1"/>
  <c r="F567" i="1"/>
  <c r="F540" i="1"/>
  <c r="F539" i="1"/>
  <c r="F538" i="1"/>
  <c r="F520" i="1"/>
  <c r="F519" i="1"/>
  <c r="F472" i="1"/>
  <c r="F464" i="1"/>
  <c r="F463" i="1"/>
  <c r="F459" i="1"/>
  <c r="F458" i="1"/>
  <c r="F443" i="1"/>
  <c r="H324" i="1"/>
  <c r="H325" i="1"/>
  <c r="H326" i="1"/>
  <c r="H302" i="1"/>
  <c r="H303" i="1"/>
  <c r="H304" i="1"/>
  <c r="H306" i="1"/>
  <c r="H307" i="1"/>
  <c r="H308" i="1"/>
  <c r="H313" i="1"/>
  <c r="H299" i="1"/>
  <c r="F163" i="1"/>
  <c r="P163" i="1" s="1"/>
  <c r="Q163" i="1" s="1"/>
  <c r="F605" i="1"/>
  <c r="V605" i="1" s="1"/>
  <c r="W605" i="1" s="1"/>
  <c r="N163" i="1" l="1"/>
  <c r="O163" i="1" s="1"/>
  <c r="R163" i="1"/>
  <c r="S163" i="1" s="1"/>
  <c r="G163" i="1"/>
  <c r="H163" i="1"/>
  <c r="I163" i="1" s="1"/>
  <c r="T163" i="1"/>
  <c r="U163" i="1" s="1"/>
  <c r="J163" i="1"/>
  <c r="K163" i="1" s="1"/>
  <c r="V163" i="1"/>
  <c r="W163" i="1" s="1"/>
  <c r="L163" i="1"/>
  <c r="M163" i="1" s="1"/>
  <c r="G605" i="1"/>
  <c r="H605" i="1"/>
  <c r="I605" i="1" s="1"/>
  <c r="T605" i="1"/>
  <c r="U605" i="1" s="1"/>
  <c r="P605" i="1"/>
  <c r="Q605" i="1" s="1"/>
  <c r="R605" i="1"/>
  <c r="S605" i="1" s="1"/>
  <c r="L605" i="1"/>
  <c r="M605" i="1" s="1"/>
  <c r="N605" i="1"/>
  <c r="O605" i="1" s="1"/>
  <c r="J605" i="1"/>
  <c r="K605" i="1" s="1"/>
  <c r="F427" i="1" l="1"/>
  <c r="H427" i="1" s="1"/>
  <c r="H360" i="1"/>
  <c r="F417" i="1"/>
  <c r="H417" i="1" s="1"/>
  <c r="F411" i="1"/>
  <c r="F410" i="1"/>
  <c r="F382" i="1"/>
  <c r="F380" i="1"/>
  <c r="F379" i="1"/>
  <c r="F378" i="1"/>
  <c r="F333" i="1"/>
  <c r="F273" i="1"/>
  <c r="F270" i="1"/>
  <c r="F269" i="1"/>
  <c r="F263" i="1"/>
  <c r="F262" i="1"/>
  <c r="F255" i="1"/>
  <c r="F254" i="1"/>
  <c r="F253" i="1"/>
  <c r="F252" i="1"/>
  <c r="F248" i="1"/>
  <c r="F231" i="1"/>
  <c r="F230" i="1"/>
  <c r="F229" i="1"/>
  <c r="V222" i="1"/>
  <c r="W222" i="1" s="1"/>
  <c r="T222" i="1"/>
  <c r="U222" i="1" s="1"/>
  <c r="R222" i="1"/>
  <c r="S222" i="1" s="1"/>
  <c r="P222" i="1"/>
  <c r="Q222" i="1" s="1"/>
  <c r="V221" i="1"/>
  <c r="W221" i="1" s="1"/>
  <c r="T221" i="1"/>
  <c r="U221" i="1" s="1"/>
  <c r="R221" i="1"/>
  <c r="S221" i="1" s="1"/>
  <c r="P221" i="1"/>
  <c r="Q221" i="1" s="1"/>
  <c r="V220" i="1"/>
  <c r="W220" i="1" s="1"/>
  <c r="T220" i="1"/>
  <c r="U220" i="1" s="1"/>
  <c r="R220" i="1"/>
  <c r="S220" i="1" s="1"/>
  <c r="P220" i="1"/>
  <c r="Q220" i="1" s="1"/>
  <c r="V219" i="1"/>
  <c r="W219" i="1" s="1"/>
  <c r="T219" i="1"/>
  <c r="U219" i="1" s="1"/>
  <c r="R219" i="1"/>
  <c r="S219" i="1" s="1"/>
  <c r="P219" i="1"/>
  <c r="Q219" i="1" s="1"/>
  <c r="V218" i="1"/>
  <c r="W218" i="1" s="1"/>
  <c r="T218" i="1"/>
  <c r="U218" i="1" s="1"/>
  <c r="R218" i="1"/>
  <c r="S218" i="1" s="1"/>
  <c r="P218" i="1"/>
  <c r="Q218" i="1" s="1"/>
  <c r="V217" i="1"/>
  <c r="T217" i="1"/>
  <c r="R217" i="1"/>
  <c r="P217" i="1"/>
  <c r="N217" i="1"/>
  <c r="N218" i="1"/>
  <c r="N219" i="1"/>
  <c r="N220" i="1"/>
  <c r="N221" i="1"/>
  <c r="N222" i="1"/>
  <c r="N216" i="1"/>
  <c r="L217" i="1"/>
  <c r="L218" i="1"/>
  <c r="L219" i="1"/>
  <c r="L220" i="1"/>
  <c r="L221" i="1"/>
  <c r="L222" i="1"/>
  <c r="L216" i="1"/>
  <c r="J216" i="1"/>
  <c r="J217" i="1"/>
  <c r="J218" i="1"/>
  <c r="J220" i="1"/>
  <c r="J221" i="1"/>
  <c r="J222" i="1"/>
  <c r="J219" i="1"/>
  <c r="F192" i="1"/>
  <c r="F193" i="1"/>
  <c r="F195" i="1"/>
  <c r="F198" i="1"/>
  <c r="H198" i="1" s="1"/>
  <c r="F171" i="1"/>
  <c r="G171" i="1" s="1"/>
  <c r="F172" i="1"/>
  <c r="F164" i="1"/>
  <c r="H164" i="1" s="1"/>
  <c r="J146" i="1"/>
  <c r="L146" i="1"/>
  <c r="N146" i="1"/>
  <c r="P146" i="1"/>
  <c r="R146" i="1"/>
  <c r="T146" i="1"/>
  <c r="V146" i="1"/>
  <c r="F104" i="1"/>
  <c r="F102" i="1"/>
  <c r="F101" i="1"/>
  <c r="N101" i="1" s="1"/>
  <c r="N105" i="1"/>
  <c r="F100" i="1"/>
  <c r="N100" i="1" s="1"/>
  <c r="F99" i="1"/>
  <c r="N99" i="1" s="1"/>
  <c r="F29" i="1"/>
  <c r="F15" i="1"/>
  <c r="F25" i="1"/>
  <c r="F28" i="1"/>
  <c r="W46" i="1"/>
  <c r="U46" i="1"/>
  <c r="S46" i="1"/>
  <c r="Q46" i="1"/>
  <c r="O46" i="1"/>
  <c r="W45" i="1"/>
  <c r="U45" i="1"/>
  <c r="S45" i="1"/>
  <c r="Q45" i="1"/>
  <c r="O45" i="1"/>
  <c r="W126" i="1"/>
  <c r="U126" i="1"/>
  <c r="S126" i="1"/>
  <c r="Q126" i="1"/>
  <c r="O126" i="1"/>
  <c r="W49" i="1"/>
  <c r="U49" i="1"/>
  <c r="S49" i="1"/>
  <c r="Q49" i="1"/>
  <c r="O49" i="1"/>
  <c r="W48" i="1"/>
  <c r="U48" i="1"/>
  <c r="S48" i="1"/>
  <c r="Q48" i="1"/>
  <c r="O48" i="1"/>
  <c r="W43" i="1"/>
  <c r="U43" i="1"/>
  <c r="S43" i="1"/>
  <c r="Q43" i="1"/>
  <c r="O43" i="1"/>
  <c r="W42" i="1"/>
  <c r="U42" i="1"/>
  <c r="S42" i="1"/>
  <c r="Q42" i="1"/>
  <c r="O42" i="1"/>
  <c r="W37" i="1"/>
  <c r="U37" i="1"/>
  <c r="S37" i="1"/>
  <c r="Q37" i="1"/>
  <c r="O37" i="1"/>
  <c r="W40" i="1"/>
  <c r="U40" i="1"/>
  <c r="S40" i="1"/>
  <c r="Q40" i="1"/>
  <c r="O40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T28" i="1" l="1"/>
  <c r="U28" i="1" s="1"/>
  <c r="R28" i="1"/>
  <c r="S28" i="1" s="1"/>
  <c r="P28" i="1"/>
  <c r="Q28" i="1" s="1"/>
  <c r="N28" i="1"/>
  <c r="O28" i="1" s="1"/>
  <c r="L28" i="1"/>
  <c r="M28" i="1" s="1"/>
  <c r="T25" i="1"/>
  <c r="U25" i="1" s="1"/>
  <c r="R25" i="1"/>
  <c r="S25" i="1" s="1"/>
  <c r="P25" i="1"/>
  <c r="Q25" i="1" s="1"/>
  <c r="N25" i="1"/>
  <c r="O25" i="1" s="1"/>
  <c r="L25" i="1"/>
  <c r="M25" i="1" s="1"/>
  <c r="T15" i="1"/>
  <c r="U15" i="1" s="1"/>
  <c r="P15" i="1"/>
  <c r="Q15" i="1" s="1"/>
  <c r="R15" i="1"/>
  <c r="S15" i="1" s="1"/>
  <c r="N15" i="1"/>
  <c r="O15" i="1" s="1"/>
  <c r="L15" i="1"/>
  <c r="M15" i="1" s="1"/>
  <c r="L29" i="1"/>
  <c r="M29" i="1" s="1"/>
  <c r="T29" i="1"/>
  <c r="U29" i="1" s="1"/>
  <c r="R29" i="1"/>
  <c r="S29" i="1" s="1"/>
  <c r="P29" i="1"/>
  <c r="Q29" i="1" s="1"/>
  <c r="N29" i="1"/>
  <c r="O29" i="1" s="1"/>
  <c r="V29" i="1"/>
  <c r="W29" i="1" s="1"/>
  <c r="J171" i="1"/>
  <c r="K171" i="1" s="1"/>
  <c r="P171" i="1"/>
  <c r="Q171" i="1" s="1"/>
  <c r="V171" i="1"/>
  <c r="W171" i="1" s="1"/>
  <c r="T171" i="1"/>
  <c r="U171" i="1" s="1"/>
  <c r="L171" i="1"/>
  <c r="M171" i="1" s="1"/>
  <c r="N171" i="1"/>
  <c r="O171" i="1" s="1"/>
  <c r="R171" i="1"/>
  <c r="S171" i="1" s="1"/>
  <c r="H171" i="1"/>
  <c r="I171" i="1" s="1"/>
  <c r="H100" i="1"/>
  <c r="H99" i="1"/>
  <c r="H101" i="1"/>
  <c r="G15" i="1"/>
  <c r="F207" i="1" l="1"/>
  <c r="F206" i="1"/>
  <c r="F129" i="1"/>
  <c r="F128" i="1"/>
  <c r="W120" i="1"/>
  <c r="U120" i="1"/>
  <c r="S120" i="1"/>
  <c r="Q120" i="1"/>
  <c r="O120" i="1"/>
  <c r="M120" i="1"/>
  <c r="W115" i="1"/>
  <c r="U115" i="1"/>
  <c r="S115" i="1"/>
  <c r="Q115" i="1"/>
  <c r="O115" i="1"/>
  <c r="M115" i="1"/>
  <c r="P128" i="1" l="1"/>
  <c r="N128" i="1"/>
  <c r="P129" i="1"/>
  <c r="N129" i="1"/>
  <c r="P127" i="1"/>
  <c r="N127" i="1"/>
  <c r="F531" i="1"/>
  <c r="F528" i="1"/>
  <c r="F527" i="1"/>
  <c r="F536" i="1"/>
  <c r="F535" i="1"/>
  <c r="F534" i="1"/>
  <c r="F533" i="1"/>
  <c r="F435" i="1"/>
  <c r="H435" i="1" s="1"/>
  <c r="F434" i="1"/>
  <c r="H434" i="1" s="1"/>
  <c r="F432" i="1"/>
  <c r="H432" i="1" s="1"/>
  <c r="F433" i="1"/>
  <c r="H433" i="1" s="1"/>
  <c r="F431" i="1"/>
  <c r="H431" i="1" s="1"/>
  <c r="F430" i="1"/>
  <c r="H430" i="1" s="1"/>
  <c r="F419" i="1"/>
  <c r="H419" i="1" s="1"/>
  <c r="F418" i="1"/>
  <c r="H418" i="1" s="1"/>
  <c r="F428" i="1"/>
  <c r="H428" i="1" s="1"/>
  <c r="F363" i="1"/>
  <c r="F388" i="1"/>
  <c r="F412" i="1"/>
  <c r="F367" i="1"/>
  <c r="F385" i="1"/>
  <c r="F395" i="1"/>
  <c r="F397" i="1"/>
  <c r="F384" i="1"/>
  <c r="V284" i="1"/>
  <c r="T284" i="1"/>
  <c r="R284" i="1"/>
  <c r="P284" i="1"/>
  <c r="N284" i="1"/>
  <c r="L284" i="1"/>
  <c r="F328" i="1"/>
  <c r="H328" i="1" s="1"/>
  <c r="F297" i="1"/>
  <c r="H297" i="1" s="1"/>
  <c r="F315" i="1"/>
  <c r="T315" i="1" s="1"/>
  <c r="F312" i="1"/>
  <c r="F271" i="1"/>
  <c r="P271" i="1" s="1"/>
  <c r="Q271" i="1" s="1"/>
  <c r="F392" i="1"/>
  <c r="T392" i="1" s="1"/>
  <c r="U392" i="1" s="1"/>
  <c r="F393" i="1"/>
  <c r="V393" i="1" s="1"/>
  <c r="W393" i="1" s="1"/>
  <c r="F398" i="1"/>
  <c r="F424" i="1"/>
  <c r="F425" i="1"/>
  <c r="F429" i="1"/>
  <c r="N429" i="1" s="1"/>
  <c r="T312" i="1" l="1"/>
  <c r="U312" i="1" s="1"/>
  <c r="H312" i="1"/>
  <c r="I312" i="1" s="1"/>
  <c r="V315" i="1"/>
  <c r="W315" i="1" s="1"/>
  <c r="N315" i="1"/>
  <c r="O315" i="1" s="1"/>
  <c r="P315" i="1"/>
  <c r="Q315" i="1" s="1"/>
  <c r="T429" i="1"/>
  <c r="J315" i="1"/>
  <c r="K315" i="1" s="1"/>
  <c r="L315" i="1"/>
  <c r="M315" i="1" s="1"/>
  <c r="R315" i="1"/>
  <c r="S315" i="1" s="1"/>
  <c r="R429" i="1"/>
  <c r="P429" i="1"/>
  <c r="H315" i="1"/>
  <c r="I315" i="1" s="1"/>
  <c r="G315" i="1"/>
  <c r="U315" i="1"/>
  <c r="J312" i="1"/>
  <c r="K312" i="1" s="1"/>
  <c r="N312" i="1"/>
  <c r="O312" i="1" s="1"/>
  <c r="P312" i="1"/>
  <c r="Q312" i="1" s="1"/>
  <c r="R312" i="1"/>
  <c r="S312" i="1" s="1"/>
  <c r="V312" i="1"/>
  <c r="W312" i="1" s="1"/>
  <c r="L312" i="1"/>
  <c r="M312" i="1" s="1"/>
  <c r="G312" i="1"/>
  <c r="V429" i="1"/>
  <c r="H429" i="1"/>
  <c r="J429" i="1"/>
  <c r="L429" i="1"/>
  <c r="N271" i="1"/>
  <c r="O271" i="1" s="1"/>
  <c r="R271" i="1"/>
  <c r="S271" i="1" s="1"/>
  <c r="G271" i="1"/>
  <c r="T271" i="1"/>
  <c r="U271" i="1" s="1"/>
  <c r="J271" i="1"/>
  <c r="K271" i="1" s="1"/>
  <c r="V271" i="1"/>
  <c r="W271" i="1" s="1"/>
  <c r="L271" i="1"/>
  <c r="M271" i="1" s="1"/>
  <c r="V392" i="1"/>
  <c r="W392" i="1" s="1"/>
  <c r="R392" i="1"/>
  <c r="S392" i="1" s="1"/>
  <c r="G392" i="1"/>
  <c r="L392" i="1"/>
  <c r="M392" i="1" s="1"/>
  <c r="N392" i="1"/>
  <c r="O392" i="1" s="1"/>
  <c r="P392" i="1"/>
  <c r="Q392" i="1" s="1"/>
  <c r="G393" i="1"/>
  <c r="L393" i="1"/>
  <c r="M393" i="1" s="1"/>
  <c r="N393" i="1"/>
  <c r="O393" i="1" s="1"/>
  <c r="P393" i="1"/>
  <c r="Q393" i="1" s="1"/>
  <c r="R393" i="1"/>
  <c r="S393" i="1" s="1"/>
  <c r="T393" i="1"/>
  <c r="U393" i="1" s="1"/>
  <c r="Q429" i="1" l="1"/>
  <c r="M429" i="1"/>
  <c r="O429" i="1"/>
  <c r="S429" i="1" l="1"/>
  <c r="G429" i="1"/>
  <c r="I429" i="1"/>
  <c r="U429" i="1"/>
  <c r="K429" i="1"/>
  <c r="W429" i="1"/>
  <c r="F465" i="1" l="1"/>
  <c r="F485" i="1"/>
  <c r="F484" i="1"/>
  <c r="F488" i="1"/>
  <c r="F514" i="1"/>
  <c r="V508" i="1"/>
  <c r="W508" i="1" s="1"/>
  <c r="T508" i="1"/>
  <c r="U508" i="1" s="1"/>
  <c r="R508" i="1"/>
  <c r="S508" i="1" s="1"/>
  <c r="P508" i="1"/>
  <c r="Q508" i="1" s="1"/>
  <c r="N508" i="1"/>
  <c r="O508" i="1" s="1"/>
  <c r="L508" i="1"/>
  <c r="M508" i="1" s="1"/>
  <c r="J508" i="1"/>
  <c r="K508" i="1" s="1"/>
  <c r="G508" i="1"/>
  <c r="F505" i="1"/>
  <c r="T505" i="1" s="1"/>
  <c r="U505" i="1" s="1"/>
  <c r="F504" i="1"/>
  <c r="P504" i="1" s="1"/>
  <c r="Q504" i="1" s="1"/>
  <c r="F675" i="1"/>
  <c r="J675" i="1" s="1"/>
  <c r="K675" i="1" s="1"/>
  <c r="J693" i="1"/>
  <c r="J692" i="1"/>
  <c r="V689" i="1"/>
  <c r="W689" i="1" s="1"/>
  <c r="T689" i="1"/>
  <c r="U689" i="1" s="1"/>
  <c r="R689" i="1"/>
  <c r="S689" i="1" s="1"/>
  <c r="P689" i="1"/>
  <c r="Q689" i="1" s="1"/>
  <c r="N689" i="1"/>
  <c r="O689" i="1" s="1"/>
  <c r="L689" i="1"/>
  <c r="M689" i="1" s="1"/>
  <c r="V688" i="1"/>
  <c r="W688" i="1" s="1"/>
  <c r="T688" i="1"/>
  <c r="U688" i="1" s="1"/>
  <c r="R688" i="1"/>
  <c r="S688" i="1" s="1"/>
  <c r="P688" i="1"/>
  <c r="Q688" i="1" s="1"/>
  <c r="N688" i="1"/>
  <c r="O688" i="1" s="1"/>
  <c r="L688" i="1"/>
  <c r="M688" i="1" s="1"/>
  <c r="H693" i="1"/>
  <c r="H692" i="1"/>
  <c r="V693" i="1"/>
  <c r="W693" i="1" s="1"/>
  <c r="T693" i="1"/>
  <c r="U693" i="1" s="1"/>
  <c r="R693" i="1"/>
  <c r="S693" i="1" s="1"/>
  <c r="P693" i="1"/>
  <c r="Q693" i="1" s="1"/>
  <c r="N693" i="1"/>
  <c r="O693" i="1" s="1"/>
  <c r="L693" i="1"/>
  <c r="M693" i="1" s="1"/>
  <c r="V692" i="1"/>
  <c r="W692" i="1" s="1"/>
  <c r="T692" i="1"/>
  <c r="U692" i="1" s="1"/>
  <c r="R692" i="1"/>
  <c r="S692" i="1" s="1"/>
  <c r="P692" i="1"/>
  <c r="Q692" i="1" s="1"/>
  <c r="N692" i="1"/>
  <c r="O692" i="1" s="1"/>
  <c r="L692" i="1"/>
  <c r="M692" i="1" s="1"/>
  <c r="V691" i="1"/>
  <c r="W691" i="1" s="1"/>
  <c r="T691" i="1"/>
  <c r="U691" i="1" s="1"/>
  <c r="R691" i="1"/>
  <c r="S691" i="1" s="1"/>
  <c r="P691" i="1"/>
  <c r="Q691" i="1" s="1"/>
  <c r="N691" i="1"/>
  <c r="O691" i="1" s="1"/>
  <c r="L691" i="1"/>
  <c r="M691" i="1" s="1"/>
  <c r="F686" i="1"/>
  <c r="F685" i="1"/>
  <c r="V685" i="1" s="1"/>
  <c r="W685" i="1" s="1"/>
  <c r="F683" i="1"/>
  <c r="P683" i="1" s="1"/>
  <c r="R679" i="1"/>
  <c r="R678" i="1"/>
  <c r="T678" i="1"/>
  <c r="T679" i="1"/>
  <c r="V679" i="1"/>
  <c r="V678" i="1"/>
  <c r="P679" i="1"/>
  <c r="P678" i="1"/>
  <c r="N679" i="1"/>
  <c r="N678" i="1"/>
  <c r="L678" i="1"/>
  <c r="L679" i="1"/>
  <c r="J678" i="1"/>
  <c r="J679" i="1"/>
  <c r="H679" i="1"/>
  <c r="H678" i="1"/>
  <c r="J686" i="1" l="1"/>
  <c r="K686" i="1" s="1"/>
  <c r="L686" i="1"/>
  <c r="T686" i="1"/>
  <c r="R686" i="1"/>
  <c r="P686" i="1"/>
  <c r="N686" i="1"/>
  <c r="L683" i="1"/>
  <c r="V683" i="1"/>
  <c r="J683" i="1"/>
  <c r="K683" i="1" s="1"/>
  <c r="T683" i="1"/>
  <c r="J505" i="1"/>
  <c r="K505" i="1" s="1"/>
  <c r="V505" i="1"/>
  <c r="W505" i="1" s="1"/>
  <c r="L505" i="1"/>
  <c r="M505" i="1" s="1"/>
  <c r="N505" i="1"/>
  <c r="O505" i="1" s="1"/>
  <c r="P505" i="1"/>
  <c r="Q505" i="1" s="1"/>
  <c r="R505" i="1"/>
  <c r="S505" i="1" s="1"/>
  <c r="G505" i="1"/>
  <c r="H505" i="1"/>
  <c r="I505" i="1" s="1"/>
  <c r="G504" i="1"/>
  <c r="R504" i="1"/>
  <c r="S504" i="1" s="1"/>
  <c r="T504" i="1"/>
  <c r="U504" i="1" s="1"/>
  <c r="V504" i="1"/>
  <c r="W504" i="1" s="1"/>
  <c r="H504" i="1"/>
  <c r="I504" i="1" s="1"/>
  <c r="J504" i="1"/>
  <c r="K504" i="1" s="1"/>
  <c r="L504" i="1"/>
  <c r="M504" i="1" s="1"/>
  <c r="N504" i="1"/>
  <c r="O504" i="1" s="1"/>
  <c r="L675" i="1"/>
  <c r="M675" i="1" s="1"/>
  <c r="P675" i="1"/>
  <c r="Q675" i="1" s="1"/>
  <c r="N675" i="1"/>
  <c r="O675" i="1" s="1"/>
  <c r="R675" i="1"/>
  <c r="S675" i="1" s="1"/>
  <c r="G675" i="1"/>
  <c r="H675" i="1"/>
  <c r="I675" i="1" s="1"/>
  <c r="T675" i="1"/>
  <c r="U675" i="1" s="1"/>
  <c r="V675" i="1"/>
  <c r="W675" i="1" s="1"/>
  <c r="R683" i="1"/>
  <c r="H685" i="1"/>
  <c r="I685" i="1" s="1"/>
  <c r="N683" i="1"/>
  <c r="J685" i="1"/>
  <c r="K685" i="1" s="1"/>
  <c r="L685" i="1"/>
  <c r="M685" i="1" s="1"/>
  <c r="N685" i="1"/>
  <c r="O685" i="1" s="1"/>
  <c r="P685" i="1"/>
  <c r="Q685" i="1" s="1"/>
  <c r="R685" i="1"/>
  <c r="S685" i="1" s="1"/>
  <c r="T685" i="1"/>
  <c r="U685" i="1" s="1"/>
  <c r="G685" i="1"/>
  <c r="F620" i="1" l="1"/>
  <c r="P620" i="1" s="1"/>
  <c r="Q620" i="1" s="1"/>
  <c r="F314" i="1"/>
  <c r="H314" i="1" s="1"/>
  <c r="F14" i="1"/>
  <c r="H14" i="1" l="1"/>
  <c r="R14" i="1"/>
  <c r="J14" i="1"/>
  <c r="T14" i="1"/>
  <c r="L14" i="1"/>
  <c r="P14" i="1"/>
  <c r="N14" i="1"/>
  <c r="R620" i="1"/>
  <c r="S620" i="1" s="1"/>
  <c r="G620" i="1"/>
  <c r="H620" i="1"/>
  <c r="I620" i="1" s="1"/>
  <c r="T620" i="1"/>
  <c r="U620" i="1" s="1"/>
  <c r="J620" i="1"/>
  <c r="K620" i="1" s="1"/>
  <c r="V620" i="1"/>
  <c r="W620" i="1" s="1"/>
  <c r="L620" i="1"/>
  <c r="M620" i="1" s="1"/>
  <c r="N620" i="1"/>
  <c r="O620" i="1" s="1"/>
  <c r="T419" i="1"/>
  <c r="U419" i="1" s="1"/>
  <c r="G467" i="1"/>
  <c r="P419" i="1" l="1"/>
  <c r="Q419" i="1" s="1"/>
  <c r="G419" i="1"/>
  <c r="I419" i="1"/>
  <c r="J419" i="1"/>
  <c r="K419" i="1" s="1"/>
  <c r="V419" i="1"/>
  <c r="W419" i="1" s="1"/>
  <c r="L419" i="1"/>
  <c r="M419" i="1" s="1"/>
  <c r="N419" i="1"/>
  <c r="O419" i="1" s="1"/>
  <c r="R419" i="1"/>
  <c r="S419" i="1" s="1"/>
  <c r="G466" i="1"/>
  <c r="F332" i="1"/>
  <c r="G332" i="1" l="1"/>
  <c r="P231" i="1" l="1"/>
  <c r="Q231" i="1" s="1"/>
  <c r="T231" i="1" l="1"/>
  <c r="U231" i="1" s="1"/>
  <c r="G231" i="1"/>
  <c r="L231" i="1"/>
  <c r="M231" i="1" s="1"/>
  <c r="N231" i="1"/>
  <c r="O231" i="1" s="1"/>
  <c r="R231" i="1"/>
  <c r="S231" i="1" s="1"/>
  <c r="J231" i="1"/>
  <c r="K231" i="1" s="1"/>
  <c r="V231" i="1"/>
  <c r="W231" i="1" s="1"/>
  <c r="F209" i="1"/>
  <c r="P541" i="1" l="1"/>
  <c r="Q541" i="1" s="1"/>
  <c r="N541" i="1"/>
  <c r="O541" i="1" s="1"/>
  <c r="V541" i="1" l="1"/>
  <c r="W541" i="1" s="1"/>
  <c r="R541" i="1"/>
  <c r="S541" i="1" s="1"/>
  <c r="G541" i="1"/>
  <c r="H541" i="1"/>
  <c r="I541" i="1" s="1"/>
  <c r="T541" i="1"/>
  <c r="U541" i="1" s="1"/>
  <c r="J541" i="1"/>
  <c r="K541" i="1" s="1"/>
  <c r="L541" i="1"/>
  <c r="M541" i="1" s="1"/>
  <c r="F291" i="1"/>
  <c r="V291" i="1" l="1"/>
  <c r="W291" i="1" s="1"/>
  <c r="H291" i="1"/>
  <c r="I291" i="1" s="1"/>
  <c r="J291" i="1"/>
  <c r="K291" i="1" s="1"/>
  <c r="N291" i="1"/>
  <c r="O291" i="1" s="1"/>
  <c r="P291" i="1"/>
  <c r="Q291" i="1" s="1"/>
  <c r="R291" i="1"/>
  <c r="S291" i="1" s="1"/>
  <c r="G291" i="1"/>
  <c r="L291" i="1"/>
  <c r="M291" i="1" s="1"/>
  <c r="T291" i="1"/>
  <c r="U291" i="1" s="1"/>
  <c r="J269" i="1" l="1"/>
  <c r="K269" i="1" s="1"/>
  <c r="T269" i="1" l="1"/>
  <c r="U269" i="1" s="1"/>
  <c r="N269" i="1"/>
  <c r="O269" i="1" s="1"/>
  <c r="P269" i="1"/>
  <c r="Q269" i="1" s="1"/>
  <c r="L269" i="1"/>
  <c r="M269" i="1" s="1"/>
  <c r="V269" i="1"/>
  <c r="W269" i="1" s="1"/>
  <c r="R269" i="1"/>
  <c r="S269" i="1" s="1"/>
  <c r="G269" i="1"/>
  <c r="H269" i="1"/>
  <c r="I269" i="1" s="1"/>
  <c r="T447" i="1"/>
  <c r="R447" i="1"/>
  <c r="P447" i="1"/>
  <c r="N447" i="1"/>
  <c r="L447" i="1"/>
  <c r="T448" i="1"/>
  <c r="R448" i="1"/>
  <c r="P448" i="1"/>
  <c r="N448" i="1"/>
  <c r="L448" i="1"/>
  <c r="J448" i="1"/>
  <c r="H448" i="1"/>
  <c r="F438" i="1" l="1"/>
  <c r="F422" i="1"/>
  <c r="P422" i="1" s="1"/>
  <c r="Q422" i="1" s="1"/>
  <c r="N438" i="1" l="1"/>
  <c r="O438" i="1" s="1"/>
  <c r="H438" i="1"/>
  <c r="I438" i="1" s="1"/>
  <c r="R438" i="1"/>
  <c r="S438" i="1" s="1"/>
  <c r="G438" i="1"/>
  <c r="T438" i="1"/>
  <c r="U438" i="1" s="1"/>
  <c r="J438" i="1"/>
  <c r="K438" i="1" s="1"/>
  <c r="V438" i="1"/>
  <c r="W438" i="1" s="1"/>
  <c r="L438" i="1"/>
  <c r="M438" i="1" s="1"/>
  <c r="P438" i="1"/>
  <c r="Q438" i="1" s="1"/>
  <c r="R422" i="1"/>
  <c r="S422" i="1" s="1"/>
  <c r="G422" i="1"/>
  <c r="T422" i="1"/>
  <c r="U422" i="1" s="1"/>
  <c r="V422" i="1"/>
  <c r="W422" i="1" s="1"/>
  <c r="L422" i="1"/>
  <c r="M422" i="1" s="1"/>
  <c r="H422" i="1"/>
  <c r="I422" i="1" s="1"/>
  <c r="J422" i="1"/>
  <c r="K422" i="1" s="1"/>
  <c r="N422" i="1"/>
  <c r="O422" i="1" s="1"/>
  <c r="V573" i="1"/>
  <c r="W573" i="1" s="1"/>
  <c r="F246" i="1"/>
  <c r="P246" i="1" s="1"/>
  <c r="Q246" i="1" s="1"/>
  <c r="J493" i="1"/>
  <c r="K493" i="1" s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G493" i="1"/>
  <c r="F423" i="1"/>
  <c r="V423" i="1" s="1"/>
  <c r="W423" i="1" s="1"/>
  <c r="V594" i="1"/>
  <c r="W594" i="1" s="1"/>
  <c r="T594" i="1"/>
  <c r="U594" i="1" s="1"/>
  <c r="R594" i="1"/>
  <c r="S594" i="1" s="1"/>
  <c r="P594" i="1"/>
  <c r="Q594" i="1" s="1"/>
  <c r="N594" i="1"/>
  <c r="O594" i="1" s="1"/>
  <c r="L594" i="1"/>
  <c r="M594" i="1" s="1"/>
  <c r="J594" i="1"/>
  <c r="K594" i="1" s="1"/>
  <c r="V581" i="1"/>
  <c r="W581" i="1" s="1"/>
  <c r="T581" i="1"/>
  <c r="U581" i="1" s="1"/>
  <c r="R581" i="1"/>
  <c r="S581" i="1" s="1"/>
  <c r="P581" i="1"/>
  <c r="Q581" i="1" s="1"/>
  <c r="N581" i="1"/>
  <c r="O581" i="1" s="1"/>
  <c r="L581" i="1"/>
  <c r="M581" i="1" s="1"/>
  <c r="J581" i="1"/>
  <c r="K581" i="1" s="1"/>
  <c r="V579" i="1"/>
  <c r="W579" i="1" s="1"/>
  <c r="T579" i="1"/>
  <c r="U579" i="1" s="1"/>
  <c r="R579" i="1"/>
  <c r="S579" i="1" s="1"/>
  <c r="P579" i="1"/>
  <c r="Q579" i="1" s="1"/>
  <c r="N579" i="1"/>
  <c r="O579" i="1" s="1"/>
  <c r="L579" i="1"/>
  <c r="M579" i="1" s="1"/>
  <c r="H577" i="1"/>
  <c r="I577" i="1" s="1"/>
  <c r="J577" i="1"/>
  <c r="K577" i="1" s="1"/>
  <c r="L577" i="1"/>
  <c r="M577" i="1" s="1"/>
  <c r="N577" i="1"/>
  <c r="O577" i="1" s="1"/>
  <c r="P577" i="1"/>
  <c r="Q577" i="1" s="1"/>
  <c r="R577" i="1"/>
  <c r="S577" i="1" s="1"/>
  <c r="T577" i="1"/>
  <c r="U577" i="1" s="1"/>
  <c r="V577" i="1"/>
  <c r="W577" i="1" s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L546" i="1"/>
  <c r="M546" i="1" s="1"/>
  <c r="J546" i="1"/>
  <c r="K546" i="1" s="1"/>
  <c r="H545" i="1"/>
  <c r="I545" i="1" s="1"/>
  <c r="H546" i="1"/>
  <c r="N545" i="1"/>
  <c r="O545" i="1" s="1"/>
  <c r="L545" i="1"/>
  <c r="M545" i="1" s="1"/>
  <c r="J545" i="1"/>
  <c r="K545" i="1" s="1"/>
  <c r="V629" i="1"/>
  <c r="W629" i="1" s="1"/>
  <c r="T629" i="1"/>
  <c r="U629" i="1" s="1"/>
  <c r="R629" i="1"/>
  <c r="S629" i="1" s="1"/>
  <c r="P629" i="1"/>
  <c r="Q629" i="1" s="1"/>
  <c r="N629" i="1"/>
  <c r="O629" i="1" s="1"/>
  <c r="L629" i="1"/>
  <c r="M629" i="1" s="1"/>
  <c r="H634" i="1"/>
  <c r="I634" i="1" s="1"/>
  <c r="H635" i="1"/>
  <c r="I635" i="1" s="1"/>
  <c r="H630" i="1"/>
  <c r="V638" i="1"/>
  <c r="W638" i="1" s="1"/>
  <c r="T638" i="1"/>
  <c r="U638" i="1" s="1"/>
  <c r="R638" i="1"/>
  <c r="S638" i="1" s="1"/>
  <c r="P638" i="1"/>
  <c r="Q638" i="1" s="1"/>
  <c r="N638" i="1"/>
  <c r="O638" i="1" s="1"/>
  <c r="L638" i="1"/>
  <c r="M638" i="1" s="1"/>
  <c r="J638" i="1"/>
  <c r="K638" i="1" s="1"/>
  <c r="V637" i="1"/>
  <c r="W637" i="1" s="1"/>
  <c r="T637" i="1"/>
  <c r="U637" i="1" s="1"/>
  <c r="R637" i="1"/>
  <c r="S637" i="1" s="1"/>
  <c r="P637" i="1"/>
  <c r="Q637" i="1" s="1"/>
  <c r="N637" i="1"/>
  <c r="O637" i="1" s="1"/>
  <c r="L637" i="1"/>
  <c r="M637" i="1" s="1"/>
  <c r="J637" i="1"/>
  <c r="K637" i="1" s="1"/>
  <c r="V636" i="1"/>
  <c r="W636" i="1" s="1"/>
  <c r="T636" i="1"/>
  <c r="U636" i="1" s="1"/>
  <c r="R636" i="1"/>
  <c r="S636" i="1" s="1"/>
  <c r="P636" i="1"/>
  <c r="Q636" i="1" s="1"/>
  <c r="N636" i="1"/>
  <c r="O636" i="1" s="1"/>
  <c r="L636" i="1"/>
  <c r="M636" i="1" s="1"/>
  <c r="J636" i="1"/>
  <c r="K636" i="1" s="1"/>
  <c r="V635" i="1"/>
  <c r="W635" i="1" s="1"/>
  <c r="T635" i="1"/>
  <c r="U635" i="1" s="1"/>
  <c r="R635" i="1"/>
  <c r="S635" i="1" s="1"/>
  <c r="P635" i="1"/>
  <c r="Q635" i="1" s="1"/>
  <c r="N635" i="1"/>
  <c r="O635" i="1" s="1"/>
  <c r="L635" i="1"/>
  <c r="M635" i="1" s="1"/>
  <c r="J635" i="1"/>
  <c r="K635" i="1" s="1"/>
  <c r="V634" i="1"/>
  <c r="W634" i="1" s="1"/>
  <c r="T634" i="1"/>
  <c r="U634" i="1" s="1"/>
  <c r="R634" i="1"/>
  <c r="S634" i="1" s="1"/>
  <c r="P634" i="1"/>
  <c r="Q634" i="1" s="1"/>
  <c r="N634" i="1"/>
  <c r="O634" i="1" s="1"/>
  <c r="L634" i="1"/>
  <c r="M634" i="1" s="1"/>
  <c r="J634" i="1"/>
  <c r="K634" i="1" s="1"/>
  <c r="V633" i="1"/>
  <c r="W633" i="1" s="1"/>
  <c r="T633" i="1"/>
  <c r="U633" i="1" s="1"/>
  <c r="R633" i="1"/>
  <c r="S633" i="1" s="1"/>
  <c r="P633" i="1"/>
  <c r="Q633" i="1" s="1"/>
  <c r="N633" i="1"/>
  <c r="O633" i="1" s="1"/>
  <c r="L633" i="1"/>
  <c r="M633" i="1" s="1"/>
  <c r="J633" i="1"/>
  <c r="K633" i="1" s="1"/>
  <c r="V632" i="1"/>
  <c r="W632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V630" i="1"/>
  <c r="W630" i="1" s="1"/>
  <c r="T630" i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V628" i="1"/>
  <c r="T628" i="1"/>
  <c r="R628" i="1"/>
  <c r="P628" i="1"/>
  <c r="N628" i="1"/>
  <c r="L628" i="1"/>
  <c r="J628" i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V506" i="1"/>
  <c r="W506" i="1" s="1"/>
  <c r="T506" i="1"/>
  <c r="U506" i="1" s="1"/>
  <c r="R506" i="1"/>
  <c r="S506" i="1" s="1"/>
  <c r="P506" i="1"/>
  <c r="Q506" i="1" s="1"/>
  <c r="N506" i="1"/>
  <c r="O506" i="1" s="1"/>
  <c r="L506" i="1"/>
  <c r="M506" i="1" s="1"/>
  <c r="J506" i="1"/>
  <c r="K506" i="1" s="1"/>
  <c r="H506" i="1"/>
  <c r="I506" i="1" s="1"/>
  <c r="H503" i="1"/>
  <c r="H502" i="1"/>
  <c r="J503" i="1"/>
  <c r="J502" i="1"/>
  <c r="V503" i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V502" i="1"/>
  <c r="W502" i="1" s="1"/>
  <c r="T502" i="1"/>
  <c r="U502" i="1" s="1"/>
  <c r="R502" i="1"/>
  <c r="S502" i="1" s="1"/>
  <c r="P502" i="1"/>
  <c r="Q502" i="1" s="1"/>
  <c r="N502" i="1"/>
  <c r="O502" i="1" s="1"/>
  <c r="L502" i="1"/>
  <c r="M502" i="1" s="1"/>
  <c r="V501" i="1"/>
  <c r="W501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V500" i="1"/>
  <c r="W500" i="1" s="1"/>
  <c r="T500" i="1"/>
  <c r="U500" i="1" s="1"/>
  <c r="R500" i="1"/>
  <c r="S500" i="1" s="1"/>
  <c r="P500" i="1"/>
  <c r="Q500" i="1" s="1"/>
  <c r="N500" i="1"/>
  <c r="O500" i="1" s="1"/>
  <c r="L500" i="1"/>
  <c r="M500" i="1" s="1"/>
  <c r="J500" i="1"/>
  <c r="K500" i="1" s="1"/>
  <c r="H500" i="1"/>
  <c r="I500" i="1" s="1"/>
  <c r="V499" i="1"/>
  <c r="W499" i="1" s="1"/>
  <c r="T499" i="1"/>
  <c r="U499" i="1" s="1"/>
  <c r="R499" i="1"/>
  <c r="S499" i="1" s="1"/>
  <c r="P499" i="1"/>
  <c r="Q499" i="1" s="1"/>
  <c r="N499" i="1"/>
  <c r="O499" i="1" s="1"/>
  <c r="L499" i="1"/>
  <c r="M499" i="1" s="1"/>
  <c r="J499" i="1"/>
  <c r="K499" i="1" s="1"/>
  <c r="H499" i="1"/>
  <c r="I499" i="1" s="1"/>
  <c r="V498" i="1"/>
  <c r="W498" i="1" s="1"/>
  <c r="T498" i="1"/>
  <c r="U498" i="1" s="1"/>
  <c r="R498" i="1"/>
  <c r="S498" i="1" s="1"/>
  <c r="P498" i="1"/>
  <c r="Q498" i="1" s="1"/>
  <c r="N498" i="1"/>
  <c r="O498" i="1" s="1"/>
  <c r="L498" i="1"/>
  <c r="M498" i="1" s="1"/>
  <c r="J498" i="1"/>
  <c r="K498" i="1" s="1"/>
  <c r="H498" i="1"/>
  <c r="I498" i="1" s="1"/>
  <c r="V497" i="1"/>
  <c r="W497" i="1" s="1"/>
  <c r="T497" i="1"/>
  <c r="U497" i="1" s="1"/>
  <c r="R497" i="1"/>
  <c r="S497" i="1" s="1"/>
  <c r="P497" i="1"/>
  <c r="Q497" i="1" s="1"/>
  <c r="N497" i="1"/>
  <c r="O497" i="1" s="1"/>
  <c r="L497" i="1"/>
  <c r="M497" i="1" s="1"/>
  <c r="J497" i="1"/>
  <c r="K497" i="1" s="1"/>
  <c r="H497" i="1"/>
  <c r="I497" i="1" s="1"/>
  <c r="J496" i="1"/>
  <c r="H496" i="1"/>
  <c r="L496" i="1"/>
  <c r="N496" i="1"/>
  <c r="P496" i="1"/>
  <c r="R496" i="1"/>
  <c r="T496" i="1"/>
  <c r="V496" i="1"/>
  <c r="V495" i="1"/>
  <c r="W495" i="1" s="1"/>
  <c r="T495" i="1"/>
  <c r="U495" i="1" s="1"/>
  <c r="R495" i="1"/>
  <c r="S495" i="1" s="1"/>
  <c r="P495" i="1"/>
  <c r="Q495" i="1" s="1"/>
  <c r="N495" i="1"/>
  <c r="O495" i="1" s="1"/>
  <c r="L495" i="1"/>
  <c r="M495" i="1" s="1"/>
  <c r="V494" i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V492" i="1"/>
  <c r="W492" i="1" s="1"/>
  <c r="T492" i="1"/>
  <c r="U492" i="1" s="1"/>
  <c r="R492" i="1"/>
  <c r="S492" i="1" s="1"/>
  <c r="P492" i="1"/>
  <c r="Q492" i="1" s="1"/>
  <c r="N492" i="1"/>
  <c r="O492" i="1" s="1"/>
  <c r="L492" i="1"/>
  <c r="M492" i="1" s="1"/>
  <c r="V491" i="1"/>
  <c r="W491" i="1" s="1"/>
  <c r="T491" i="1"/>
  <c r="U491" i="1" s="1"/>
  <c r="R491" i="1"/>
  <c r="S491" i="1" s="1"/>
  <c r="P491" i="1"/>
  <c r="Q491" i="1" s="1"/>
  <c r="N491" i="1"/>
  <c r="O491" i="1" s="1"/>
  <c r="L491" i="1"/>
  <c r="M491" i="1" s="1"/>
  <c r="V490" i="1"/>
  <c r="W490" i="1" s="1"/>
  <c r="T490" i="1"/>
  <c r="U490" i="1" s="1"/>
  <c r="R490" i="1"/>
  <c r="S490" i="1" s="1"/>
  <c r="P490" i="1"/>
  <c r="Q490" i="1" s="1"/>
  <c r="N490" i="1"/>
  <c r="O490" i="1" s="1"/>
  <c r="L490" i="1"/>
  <c r="M490" i="1" s="1"/>
  <c r="L489" i="1"/>
  <c r="N489" i="1"/>
  <c r="P489" i="1"/>
  <c r="R489" i="1"/>
  <c r="T489" i="1"/>
  <c r="V489" i="1"/>
  <c r="V486" i="1"/>
  <c r="W486" i="1" s="1"/>
  <c r="T486" i="1"/>
  <c r="U486" i="1" s="1"/>
  <c r="R486" i="1"/>
  <c r="S486" i="1" s="1"/>
  <c r="P486" i="1"/>
  <c r="Q486" i="1" s="1"/>
  <c r="N486" i="1"/>
  <c r="O486" i="1" s="1"/>
  <c r="L486" i="1"/>
  <c r="M486" i="1" s="1"/>
  <c r="J486" i="1"/>
  <c r="K486" i="1" s="1"/>
  <c r="F460" i="1"/>
  <c r="H460" i="1" s="1"/>
  <c r="N573" i="1" l="1"/>
  <c r="O573" i="1" s="1"/>
  <c r="P573" i="1"/>
  <c r="Q573" i="1" s="1"/>
  <c r="T573" i="1"/>
  <c r="U573" i="1" s="1"/>
  <c r="G573" i="1"/>
  <c r="R573" i="1"/>
  <c r="S573" i="1" s="1"/>
  <c r="P460" i="1"/>
  <c r="Q460" i="1" s="1"/>
  <c r="L460" i="1"/>
  <c r="M460" i="1" s="1"/>
  <c r="N246" i="1"/>
  <c r="O246" i="1" s="1"/>
  <c r="R246" i="1"/>
  <c r="S246" i="1" s="1"/>
  <c r="G246" i="1"/>
  <c r="H246" i="1"/>
  <c r="I246" i="1" s="1"/>
  <c r="T246" i="1"/>
  <c r="U246" i="1" s="1"/>
  <c r="J246" i="1"/>
  <c r="K246" i="1" s="1"/>
  <c r="V246" i="1"/>
  <c r="W246" i="1" s="1"/>
  <c r="L246" i="1"/>
  <c r="M246" i="1" s="1"/>
  <c r="N460" i="1"/>
  <c r="O460" i="1" s="1"/>
  <c r="V460" i="1"/>
  <c r="W460" i="1" s="1"/>
  <c r="T460" i="1"/>
  <c r="U460" i="1" s="1"/>
  <c r="R460" i="1"/>
  <c r="S460" i="1" s="1"/>
  <c r="J423" i="1"/>
  <c r="K423" i="1" s="1"/>
  <c r="H423" i="1"/>
  <c r="I423" i="1" s="1"/>
  <c r="L423" i="1"/>
  <c r="M423" i="1" s="1"/>
  <c r="N423" i="1"/>
  <c r="O423" i="1" s="1"/>
  <c r="P423" i="1"/>
  <c r="Q423" i="1" s="1"/>
  <c r="R423" i="1"/>
  <c r="S423" i="1" s="1"/>
  <c r="J460" i="1"/>
  <c r="K460" i="1" s="1"/>
  <c r="T423" i="1"/>
  <c r="U423" i="1" s="1"/>
  <c r="G423" i="1"/>
  <c r="G460" i="1"/>
  <c r="I460" i="1"/>
  <c r="P465" i="1"/>
  <c r="V166" i="1"/>
  <c r="W166" i="1" s="1"/>
  <c r="J465" i="1" l="1"/>
  <c r="K465" i="1" s="1"/>
  <c r="L465" i="1"/>
  <c r="M465" i="1" s="1"/>
  <c r="N465" i="1"/>
  <c r="O465" i="1" s="1"/>
  <c r="V465" i="1"/>
  <c r="W465" i="1" s="1"/>
  <c r="T465" i="1"/>
  <c r="U465" i="1" s="1"/>
  <c r="R465" i="1"/>
  <c r="S465" i="1" s="1"/>
  <c r="T166" i="1"/>
  <c r="U166" i="1" s="1"/>
  <c r="J166" i="1"/>
  <c r="K166" i="1" s="1"/>
  <c r="L166" i="1"/>
  <c r="M166" i="1" s="1"/>
  <c r="G166" i="1"/>
  <c r="N166" i="1"/>
  <c r="O166" i="1" s="1"/>
  <c r="P166" i="1"/>
  <c r="Q166" i="1" s="1"/>
  <c r="R166" i="1"/>
  <c r="S166" i="1" s="1"/>
  <c r="H166" i="1"/>
  <c r="I166" i="1" s="1"/>
  <c r="Q465" i="1"/>
  <c r="G465" i="1"/>
  <c r="L253" i="1"/>
  <c r="M253" i="1" s="1"/>
  <c r="N253" i="1" l="1"/>
  <c r="O253" i="1" s="1"/>
  <c r="P253" i="1"/>
  <c r="Q253" i="1" s="1"/>
  <c r="V253" i="1"/>
  <c r="W253" i="1" s="1"/>
  <c r="T253" i="1"/>
  <c r="U253" i="1" s="1"/>
  <c r="J253" i="1"/>
  <c r="K253" i="1" s="1"/>
  <c r="R253" i="1"/>
  <c r="S253" i="1" s="1"/>
  <c r="G253" i="1"/>
  <c r="H253" i="1"/>
  <c r="I253" i="1" s="1"/>
  <c r="F371" i="1"/>
  <c r="R371" i="1" l="1"/>
  <c r="S371" i="1" s="1"/>
  <c r="L371" i="1"/>
  <c r="M371" i="1" s="1"/>
  <c r="T371" i="1"/>
  <c r="U371" i="1" s="1"/>
  <c r="V371" i="1"/>
  <c r="W371" i="1" s="1"/>
  <c r="G371" i="1"/>
  <c r="N371" i="1"/>
  <c r="O371" i="1" s="1"/>
  <c r="P371" i="1"/>
  <c r="Q371" i="1" s="1"/>
  <c r="F391" i="1"/>
  <c r="F361" i="1"/>
  <c r="N606" i="1" l="1"/>
  <c r="O606" i="1" s="1"/>
  <c r="P606" i="1"/>
  <c r="Q606" i="1" s="1"/>
  <c r="R606" i="1"/>
  <c r="S606" i="1" s="1"/>
  <c r="T606" i="1"/>
  <c r="U606" i="1" s="1"/>
  <c r="H606" i="1"/>
  <c r="I606" i="1" s="1"/>
  <c r="J606" i="1"/>
  <c r="K606" i="1" s="1"/>
  <c r="L606" i="1"/>
  <c r="M606" i="1" s="1"/>
  <c r="V606" i="1"/>
  <c r="W606" i="1" s="1"/>
  <c r="G606" i="1"/>
  <c r="F580" i="1"/>
  <c r="F583" i="1"/>
  <c r="F578" i="1"/>
  <c r="F585" i="1"/>
  <c r="F586" i="1"/>
  <c r="F596" i="1"/>
  <c r="F602" i="1"/>
  <c r="F587" i="1"/>
  <c r="F598" i="1"/>
  <c r="N576" i="1" l="1"/>
  <c r="O576" i="1" s="1"/>
  <c r="P576" i="1"/>
  <c r="Q576" i="1" s="1"/>
  <c r="R576" i="1"/>
  <c r="S576" i="1" s="1"/>
  <c r="T576" i="1"/>
  <c r="U576" i="1" s="1"/>
  <c r="V576" i="1"/>
  <c r="W576" i="1" s="1"/>
  <c r="H576" i="1"/>
  <c r="I576" i="1" s="1"/>
  <c r="J576" i="1"/>
  <c r="K576" i="1" s="1"/>
  <c r="L576" i="1"/>
  <c r="M576" i="1" s="1"/>
  <c r="P587" i="1"/>
  <c r="Q587" i="1" s="1"/>
  <c r="R587" i="1"/>
  <c r="S587" i="1" s="1"/>
  <c r="T587" i="1"/>
  <c r="U587" i="1" s="1"/>
  <c r="V587" i="1"/>
  <c r="W587" i="1" s="1"/>
  <c r="H587" i="1"/>
  <c r="I587" i="1" s="1"/>
  <c r="J587" i="1"/>
  <c r="K587" i="1" s="1"/>
  <c r="L587" i="1"/>
  <c r="M587" i="1" s="1"/>
  <c r="N587" i="1"/>
  <c r="O587" i="1" s="1"/>
  <c r="H611" i="1"/>
  <c r="I611" i="1" s="1"/>
  <c r="V611" i="1"/>
  <c r="W611" i="1" s="1"/>
  <c r="T611" i="1"/>
  <c r="U611" i="1" s="1"/>
  <c r="R611" i="1"/>
  <c r="S611" i="1" s="1"/>
  <c r="P611" i="1"/>
  <c r="Q611" i="1" s="1"/>
  <c r="N611" i="1"/>
  <c r="O611" i="1" s="1"/>
  <c r="L611" i="1"/>
  <c r="M611" i="1" s="1"/>
  <c r="J611" i="1"/>
  <c r="K611" i="1" s="1"/>
  <c r="N598" i="1"/>
  <c r="O598" i="1" s="1"/>
  <c r="P598" i="1"/>
  <c r="Q598" i="1" s="1"/>
  <c r="R598" i="1"/>
  <c r="S598" i="1" s="1"/>
  <c r="T598" i="1"/>
  <c r="U598" i="1" s="1"/>
  <c r="H598" i="1"/>
  <c r="I598" i="1" s="1"/>
  <c r="J598" i="1"/>
  <c r="K598" i="1" s="1"/>
  <c r="L598" i="1"/>
  <c r="M598" i="1" s="1"/>
  <c r="V598" i="1"/>
  <c r="W598" i="1" s="1"/>
  <c r="H580" i="1"/>
  <c r="I580" i="1" s="1"/>
  <c r="V580" i="1"/>
  <c r="W580" i="1" s="1"/>
  <c r="T580" i="1"/>
  <c r="U580" i="1" s="1"/>
  <c r="R580" i="1"/>
  <c r="S580" i="1" s="1"/>
  <c r="P580" i="1"/>
  <c r="Q580" i="1" s="1"/>
  <c r="N580" i="1"/>
  <c r="O580" i="1" s="1"/>
  <c r="L580" i="1"/>
  <c r="M580" i="1" s="1"/>
  <c r="J580" i="1"/>
  <c r="K580" i="1" s="1"/>
  <c r="G602" i="1"/>
  <c r="N602" i="1"/>
  <c r="O602" i="1" s="1"/>
  <c r="P602" i="1"/>
  <c r="Q602" i="1" s="1"/>
  <c r="R602" i="1"/>
  <c r="S602" i="1" s="1"/>
  <c r="T602" i="1"/>
  <c r="U602" i="1" s="1"/>
  <c r="H602" i="1"/>
  <c r="I602" i="1" s="1"/>
  <c r="J602" i="1"/>
  <c r="K602" i="1" s="1"/>
  <c r="L602" i="1"/>
  <c r="M602" i="1" s="1"/>
  <c r="V602" i="1"/>
  <c r="W602" i="1" s="1"/>
  <c r="R585" i="1"/>
  <c r="S585" i="1" s="1"/>
  <c r="T585" i="1"/>
  <c r="U585" i="1" s="1"/>
  <c r="V585" i="1"/>
  <c r="W585" i="1" s="1"/>
  <c r="H585" i="1"/>
  <c r="I585" i="1" s="1"/>
  <c r="L585" i="1"/>
  <c r="M585" i="1" s="1"/>
  <c r="N585" i="1"/>
  <c r="O585" i="1" s="1"/>
  <c r="J585" i="1"/>
  <c r="K585" i="1" s="1"/>
  <c r="P585" i="1"/>
  <c r="Q585" i="1" s="1"/>
  <c r="T583" i="1"/>
  <c r="U583" i="1" s="1"/>
  <c r="V583" i="1"/>
  <c r="W583" i="1" s="1"/>
  <c r="H583" i="1"/>
  <c r="I583" i="1" s="1"/>
  <c r="J583" i="1"/>
  <c r="K583" i="1" s="1"/>
  <c r="L583" i="1"/>
  <c r="M583" i="1" s="1"/>
  <c r="N583" i="1"/>
  <c r="O583" i="1" s="1"/>
  <c r="P583" i="1"/>
  <c r="Q583" i="1" s="1"/>
  <c r="R583" i="1"/>
  <c r="S583" i="1" s="1"/>
  <c r="V610" i="1"/>
  <c r="W610" i="1" s="1"/>
  <c r="T610" i="1"/>
  <c r="U610" i="1" s="1"/>
  <c r="R610" i="1"/>
  <c r="S610" i="1" s="1"/>
  <c r="P610" i="1"/>
  <c r="Q610" i="1" s="1"/>
  <c r="N610" i="1"/>
  <c r="O610" i="1" s="1"/>
  <c r="L610" i="1"/>
  <c r="M610" i="1" s="1"/>
  <c r="J610" i="1"/>
  <c r="K610" i="1" s="1"/>
  <c r="H610" i="1"/>
  <c r="I610" i="1" s="1"/>
  <c r="L617" i="1"/>
  <c r="M617" i="1" s="1"/>
  <c r="J617" i="1"/>
  <c r="K617" i="1" s="1"/>
  <c r="H617" i="1"/>
  <c r="I617" i="1" s="1"/>
  <c r="V617" i="1"/>
  <c r="W617" i="1" s="1"/>
  <c r="T617" i="1"/>
  <c r="U617" i="1" s="1"/>
  <c r="R617" i="1"/>
  <c r="S617" i="1" s="1"/>
  <c r="N617" i="1"/>
  <c r="O617" i="1" s="1"/>
  <c r="P617" i="1"/>
  <c r="Q617" i="1" s="1"/>
  <c r="N596" i="1"/>
  <c r="O596" i="1" s="1"/>
  <c r="P596" i="1"/>
  <c r="Q596" i="1" s="1"/>
  <c r="R596" i="1"/>
  <c r="S596" i="1" s="1"/>
  <c r="T596" i="1"/>
  <c r="U596" i="1" s="1"/>
  <c r="H596" i="1"/>
  <c r="I596" i="1" s="1"/>
  <c r="J596" i="1"/>
  <c r="K596" i="1" s="1"/>
  <c r="L596" i="1"/>
  <c r="M596" i="1" s="1"/>
  <c r="V596" i="1"/>
  <c r="W596" i="1" s="1"/>
  <c r="P586" i="1"/>
  <c r="Q586" i="1" s="1"/>
  <c r="R586" i="1"/>
  <c r="S586" i="1" s="1"/>
  <c r="T586" i="1"/>
  <c r="U586" i="1" s="1"/>
  <c r="H586" i="1"/>
  <c r="I586" i="1" s="1"/>
  <c r="V586" i="1"/>
  <c r="W586" i="1" s="1"/>
  <c r="J586" i="1"/>
  <c r="K586" i="1" s="1"/>
  <c r="L586" i="1"/>
  <c r="M586" i="1" s="1"/>
  <c r="N586" i="1"/>
  <c r="O586" i="1" s="1"/>
  <c r="J578" i="1"/>
  <c r="K578" i="1" s="1"/>
  <c r="L578" i="1"/>
  <c r="M578" i="1" s="1"/>
  <c r="N578" i="1"/>
  <c r="O578" i="1" s="1"/>
  <c r="P578" i="1"/>
  <c r="Q578" i="1" s="1"/>
  <c r="R578" i="1"/>
  <c r="S578" i="1" s="1"/>
  <c r="T578" i="1"/>
  <c r="U578" i="1" s="1"/>
  <c r="V578" i="1"/>
  <c r="W578" i="1" s="1"/>
  <c r="H578" i="1"/>
  <c r="I578" i="1" s="1"/>
  <c r="G587" i="1"/>
  <c r="G583" i="1"/>
  <c r="G580" i="1"/>
  <c r="G598" i="1" l="1"/>
  <c r="F316" i="1" l="1"/>
  <c r="H316" i="1" s="1"/>
  <c r="F298" i="1"/>
  <c r="H298" i="1" s="1"/>
  <c r="F293" i="1"/>
  <c r="H293" i="1" s="1"/>
  <c r="F292" i="1"/>
  <c r="H292" i="1" s="1"/>
  <c r="F279" i="1"/>
  <c r="F283" i="1"/>
  <c r="P283" i="1" s="1"/>
  <c r="Q283" i="1" s="1"/>
  <c r="F244" i="1"/>
  <c r="J244" i="1" s="1"/>
  <c r="K244" i="1" s="1"/>
  <c r="F275" i="1"/>
  <c r="F266" i="1"/>
  <c r="F265" i="1"/>
  <c r="F257" i="1"/>
  <c r="F256" i="1"/>
  <c r="F247" i="1"/>
  <c r="F595" i="1"/>
  <c r="F228" i="1"/>
  <c r="H223" i="1"/>
  <c r="F194" i="1"/>
  <c r="F169" i="1"/>
  <c r="H169" i="1" s="1"/>
  <c r="F161" i="1"/>
  <c r="F155" i="1"/>
  <c r="F154" i="1"/>
  <c r="V123" i="1"/>
  <c r="W123" i="1" s="1"/>
  <c r="T123" i="1"/>
  <c r="U123" i="1" s="1"/>
  <c r="R123" i="1"/>
  <c r="S123" i="1" s="1"/>
  <c r="P123" i="1"/>
  <c r="Q123" i="1" s="1"/>
  <c r="N123" i="1"/>
  <c r="O123" i="1" s="1"/>
  <c r="L123" i="1"/>
  <c r="M123" i="1" s="1"/>
  <c r="J123" i="1"/>
  <c r="K123" i="1" s="1"/>
  <c r="L95" i="1"/>
  <c r="J95" i="1"/>
  <c r="V105" i="1"/>
  <c r="W105" i="1" s="1"/>
  <c r="T105" i="1"/>
  <c r="U105" i="1" s="1"/>
  <c r="R105" i="1"/>
  <c r="S105" i="1" s="1"/>
  <c r="P105" i="1"/>
  <c r="Q105" i="1" s="1"/>
  <c r="O105" i="1"/>
  <c r="L105" i="1"/>
  <c r="M105" i="1" s="1"/>
  <c r="J105" i="1"/>
  <c r="K105" i="1" s="1"/>
  <c r="F565" i="1"/>
  <c r="J565" i="1" s="1"/>
  <c r="K565" i="1" s="1"/>
  <c r="N595" i="1" l="1"/>
  <c r="O595" i="1" s="1"/>
  <c r="L595" i="1"/>
  <c r="M595" i="1" s="1"/>
  <c r="J595" i="1"/>
  <c r="K595" i="1" s="1"/>
  <c r="H595" i="1"/>
  <c r="I595" i="1" s="1"/>
  <c r="V595" i="1"/>
  <c r="W595" i="1" s="1"/>
  <c r="T595" i="1"/>
  <c r="U595" i="1" s="1"/>
  <c r="R595" i="1"/>
  <c r="S595" i="1" s="1"/>
  <c r="P595" i="1"/>
  <c r="Q595" i="1" s="1"/>
  <c r="V565" i="1"/>
  <c r="W565" i="1" s="1"/>
  <c r="T565" i="1"/>
  <c r="U565" i="1" s="1"/>
  <c r="N565" i="1"/>
  <c r="O565" i="1" s="1"/>
  <c r="P565" i="1"/>
  <c r="Q565" i="1" s="1"/>
  <c r="R565" i="1"/>
  <c r="S565" i="1" s="1"/>
  <c r="L565" i="1"/>
  <c r="M565" i="1" s="1"/>
  <c r="L283" i="1"/>
  <c r="M283" i="1" s="1"/>
  <c r="G283" i="1"/>
  <c r="H283" i="1"/>
  <c r="I283" i="1" s="1"/>
  <c r="T283" i="1"/>
  <c r="U283" i="1" s="1"/>
  <c r="J283" i="1"/>
  <c r="K283" i="1" s="1"/>
  <c r="V283" i="1"/>
  <c r="W283" i="1" s="1"/>
  <c r="R283" i="1"/>
  <c r="S283" i="1" s="1"/>
  <c r="N283" i="1"/>
  <c r="O283" i="1" s="1"/>
  <c r="G244" i="1"/>
  <c r="V244" i="1"/>
  <c r="W244" i="1" s="1"/>
  <c r="L244" i="1"/>
  <c r="M244" i="1" s="1"/>
  <c r="P244" i="1"/>
  <c r="Q244" i="1" s="1"/>
  <c r="T244" i="1"/>
  <c r="U244" i="1" s="1"/>
  <c r="N244" i="1"/>
  <c r="O244" i="1" s="1"/>
  <c r="R244" i="1"/>
  <c r="S244" i="1" s="1"/>
  <c r="H244" i="1"/>
  <c r="I244" i="1" s="1"/>
  <c r="G565" i="1"/>
  <c r="P384" i="1" l="1"/>
  <c r="Q384" i="1" s="1"/>
  <c r="V384" i="1" l="1"/>
  <c r="W384" i="1" s="1"/>
  <c r="G384" i="1"/>
  <c r="L384" i="1"/>
  <c r="M384" i="1" s="1"/>
  <c r="R384" i="1"/>
  <c r="S384" i="1" s="1"/>
  <c r="T384" i="1"/>
  <c r="U384" i="1" s="1"/>
  <c r="N384" i="1"/>
  <c r="O384" i="1" s="1"/>
  <c r="F570" i="1" l="1"/>
  <c r="V570" i="1" l="1"/>
  <c r="W570" i="1" s="1"/>
  <c r="T570" i="1"/>
  <c r="U570" i="1" s="1"/>
  <c r="H570" i="1"/>
  <c r="R570" i="1"/>
  <c r="S570" i="1" s="1"/>
  <c r="P570" i="1"/>
  <c r="Q570" i="1" s="1"/>
  <c r="L570" i="1"/>
  <c r="M570" i="1" s="1"/>
  <c r="J570" i="1"/>
  <c r="N570" i="1"/>
  <c r="O570" i="1" s="1"/>
  <c r="F695" i="1"/>
  <c r="W628" i="1"/>
  <c r="U628" i="1"/>
  <c r="S628" i="1"/>
  <c r="Q628" i="1"/>
  <c r="O628" i="1"/>
  <c r="M628" i="1"/>
  <c r="K628" i="1"/>
  <c r="R618" i="1" l="1"/>
  <c r="S618" i="1" s="1"/>
  <c r="P618" i="1"/>
  <c r="Q618" i="1" s="1"/>
  <c r="N618" i="1"/>
  <c r="O618" i="1" s="1"/>
  <c r="L618" i="1"/>
  <c r="M618" i="1" s="1"/>
  <c r="J618" i="1"/>
  <c r="K618" i="1" s="1"/>
  <c r="H618" i="1"/>
  <c r="I618" i="1" s="1"/>
  <c r="V618" i="1"/>
  <c r="W618" i="1" s="1"/>
  <c r="T618" i="1"/>
  <c r="U618" i="1" s="1"/>
  <c r="T619" i="1"/>
  <c r="U619" i="1" s="1"/>
  <c r="R619" i="1"/>
  <c r="S619" i="1" s="1"/>
  <c r="P619" i="1"/>
  <c r="Q619" i="1" s="1"/>
  <c r="N619" i="1"/>
  <c r="O619" i="1" s="1"/>
  <c r="L619" i="1"/>
  <c r="M619" i="1" s="1"/>
  <c r="J619" i="1"/>
  <c r="K619" i="1" s="1"/>
  <c r="H619" i="1"/>
  <c r="I619" i="1" s="1"/>
  <c r="V619" i="1"/>
  <c r="W619" i="1" s="1"/>
  <c r="N458" i="1"/>
  <c r="O458" i="1" s="1"/>
  <c r="L458" i="1"/>
  <c r="M458" i="1" s="1"/>
  <c r="J458" i="1"/>
  <c r="K458" i="1" s="1"/>
  <c r="H458" i="1"/>
  <c r="I458" i="1" s="1"/>
  <c r="V458" i="1"/>
  <c r="W458" i="1" s="1"/>
  <c r="T458" i="1"/>
  <c r="U458" i="1" s="1"/>
  <c r="R458" i="1"/>
  <c r="S458" i="1" s="1"/>
  <c r="P458" i="1"/>
  <c r="Q458" i="1" s="1"/>
  <c r="R459" i="1"/>
  <c r="S459" i="1" s="1"/>
  <c r="P459" i="1"/>
  <c r="Q459" i="1" s="1"/>
  <c r="J459" i="1"/>
  <c r="K459" i="1" s="1"/>
  <c r="N459" i="1"/>
  <c r="O459" i="1" s="1"/>
  <c r="L459" i="1"/>
  <c r="M459" i="1" s="1"/>
  <c r="V459" i="1"/>
  <c r="W459" i="1" s="1"/>
  <c r="T459" i="1"/>
  <c r="U459" i="1" s="1"/>
  <c r="H459" i="1"/>
  <c r="I459" i="1" s="1"/>
  <c r="G314" i="1"/>
  <c r="F317" i="1"/>
  <c r="V326" i="1"/>
  <c r="W326" i="1" s="1"/>
  <c r="T326" i="1"/>
  <c r="U326" i="1" s="1"/>
  <c r="R326" i="1"/>
  <c r="S326" i="1" s="1"/>
  <c r="P326" i="1"/>
  <c r="Q326" i="1" s="1"/>
  <c r="N326" i="1"/>
  <c r="O326" i="1" s="1"/>
  <c r="L326" i="1"/>
  <c r="M326" i="1" s="1"/>
  <c r="J326" i="1"/>
  <c r="K326" i="1" s="1"/>
  <c r="I326" i="1"/>
  <c r="V325" i="1"/>
  <c r="W325" i="1" s="1"/>
  <c r="T325" i="1"/>
  <c r="U325" i="1" s="1"/>
  <c r="R325" i="1"/>
  <c r="S325" i="1" s="1"/>
  <c r="P325" i="1"/>
  <c r="Q325" i="1" s="1"/>
  <c r="N325" i="1"/>
  <c r="O325" i="1" s="1"/>
  <c r="L325" i="1"/>
  <c r="M325" i="1" s="1"/>
  <c r="J325" i="1"/>
  <c r="K325" i="1" s="1"/>
  <c r="I325" i="1"/>
  <c r="V324" i="1"/>
  <c r="W324" i="1" s="1"/>
  <c r="T324" i="1"/>
  <c r="U324" i="1" s="1"/>
  <c r="R324" i="1"/>
  <c r="S324" i="1" s="1"/>
  <c r="P324" i="1"/>
  <c r="Q324" i="1" s="1"/>
  <c r="N324" i="1"/>
  <c r="O324" i="1" s="1"/>
  <c r="L324" i="1"/>
  <c r="M324" i="1" s="1"/>
  <c r="J324" i="1"/>
  <c r="K324" i="1" s="1"/>
  <c r="I324" i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J313" i="1"/>
  <c r="K313" i="1" s="1"/>
  <c r="I313" i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I308" i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I307" i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I306" i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I304" i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J303" i="1"/>
  <c r="K303" i="1" s="1"/>
  <c r="I303" i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I302" i="1"/>
  <c r="V299" i="1"/>
  <c r="W299" i="1" s="1"/>
  <c r="T299" i="1"/>
  <c r="U299" i="1" s="1"/>
  <c r="R299" i="1"/>
  <c r="S299" i="1" s="1"/>
  <c r="P299" i="1"/>
  <c r="Q299" i="1" s="1"/>
  <c r="N299" i="1"/>
  <c r="O299" i="1" s="1"/>
  <c r="L299" i="1"/>
  <c r="M299" i="1" s="1"/>
  <c r="J299" i="1"/>
  <c r="K299" i="1" s="1"/>
  <c r="I299" i="1"/>
  <c r="V296" i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W284" i="1"/>
  <c r="U284" i="1"/>
  <c r="S284" i="1"/>
  <c r="Q284" i="1"/>
  <c r="O284" i="1"/>
  <c r="M284" i="1"/>
  <c r="J284" i="1"/>
  <c r="K284" i="1" s="1"/>
  <c r="V245" i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H245" i="1"/>
  <c r="I245" i="1" s="1"/>
  <c r="V242" i="1"/>
  <c r="W242" i="1" s="1"/>
  <c r="T242" i="1"/>
  <c r="U242" i="1" s="1"/>
  <c r="R242" i="1"/>
  <c r="S242" i="1" s="1"/>
  <c r="P242" i="1"/>
  <c r="Q242" i="1" s="1"/>
  <c r="N242" i="1"/>
  <c r="O242" i="1" s="1"/>
  <c r="L242" i="1"/>
  <c r="M242" i="1" s="1"/>
  <c r="J242" i="1"/>
  <c r="K242" i="1" s="1"/>
  <c r="H242" i="1"/>
  <c r="I242" i="1" s="1"/>
  <c r="L234" i="1"/>
  <c r="J234" i="1"/>
  <c r="H234" i="1"/>
  <c r="N234" i="1"/>
  <c r="T234" i="1"/>
  <c r="R234" i="1"/>
  <c r="P234" i="1"/>
  <c r="V234" i="1"/>
  <c r="L225" i="1"/>
  <c r="N224" i="1"/>
  <c r="O224" i="1" s="1"/>
  <c r="L224" i="1"/>
  <c r="M224" i="1" s="1"/>
  <c r="J224" i="1"/>
  <c r="K224" i="1" s="1"/>
  <c r="V213" i="1"/>
  <c r="W213" i="1" s="1"/>
  <c r="T213" i="1"/>
  <c r="U213" i="1" s="1"/>
  <c r="V212" i="1"/>
  <c r="W212" i="1" s="1"/>
  <c r="T212" i="1"/>
  <c r="U212" i="1" s="1"/>
  <c r="O222" i="1"/>
  <c r="M222" i="1"/>
  <c r="K222" i="1"/>
  <c r="O221" i="1"/>
  <c r="M221" i="1"/>
  <c r="K221" i="1"/>
  <c r="O220" i="1"/>
  <c r="M220" i="1"/>
  <c r="K220" i="1"/>
  <c r="O219" i="1"/>
  <c r="M219" i="1"/>
  <c r="K219" i="1"/>
  <c r="O218" i="1"/>
  <c r="M218" i="1"/>
  <c r="K218" i="1"/>
  <c r="W217" i="1"/>
  <c r="U217" i="1"/>
  <c r="S217" i="1"/>
  <c r="Q217" i="1"/>
  <c r="O217" i="1"/>
  <c r="M217" i="1"/>
  <c r="K217" i="1"/>
  <c r="V211" i="1"/>
  <c r="W211" i="1" s="1"/>
  <c r="T211" i="1"/>
  <c r="U211" i="1" s="1"/>
  <c r="R211" i="1"/>
  <c r="S211" i="1" s="1"/>
  <c r="P211" i="1"/>
  <c r="Q211" i="1" s="1"/>
  <c r="N211" i="1"/>
  <c r="O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190" i="1"/>
  <c r="W190" i="1" s="1"/>
  <c r="T190" i="1"/>
  <c r="U190" i="1" s="1"/>
  <c r="R190" i="1"/>
  <c r="S190" i="1" s="1"/>
  <c r="P190" i="1"/>
  <c r="Q190" i="1" s="1"/>
  <c r="N190" i="1"/>
  <c r="O190" i="1" s="1"/>
  <c r="L190" i="1"/>
  <c r="M190" i="1" s="1"/>
  <c r="V191" i="1"/>
  <c r="T191" i="1"/>
  <c r="R191" i="1"/>
  <c r="P191" i="1"/>
  <c r="N191" i="1"/>
  <c r="L191" i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V188" i="1"/>
  <c r="W188" i="1" s="1"/>
  <c r="T188" i="1"/>
  <c r="U188" i="1" s="1"/>
  <c r="R188" i="1"/>
  <c r="S188" i="1" s="1"/>
  <c r="P188" i="1"/>
  <c r="Q188" i="1" s="1"/>
  <c r="N188" i="1"/>
  <c r="O188" i="1" s="1"/>
  <c r="L188" i="1"/>
  <c r="M188" i="1" s="1"/>
  <c r="V187" i="1"/>
  <c r="W187" i="1" s="1"/>
  <c r="T187" i="1"/>
  <c r="U187" i="1" s="1"/>
  <c r="R187" i="1"/>
  <c r="S187" i="1" s="1"/>
  <c r="P187" i="1"/>
  <c r="Q187" i="1" s="1"/>
  <c r="N187" i="1"/>
  <c r="O187" i="1" s="1"/>
  <c r="L187" i="1"/>
  <c r="M187" i="1" s="1"/>
  <c r="V186" i="1"/>
  <c r="T186" i="1"/>
  <c r="R186" i="1"/>
  <c r="P186" i="1"/>
  <c r="N186" i="1"/>
  <c r="L186" i="1"/>
  <c r="V184" i="1"/>
  <c r="W184" i="1" s="1"/>
  <c r="T184" i="1"/>
  <c r="U184" i="1" s="1"/>
  <c r="R184" i="1"/>
  <c r="S184" i="1" s="1"/>
  <c r="P184" i="1"/>
  <c r="Q184" i="1" s="1"/>
  <c r="N184" i="1"/>
  <c r="O184" i="1" s="1"/>
  <c r="V183" i="1"/>
  <c r="W183" i="1" s="1"/>
  <c r="T183" i="1"/>
  <c r="U183" i="1" s="1"/>
  <c r="R183" i="1"/>
  <c r="S183" i="1" s="1"/>
  <c r="P183" i="1"/>
  <c r="Q183" i="1" s="1"/>
  <c r="N183" i="1"/>
  <c r="O183" i="1" s="1"/>
  <c r="V182" i="1"/>
  <c r="W182" i="1" s="1"/>
  <c r="T182" i="1"/>
  <c r="U182" i="1" s="1"/>
  <c r="R182" i="1"/>
  <c r="S182" i="1" s="1"/>
  <c r="P182" i="1"/>
  <c r="Q182" i="1" s="1"/>
  <c r="N182" i="1"/>
  <c r="O182" i="1" s="1"/>
  <c r="V181" i="1"/>
  <c r="T181" i="1"/>
  <c r="R181" i="1"/>
  <c r="P181" i="1"/>
  <c r="N181" i="1"/>
  <c r="N153" i="1"/>
  <c r="O153" i="1" s="1"/>
  <c r="P153" i="1"/>
  <c r="Q153" i="1" s="1"/>
  <c r="R153" i="1"/>
  <c r="S153" i="1" s="1"/>
  <c r="T153" i="1"/>
  <c r="U153" i="1" s="1"/>
  <c r="V153" i="1"/>
  <c r="W153" i="1" s="1"/>
  <c r="L153" i="1"/>
  <c r="M153" i="1" s="1"/>
  <c r="G317" i="1" l="1"/>
  <c r="H317" i="1"/>
  <c r="I317" i="1" s="1"/>
  <c r="R317" i="1"/>
  <c r="S317" i="1" s="1"/>
  <c r="T314" i="1"/>
  <c r="U314" i="1" s="1"/>
  <c r="V314" i="1"/>
  <c r="W314" i="1" s="1"/>
  <c r="I314" i="1"/>
  <c r="J314" i="1"/>
  <c r="K314" i="1" s="1"/>
  <c r="L314" i="1"/>
  <c r="M314" i="1" s="1"/>
  <c r="N314" i="1"/>
  <c r="O314" i="1" s="1"/>
  <c r="P314" i="1"/>
  <c r="Q314" i="1" s="1"/>
  <c r="R314" i="1"/>
  <c r="S314" i="1" s="1"/>
  <c r="T317" i="1"/>
  <c r="U317" i="1" s="1"/>
  <c r="V317" i="1"/>
  <c r="W317" i="1" s="1"/>
  <c r="L317" i="1"/>
  <c r="M317" i="1" s="1"/>
  <c r="J317" i="1"/>
  <c r="K317" i="1" s="1"/>
  <c r="N317" i="1"/>
  <c r="O317" i="1" s="1"/>
  <c r="P317" i="1"/>
  <c r="Q317" i="1" s="1"/>
  <c r="T261" i="1" l="1"/>
  <c r="U261" i="1" s="1"/>
  <c r="R261" i="1"/>
  <c r="S261" i="1" s="1"/>
  <c r="H261" i="1"/>
  <c r="I261" i="1" s="1"/>
  <c r="P261" i="1"/>
  <c r="Q261" i="1" s="1"/>
  <c r="N261" i="1"/>
  <c r="O261" i="1" s="1"/>
  <c r="L261" i="1"/>
  <c r="M261" i="1" s="1"/>
  <c r="J261" i="1"/>
  <c r="K261" i="1" s="1"/>
  <c r="V261" i="1"/>
  <c r="W261" i="1" s="1"/>
  <c r="H248" i="1"/>
  <c r="I248" i="1" s="1"/>
  <c r="V248" i="1"/>
  <c r="W248" i="1" s="1"/>
  <c r="J248" i="1"/>
  <c r="K248" i="1" s="1"/>
  <c r="T248" i="1"/>
  <c r="U248" i="1" s="1"/>
  <c r="R248" i="1"/>
  <c r="S248" i="1" s="1"/>
  <c r="P248" i="1"/>
  <c r="Q248" i="1" s="1"/>
  <c r="N248" i="1"/>
  <c r="O248" i="1" s="1"/>
  <c r="L248" i="1"/>
  <c r="M248" i="1" s="1"/>
  <c r="T417" i="1"/>
  <c r="U417" i="1" s="1"/>
  <c r="F487" i="1"/>
  <c r="F152" i="1"/>
  <c r="P487" i="1" l="1"/>
  <c r="Q487" i="1" s="1"/>
  <c r="V487" i="1"/>
  <c r="W487" i="1" s="1"/>
  <c r="T487" i="1"/>
  <c r="U487" i="1" s="1"/>
  <c r="R487" i="1"/>
  <c r="S487" i="1" s="1"/>
  <c r="N487" i="1"/>
  <c r="O487" i="1" s="1"/>
  <c r="L487" i="1"/>
  <c r="M487" i="1" s="1"/>
  <c r="J487" i="1"/>
  <c r="K487" i="1" s="1"/>
  <c r="H487" i="1"/>
  <c r="I487" i="1" s="1"/>
  <c r="J582" i="1"/>
  <c r="K582" i="1" s="1"/>
  <c r="H582" i="1"/>
  <c r="I582" i="1" s="1"/>
  <c r="T582" i="1"/>
  <c r="U582" i="1" s="1"/>
  <c r="R582" i="1"/>
  <c r="S582" i="1" s="1"/>
  <c r="P582" i="1"/>
  <c r="Q582" i="1" s="1"/>
  <c r="N582" i="1"/>
  <c r="O582" i="1" s="1"/>
  <c r="L582" i="1"/>
  <c r="M582" i="1" s="1"/>
  <c r="V582" i="1"/>
  <c r="W582" i="1" s="1"/>
  <c r="V152" i="1"/>
  <c r="W152" i="1" s="1"/>
  <c r="T152" i="1"/>
  <c r="U152" i="1" s="1"/>
  <c r="R152" i="1"/>
  <c r="S152" i="1" s="1"/>
  <c r="P152" i="1"/>
  <c r="Q152" i="1" s="1"/>
  <c r="N152" i="1"/>
  <c r="O152" i="1" s="1"/>
  <c r="L152" i="1"/>
  <c r="M152" i="1" s="1"/>
  <c r="L206" i="1"/>
  <c r="M206" i="1" s="1"/>
  <c r="J206" i="1"/>
  <c r="K206" i="1" s="1"/>
  <c r="N206" i="1"/>
  <c r="O206" i="1" s="1"/>
  <c r="V206" i="1"/>
  <c r="W206" i="1" s="1"/>
  <c r="T206" i="1"/>
  <c r="U206" i="1" s="1"/>
  <c r="R206" i="1"/>
  <c r="S206" i="1" s="1"/>
  <c r="P206" i="1"/>
  <c r="Q206" i="1" s="1"/>
  <c r="V230" i="1"/>
  <c r="W230" i="1" s="1"/>
  <c r="T230" i="1"/>
  <c r="U230" i="1" s="1"/>
  <c r="R230" i="1"/>
  <c r="S230" i="1" s="1"/>
  <c r="P230" i="1"/>
  <c r="Q230" i="1" s="1"/>
  <c r="N230" i="1"/>
  <c r="O230" i="1" s="1"/>
  <c r="J230" i="1"/>
  <c r="K230" i="1" s="1"/>
  <c r="L230" i="1"/>
  <c r="M230" i="1" s="1"/>
  <c r="T255" i="1"/>
  <c r="U255" i="1" s="1"/>
  <c r="R255" i="1"/>
  <c r="S255" i="1" s="1"/>
  <c r="P255" i="1"/>
  <c r="Q255" i="1" s="1"/>
  <c r="V255" i="1"/>
  <c r="W255" i="1" s="1"/>
  <c r="N255" i="1"/>
  <c r="O255" i="1" s="1"/>
  <c r="L255" i="1"/>
  <c r="M255" i="1" s="1"/>
  <c r="J255" i="1"/>
  <c r="K255" i="1" s="1"/>
  <c r="H255" i="1"/>
  <c r="I255" i="1" s="1"/>
  <c r="J417" i="1"/>
  <c r="K417" i="1" s="1"/>
  <c r="P417" i="1"/>
  <c r="Q417" i="1" s="1"/>
  <c r="V417" i="1"/>
  <c r="W417" i="1" s="1"/>
  <c r="L417" i="1"/>
  <c r="M417" i="1" s="1"/>
  <c r="N417" i="1"/>
  <c r="O417" i="1" s="1"/>
  <c r="R417" i="1"/>
  <c r="S417" i="1" s="1"/>
  <c r="G417" i="1"/>
  <c r="I417" i="1"/>
  <c r="F512" i="1" l="1"/>
  <c r="F511" i="1"/>
  <c r="N511" i="1" l="1"/>
  <c r="J511" i="1"/>
  <c r="H511" i="1"/>
  <c r="P511" i="1"/>
  <c r="R511" i="1"/>
  <c r="T511" i="1"/>
  <c r="V511" i="1"/>
  <c r="L511" i="1"/>
  <c r="H512" i="1"/>
  <c r="I512" i="1" s="1"/>
  <c r="V512" i="1"/>
  <c r="W512" i="1" s="1"/>
  <c r="T512" i="1"/>
  <c r="U512" i="1" s="1"/>
  <c r="R512" i="1"/>
  <c r="S512" i="1" s="1"/>
  <c r="P512" i="1"/>
  <c r="Q512" i="1" s="1"/>
  <c r="N512" i="1"/>
  <c r="O512" i="1" s="1"/>
  <c r="L512" i="1"/>
  <c r="M512" i="1" s="1"/>
  <c r="J512" i="1"/>
  <c r="K512" i="1" s="1"/>
  <c r="I360" i="1"/>
  <c r="J360" i="1"/>
  <c r="K360" i="1" s="1"/>
  <c r="L360" i="1"/>
  <c r="M360" i="1" s="1"/>
  <c r="N360" i="1"/>
  <c r="O360" i="1" s="1"/>
  <c r="V456" i="1"/>
  <c r="W456" i="1" s="1"/>
  <c r="T456" i="1"/>
  <c r="U456" i="1" s="1"/>
  <c r="R456" i="1"/>
  <c r="S456" i="1" s="1"/>
  <c r="P456" i="1"/>
  <c r="Q456" i="1" s="1"/>
  <c r="N456" i="1"/>
  <c r="O456" i="1" s="1"/>
  <c r="L456" i="1"/>
  <c r="M456" i="1" s="1"/>
  <c r="J456" i="1"/>
  <c r="K456" i="1" s="1"/>
  <c r="L453" i="1"/>
  <c r="T452" i="1"/>
  <c r="U452" i="1" s="1"/>
  <c r="R452" i="1"/>
  <c r="S452" i="1" s="1"/>
  <c r="P452" i="1"/>
  <c r="Q452" i="1" s="1"/>
  <c r="N452" i="1"/>
  <c r="O452" i="1" s="1"/>
  <c r="L452" i="1"/>
  <c r="M452" i="1" s="1"/>
  <c r="T451" i="1"/>
  <c r="U451" i="1" s="1"/>
  <c r="R451" i="1"/>
  <c r="S451" i="1" s="1"/>
  <c r="P451" i="1"/>
  <c r="Q451" i="1" s="1"/>
  <c r="N451" i="1"/>
  <c r="O451" i="1" s="1"/>
  <c r="L451" i="1"/>
  <c r="M451" i="1" s="1"/>
  <c r="T450" i="1"/>
  <c r="U450" i="1" s="1"/>
  <c r="R450" i="1"/>
  <c r="S450" i="1" s="1"/>
  <c r="P450" i="1"/>
  <c r="Q450" i="1" s="1"/>
  <c r="N450" i="1"/>
  <c r="O450" i="1" s="1"/>
  <c r="L450" i="1"/>
  <c r="M450" i="1" s="1"/>
  <c r="T449" i="1"/>
  <c r="R449" i="1"/>
  <c r="P449" i="1"/>
  <c r="N449" i="1"/>
  <c r="L449" i="1"/>
  <c r="L413" i="1"/>
  <c r="M413" i="1" s="1"/>
  <c r="N413" i="1"/>
  <c r="O413" i="1" s="1"/>
  <c r="P413" i="1"/>
  <c r="Q413" i="1" s="1"/>
  <c r="R413" i="1"/>
  <c r="S413" i="1" s="1"/>
  <c r="T413" i="1"/>
  <c r="U413" i="1" s="1"/>
  <c r="V413" i="1"/>
  <c r="W413" i="1" s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V377" i="1"/>
  <c r="W377" i="1" s="1"/>
  <c r="T377" i="1"/>
  <c r="U377" i="1" s="1"/>
  <c r="R377" i="1"/>
  <c r="S377" i="1" s="1"/>
  <c r="P377" i="1"/>
  <c r="Q377" i="1" s="1"/>
  <c r="N377" i="1"/>
  <c r="O377" i="1" s="1"/>
  <c r="L377" i="1"/>
  <c r="M377" i="1" s="1"/>
  <c r="J331" i="1"/>
  <c r="V331" i="1"/>
  <c r="W331" i="1" s="1"/>
  <c r="T331" i="1"/>
  <c r="U331" i="1" s="1"/>
  <c r="R331" i="1"/>
  <c r="S331" i="1" s="1"/>
  <c r="P331" i="1"/>
  <c r="Q331" i="1" s="1"/>
  <c r="N331" i="1"/>
  <c r="O331" i="1" s="1"/>
  <c r="L331" i="1"/>
  <c r="M331" i="1" s="1"/>
  <c r="G579" i="1" l="1"/>
  <c r="F569" i="1"/>
  <c r="L567" i="1" l="1"/>
  <c r="M567" i="1" s="1"/>
  <c r="V567" i="1"/>
  <c r="W567" i="1" s="1"/>
  <c r="T567" i="1"/>
  <c r="U567" i="1" s="1"/>
  <c r="R567" i="1"/>
  <c r="S567" i="1" s="1"/>
  <c r="P567" i="1"/>
  <c r="Q567" i="1" s="1"/>
  <c r="N567" i="1"/>
  <c r="O567" i="1" s="1"/>
  <c r="P568" i="1"/>
  <c r="Q568" i="1" s="1"/>
  <c r="N568" i="1"/>
  <c r="O568" i="1" s="1"/>
  <c r="L568" i="1"/>
  <c r="M568" i="1" s="1"/>
  <c r="V568" i="1"/>
  <c r="W568" i="1" s="1"/>
  <c r="T568" i="1"/>
  <c r="U568" i="1" s="1"/>
  <c r="R568" i="1"/>
  <c r="S568" i="1" s="1"/>
  <c r="T569" i="1"/>
  <c r="U569" i="1" s="1"/>
  <c r="R569" i="1"/>
  <c r="S569" i="1" s="1"/>
  <c r="P569" i="1"/>
  <c r="Q569" i="1" s="1"/>
  <c r="N569" i="1"/>
  <c r="O569" i="1" s="1"/>
  <c r="V569" i="1"/>
  <c r="W569" i="1" s="1"/>
  <c r="L569" i="1"/>
  <c r="M569" i="1" s="1"/>
  <c r="G569" i="1"/>
  <c r="G568" i="1"/>
  <c r="G567" i="1"/>
  <c r="W476" i="1"/>
  <c r="U476" i="1"/>
  <c r="S476" i="1"/>
  <c r="Q476" i="1"/>
  <c r="O476" i="1"/>
  <c r="W475" i="1"/>
  <c r="U475" i="1"/>
  <c r="S475" i="1"/>
  <c r="Q475" i="1"/>
  <c r="O475" i="1"/>
  <c r="W470" i="1"/>
  <c r="U470" i="1"/>
  <c r="S470" i="1"/>
  <c r="Q470" i="1"/>
  <c r="O470" i="1"/>
  <c r="W469" i="1"/>
  <c r="U469" i="1"/>
  <c r="S469" i="1"/>
  <c r="Q469" i="1"/>
  <c r="O469" i="1"/>
  <c r="F584" i="1"/>
  <c r="R584" i="1" l="1"/>
  <c r="S584" i="1" s="1"/>
  <c r="T584" i="1"/>
  <c r="U584" i="1" s="1"/>
  <c r="V584" i="1"/>
  <c r="W584" i="1" s="1"/>
  <c r="H584" i="1"/>
  <c r="I584" i="1" s="1"/>
  <c r="J584" i="1"/>
  <c r="K584" i="1" s="1"/>
  <c r="L584" i="1"/>
  <c r="M584" i="1" s="1"/>
  <c r="N584" i="1"/>
  <c r="O584" i="1" s="1"/>
  <c r="P584" i="1"/>
  <c r="Q584" i="1" s="1"/>
  <c r="H488" i="1"/>
  <c r="I488" i="1" s="1"/>
  <c r="V488" i="1"/>
  <c r="W488" i="1" s="1"/>
  <c r="T488" i="1"/>
  <c r="U488" i="1" s="1"/>
  <c r="P488" i="1"/>
  <c r="Q488" i="1" s="1"/>
  <c r="N488" i="1"/>
  <c r="O488" i="1" s="1"/>
  <c r="L488" i="1"/>
  <c r="M488" i="1" s="1"/>
  <c r="R488" i="1"/>
  <c r="S488" i="1" s="1"/>
  <c r="J488" i="1"/>
  <c r="K488" i="1" s="1"/>
  <c r="G584" i="1"/>
  <c r="F658" i="1" l="1"/>
  <c r="F674" i="1"/>
  <c r="L658" i="1" l="1"/>
  <c r="M658" i="1" s="1"/>
  <c r="H658" i="1"/>
  <c r="I658" i="1" s="1"/>
  <c r="J658" i="1"/>
  <c r="K658" i="1" s="1"/>
  <c r="V658" i="1"/>
  <c r="T658" i="1"/>
  <c r="R658" i="1"/>
  <c r="P658" i="1"/>
  <c r="N658" i="1"/>
  <c r="R674" i="1"/>
  <c r="P674" i="1"/>
  <c r="N674" i="1"/>
  <c r="L674" i="1"/>
  <c r="J674" i="1"/>
  <c r="H674" i="1"/>
  <c r="I674" i="1" s="1"/>
  <c r="V674" i="1"/>
  <c r="T674" i="1"/>
  <c r="V391" i="1"/>
  <c r="W391" i="1" s="1"/>
  <c r="T391" i="1"/>
  <c r="U391" i="1" s="1"/>
  <c r="R391" i="1"/>
  <c r="S391" i="1" s="1"/>
  <c r="P391" i="1"/>
  <c r="Q391" i="1" s="1"/>
  <c r="N391" i="1"/>
  <c r="O391" i="1" s="1"/>
  <c r="L391" i="1"/>
  <c r="M391" i="1" s="1"/>
  <c r="H426" i="1"/>
  <c r="F404" i="1"/>
  <c r="F249" i="1"/>
  <c r="F277" i="1"/>
  <c r="F461" i="1"/>
  <c r="F676" i="1"/>
  <c r="F652" i="1"/>
  <c r="V127" i="1"/>
  <c r="W127" i="1" s="1"/>
  <c r="G153" i="1"/>
  <c r="J652" i="1" l="1"/>
  <c r="K652" i="1" s="1"/>
  <c r="N652" i="1"/>
  <c r="O652" i="1" s="1"/>
  <c r="L652" i="1"/>
  <c r="M652" i="1" s="1"/>
  <c r="V676" i="1"/>
  <c r="W676" i="1" s="1"/>
  <c r="T676" i="1"/>
  <c r="U676" i="1" s="1"/>
  <c r="H676" i="1"/>
  <c r="I676" i="1" s="1"/>
  <c r="R676" i="1"/>
  <c r="S676" i="1" s="1"/>
  <c r="P676" i="1"/>
  <c r="Q676" i="1" s="1"/>
  <c r="N676" i="1"/>
  <c r="O676" i="1" s="1"/>
  <c r="L676" i="1"/>
  <c r="M676" i="1" s="1"/>
  <c r="J676" i="1"/>
  <c r="K676" i="1" s="1"/>
  <c r="V652" i="1"/>
  <c r="W652" i="1" s="1"/>
  <c r="R652" i="1"/>
  <c r="S652" i="1" s="1"/>
  <c r="T652" i="1"/>
  <c r="P652" i="1"/>
  <c r="Q652" i="1" s="1"/>
  <c r="R461" i="1"/>
  <c r="S461" i="1" s="1"/>
  <c r="J461" i="1"/>
  <c r="K461" i="1" s="1"/>
  <c r="P461" i="1"/>
  <c r="Q461" i="1" s="1"/>
  <c r="N461" i="1"/>
  <c r="O461" i="1" s="1"/>
  <c r="L461" i="1"/>
  <c r="M461" i="1" s="1"/>
  <c r="H461" i="1"/>
  <c r="I461" i="1" s="1"/>
  <c r="V461" i="1"/>
  <c r="W461" i="1" s="1"/>
  <c r="T461" i="1"/>
  <c r="U461" i="1" s="1"/>
  <c r="T209" i="1"/>
  <c r="U209" i="1" s="1"/>
  <c r="R209" i="1"/>
  <c r="S209" i="1" s="1"/>
  <c r="P209" i="1"/>
  <c r="Q209" i="1" s="1"/>
  <c r="N209" i="1"/>
  <c r="O209" i="1" s="1"/>
  <c r="V209" i="1"/>
  <c r="W209" i="1" s="1"/>
  <c r="L209" i="1"/>
  <c r="M209" i="1" s="1"/>
  <c r="J209" i="1"/>
  <c r="K209" i="1" s="1"/>
  <c r="H209" i="1"/>
  <c r="I209" i="1" s="1"/>
  <c r="N277" i="1"/>
  <c r="O277" i="1" s="1"/>
  <c r="L277" i="1"/>
  <c r="M277" i="1" s="1"/>
  <c r="J277" i="1"/>
  <c r="K277" i="1" s="1"/>
  <c r="H277" i="1"/>
  <c r="I277" i="1" s="1"/>
  <c r="V277" i="1"/>
  <c r="W277" i="1" s="1"/>
  <c r="T277" i="1"/>
  <c r="U277" i="1" s="1"/>
  <c r="P277" i="1"/>
  <c r="Q277" i="1" s="1"/>
  <c r="R277" i="1"/>
  <c r="S277" i="1" s="1"/>
  <c r="J249" i="1"/>
  <c r="K249" i="1" s="1"/>
  <c r="H249" i="1"/>
  <c r="I249" i="1" s="1"/>
  <c r="V249" i="1"/>
  <c r="W249" i="1" s="1"/>
  <c r="T249" i="1"/>
  <c r="U249" i="1" s="1"/>
  <c r="R249" i="1"/>
  <c r="S249" i="1" s="1"/>
  <c r="P249" i="1"/>
  <c r="Q249" i="1" s="1"/>
  <c r="L249" i="1"/>
  <c r="M249" i="1" s="1"/>
  <c r="N249" i="1"/>
  <c r="O249" i="1" s="1"/>
  <c r="P164" i="1"/>
  <c r="Q164" i="1" s="1"/>
  <c r="N164" i="1"/>
  <c r="O164" i="1" s="1"/>
  <c r="L164" i="1"/>
  <c r="M164" i="1" s="1"/>
  <c r="J164" i="1"/>
  <c r="K164" i="1" s="1"/>
  <c r="V164" i="1"/>
  <c r="W164" i="1" s="1"/>
  <c r="T164" i="1"/>
  <c r="U164" i="1" s="1"/>
  <c r="R164" i="1"/>
  <c r="S164" i="1" s="1"/>
  <c r="I164" i="1"/>
  <c r="V292" i="1"/>
  <c r="T292" i="1"/>
  <c r="R292" i="1"/>
  <c r="P292" i="1"/>
  <c r="N292" i="1"/>
  <c r="L292" i="1"/>
  <c r="J292" i="1"/>
  <c r="L404" i="1"/>
  <c r="M404" i="1" s="1"/>
  <c r="N404" i="1"/>
  <c r="O404" i="1" s="1"/>
  <c r="P404" i="1"/>
  <c r="Q404" i="1" s="1"/>
  <c r="R404" i="1"/>
  <c r="S404" i="1" s="1"/>
  <c r="T404" i="1"/>
  <c r="U404" i="1" s="1"/>
  <c r="V404" i="1"/>
  <c r="W404" i="1" s="1"/>
  <c r="L398" i="1"/>
  <c r="M398" i="1" s="1"/>
  <c r="N398" i="1"/>
  <c r="O398" i="1" s="1"/>
  <c r="P398" i="1"/>
  <c r="Q398" i="1" s="1"/>
  <c r="R398" i="1"/>
  <c r="S398" i="1" s="1"/>
  <c r="T398" i="1"/>
  <c r="U398" i="1" s="1"/>
  <c r="V398" i="1"/>
  <c r="W398" i="1" s="1"/>
  <c r="V426" i="1"/>
  <c r="W426" i="1" s="1"/>
  <c r="T426" i="1"/>
  <c r="U426" i="1" s="1"/>
  <c r="R426" i="1"/>
  <c r="S426" i="1" s="1"/>
  <c r="P426" i="1"/>
  <c r="Q426" i="1" s="1"/>
  <c r="N426" i="1"/>
  <c r="O426" i="1" s="1"/>
  <c r="L426" i="1"/>
  <c r="M426" i="1" s="1"/>
  <c r="J426" i="1"/>
  <c r="K426" i="1" s="1"/>
  <c r="I426" i="1"/>
  <c r="G398" i="1"/>
  <c r="G404" i="1"/>
  <c r="G249" i="1"/>
  <c r="U652" i="1"/>
  <c r="G676" i="1"/>
  <c r="G652" i="1"/>
  <c r="R127" i="1"/>
  <c r="S127" i="1" s="1"/>
  <c r="T127" i="1"/>
  <c r="U127" i="1" s="1"/>
  <c r="L127" i="1"/>
  <c r="M127" i="1" s="1"/>
  <c r="O127" i="1"/>
  <c r="Q127" i="1"/>
  <c r="G127" i="1"/>
  <c r="J127" i="1"/>
  <c r="K127" i="1" s="1"/>
  <c r="H424" i="1" l="1"/>
  <c r="I424" i="1" s="1"/>
  <c r="N424" i="1"/>
  <c r="L424" i="1"/>
  <c r="P424" i="1"/>
  <c r="Q424" i="1" s="1"/>
  <c r="R424" i="1"/>
  <c r="S424" i="1" s="1"/>
  <c r="T424" i="1"/>
  <c r="U424" i="1" s="1"/>
  <c r="J424" i="1"/>
  <c r="V424" i="1"/>
  <c r="W424" i="1" s="1"/>
  <c r="O424" i="1"/>
  <c r="M424" i="1"/>
  <c r="K424" i="1"/>
  <c r="P418" i="1"/>
  <c r="Q418" i="1" s="1"/>
  <c r="N418" i="1"/>
  <c r="O418" i="1" s="1"/>
  <c r="L418" i="1"/>
  <c r="M418" i="1" s="1"/>
  <c r="J418" i="1"/>
  <c r="K418" i="1" s="1"/>
  <c r="I418" i="1"/>
  <c r="T418" i="1"/>
  <c r="U418" i="1" s="1"/>
  <c r="V418" i="1"/>
  <c r="W418" i="1" s="1"/>
  <c r="R418" i="1"/>
  <c r="S418" i="1" s="1"/>
  <c r="H311" i="1"/>
  <c r="R311" i="1" l="1"/>
  <c r="S311" i="1" s="1"/>
  <c r="P311" i="1"/>
  <c r="Q311" i="1" s="1"/>
  <c r="N311" i="1"/>
  <c r="O311" i="1" s="1"/>
  <c r="L311" i="1"/>
  <c r="M311" i="1" s="1"/>
  <c r="T311" i="1"/>
  <c r="U311" i="1" s="1"/>
  <c r="J311" i="1"/>
  <c r="K311" i="1" s="1"/>
  <c r="I311" i="1"/>
  <c r="V311" i="1"/>
  <c r="W311" i="1" s="1"/>
  <c r="G311" i="1"/>
  <c r="F267" i="1"/>
  <c r="U292" i="1"/>
  <c r="V267" i="1" l="1"/>
  <c r="W267" i="1" s="1"/>
  <c r="T267" i="1"/>
  <c r="U267" i="1" s="1"/>
  <c r="R267" i="1"/>
  <c r="S267" i="1" s="1"/>
  <c r="H267" i="1"/>
  <c r="I267" i="1" s="1"/>
  <c r="P267" i="1"/>
  <c r="Q267" i="1" s="1"/>
  <c r="N267" i="1"/>
  <c r="O267" i="1" s="1"/>
  <c r="L267" i="1"/>
  <c r="M267" i="1" s="1"/>
  <c r="J267" i="1"/>
  <c r="K267" i="1" s="1"/>
  <c r="G267" i="1"/>
  <c r="W292" i="1"/>
  <c r="M292" i="1"/>
  <c r="O292" i="1"/>
  <c r="Q292" i="1"/>
  <c r="S292" i="1"/>
  <c r="G292" i="1"/>
  <c r="I292" i="1"/>
  <c r="K292" i="1"/>
  <c r="V257" i="1" l="1"/>
  <c r="W257" i="1" s="1"/>
  <c r="H257" i="1"/>
  <c r="I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G257" i="1"/>
  <c r="F616" i="1"/>
  <c r="V616" i="1" l="1"/>
  <c r="W616" i="1" s="1"/>
  <c r="T616" i="1"/>
  <c r="U616" i="1" s="1"/>
  <c r="R616" i="1"/>
  <c r="S616" i="1" s="1"/>
  <c r="P616" i="1"/>
  <c r="Q616" i="1" s="1"/>
  <c r="N616" i="1"/>
  <c r="O616" i="1" s="1"/>
  <c r="L616" i="1"/>
  <c r="M616" i="1" s="1"/>
  <c r="J616" i="1"/>
  <c r="K616" i="1" s="1"/>
  <c r="H616" i="1"/>
  <c r="I616" i="1" s="1"/>
  <c r="G616" i="1"/>
  <c r="F300" i="1" l="1"/>
  <c r="H300" i="1" s="1"/>
  <c r="V300" i="1" l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J300" i="1"/>
  <c r="K300" i="1" s="1"/>
  <c r="I300" i="1"/>
  <c r="I297" i="1" l="1"/>
  <c r="J297" i="1"/>
  <c r="V297" i="1"/>
  <c r="W297" i="1" s="1"/>
  <c r="T297" i="1"/>
  <c r="U297" i="1" s="1"/>
  <c r="R297" i="1"/>
  <c r="S297" i="1" s="1"/>
  <c r="P297" i="1"/>
  <c r="Q297" i="1" s="1"/>
  <c r="N297" i="1"/>
  <c r="O297" i="1" s="1"/>
  <c r="L297" i="1"/>
  <c r="M297" i="1" s="1"/>
  <c r="K297" i="1"/>
  <c r="G297" i="1"/>
  <c r="F352" i="1"/>
  <c r="F351" i="1"/>
  <c r="G277" i="1"/>
  <c r="R351" i="1" l="1"/>
  <c r="S351" i="1" s="1"/>
  <c r="P351" i="1"/>
  <c r="Q351" i="1" s="1"/>
  <c r="N351" i="1"/>
  <c r="O351" i="1" s="1"/>
  <c r="L351" i="1"/>
  <c r="M351" i="1" s="1"/>
  <c r="V351" i="1"/>
  <c r="W351" i="1" s="1"/>
  <c r="T351" i="1"/>
  <c r="U351" i="1" s="1"/>
  <c r="V352" i="1"/>
  <c r="W352" i="1" s="1"/>
  <c r="T352" i="1"/>
  <c r="U352" i="1" s="1"/>
  <c r="R352" i="1"/>
  <c r="S352" i="1" s="1"/>
  <c r="P352" i="1"/>
  <c r="Q352" i="1" s="1"/>
  <c r="N352" i="1"/>
  <c r="O352" i="1" s="1"/>
  <c r="L352" i="1"/>
  <c r="M352" i="1" s="1"/>
  <c r="G352" i="1"/>
  <c r="F523" i="1"/>
  <c r="F522" i="1"/>
  <c r="F521" i="1"/>
  <c r="J521" i="1" l="1"/>
  <c r="K521" i="1" s="1"/>
  <c r="H521" i="1"/>
  <c r="L521" i="1"/>
  <c r="M521" i="1" s="1"/>
  <c r="V522" i="1"/>
  <c r="W522" i="1" s="1"/>
  <c r="H522" i="1"/>
  <c r="I522" i="1" s="1"/>
  <c r="T522" i="1"/>
  <c r="U522" i="1" s="1"/>
  <c r="R522" i="1"/>
  <c r="S522" i="1" s="1"/>
  <c r="N522" i="1"/>
  <c r="O522" i="1" s="1"/>
  <c r="L522" i="1"/>
  <c r="M522" i="1" s="1"/>
  <c r="J522" i="1"/>
  <c r="K522" i="1" s="1"/>
  <c r="P522" i="1"/>
  <c r="Q522" i="1" s="1"/>
  <c r="H523" i="1"/>
  <c r="L523" i="1"/>
  <c r="M523" i="1" s="1"/>
  <c r="J523" i="1"/>
  <c r="K523" i="1" s="1"/>
  <c r="J519" i="1"/>
  <c r="L519" i="1"/>
  <c r="N519" i="1"/>
  <c r="P519" i="1"/>
  <c r="H519" i="1"/>
  <c r="R519" i="1"/>
  <c r="T519" i="1"/>
  <c r="V519" i="1"/>
  <c r="L520" i="1"/>
  <c r="J520" i="1"/>
  <c r="H520" i="1"/>
  <c r="R367" i="1"/>
  <c r="S367" i="1" s="1"/>
  <c r="P367" i="1"/>
  <c r="Q367" i="1" s="1"/>
  <c r="N367" i="1"/>
  <c r="O367" i="1" s="1"/>
  <c r="L367" i="1"/>
  <c r="M367" i="1" s="1"/>
  <c r="T367" i="1"/>
  <c r="U367" i="1" s="1"/>
  <c r="V367" i="1"/>
  <c r="W367" i="1" s="1"/>
  <c r="G367" i="1"/>
  <c r="G689" i="1"/>
  <c r="G688" i="1"/>
  <c r="F309" i="1"/>
  <c r="H309" i="1" s="1"/>
  <c r="F323" i="1"/>
  <c r="H323" i="1" s="1"/>
  <c r="F653" i="1"/>
  <c r="F381" i="1"/>
  <c r="G501" i="1"/>
  <c r="H443" i="1"/>
  <c r="F372" i="1"/>
  <c r="F373" i="1"/>
  <c r="F376" i="1"/>
  <c r="V653" i="1" l="1"/>
  <c r="W653" i="1" s="1"/>
  <c r="T653" i="1"/>
  <c r="U653" i="1" s="1"/>
  <c r="R653" i="1"/>
  <c r="S653" i="1" s="1"/>
  <c r="P653" i="1"/>
  <c r="Q653" i="1" s="1"/>
  <c r="N653" i="1"/>
  <c r="O653" i="1" s="1"/>
  <c r="L653" i="1"/>
  <c r="M653" i="1" s="1"/>
  <c r="J653" i="1"/>
  <c r="K653" i="1" s="1"/>
  <c r="H653" i="1"/>
  <c r="I653" i="1" s="1"/>
  <c r="R376" i="1"/>
  <c r="S376" i="1" s="1"/>
  <c r="P376" i="1"/>
  <c r="Q376" i="1" s="1"/>
  <c r="T376" i="1"/>
  <c r="U376" i="1" s="1"/>
  <c r="V376" i="1"/>
  <c r="W376" i="1" s="1"/>
  <c r="P588" i="1"/>
  <c r="Q588" i="1" s="1"/>
  <c r="R588" i="1"/>
  <c r="S588" i="1" s="1"/>
  <c r="T588" i="1"/>
  <c r="U588" i="1" s="1"/>
  <c r="V588" i="1"/>
  <c r="W588" i="1" s="1"/>
  <c r="H588" i="1"/>
  <c r="I588" i="1" s="1"/>
  <c r="J588" i="1"/>
  <c r="K588" i="1" s="1"/>
  <c r="L588" i="1"/>
  <c r="M588" i="1" s="1"/>
  <c r="N588" i="1"/>
  <c r="O588" i="1" s="1"/>
  <c r="P293" i="1"/>
  <c r="Q293" i="1" s="1"/>
  <c r="N293" i="1"/>
  <c r="O293" i="1" s="1"/>
  <c r="L293" i="1"/>
  <c r="M293" i="1" s="1"/>
  <c r="R293" i="1"/>
  <c r="S293" i="1" s="1"/>
  <c r="J293" i="1"/>
  <c r="K293" i="1" s="1"/>
  <c r="I293" i="1"/>
  <c r="V293" i="1"/>
  <c r="W293" i="1" s="1"/>
  <c r="T293" i="1"/>
  <c r="U293" i="1" s="1"/>
  <c r="P309" i="1"/>
  <c r="Q309" i="1" s="1"/>
  <c r="N309" i="1"/>
  <c r="O309" i="1" s="1"/>
  <c r="L309" i="1"/>
  <c r="M309" i="1" s="1"/>
  <c r="J309" i="1"/>
  <c r="K309" i="1" s="1"/>
  <c r="I309" i="1"/>
  <c r="V309" i="1"/>
  <c r="W309" i="1" s="1"/>
  <c r="T309" i="1"/>
  <c r="U309" i="1" s="1"/>
  <c r="R309" i="1"/>
  <c r="S309" i="1" s="1"/>
  <c r="P252" i="1"/>
  <c r="Q252" i="1" s="1"/>
  <c r="N252" i="1"/>
  <c r="O252" i="1" s="1"/>
  <c r="L252" i="1"/>
  <c r="M252" i="1" s="1"/>
  <c r="J252" i="1"/>
  <c r="K252" i="1" s="1"/>
  <c r="H252" i="1"/>
  <c r="I252" i="1" s="1"/>
  <c r="R252" i="1"/>
  <c r="S252" i="1" s="1"/>
  <c r="V252" i="1"/>
  <c r="W252" i="1" s="1"/>
  <c r="T252" i="1"/>
  <c r="U252" i="1" s="1"/>
  <c r="V273" i="1"/>
  <c r="W273" i="1" s="1"/>
  <c r="T273" i="1"/>
  <c r="U273" i="1" s="1"/>
  <c r="R273" i="1"/>
  <c r="S273" i="1" s="1"/>
  <c r="P273" i="1"/>
  <c r="Q273" i="1" s="1"/>
  <c r="N273" i="1"/>
  <c r="O273" i="1" s="1"/>
  <c r="L273" i="1"/>
  <c r="M273" i="1" s="1"/>
  <c r="J273" i="1"/>
  <c r="K273" i="1" s="1"/>
  <c r="H273" i="1"/>
  <c r="I273" i="1" s="1"/>
  <c r="T323" i="1"/>
  <c r="U323" i="1" s="1"/>
  <c r="R323" i="1"/>
  <c r="S323" i="1" s="1"/>
  <c r="P323" i="1"/>
  <c r="Q323" i="1" s="1"/>
  <c r="N323" i="1"/>
  <c r="O323" i="1" s="1"/>
  <c r="L323" i="1"/>
  <c r="M323" i="1" s="1"/>
  <c r="J323" i="1"/>
  <c r="K323" i="1" s="1"/>
  <c r="I323" i="1"/>
  <c r="V323" i="1"/>
  <c r="W323" i="1" s="1"/>
  <c r="P207" i="1"/>
  <c r="Q207" i="1" s="1"/>
  <c r="N207" i="1"/>
  <c r="O207" i="1" s="1"/>
  <c r="L207" i="1"/>
  <c r="M207" i="1" s="1"/>
  <c r="J207" i="1"/>
  <c r="K207" i="1" s="1"/>
  <c r="R207" i="1"/>
  <c r="S207" i="1" s="1"/>
  <c r="V207" i="1"/>
  <c r="W207" i="1" s="1"/>
  <c r="T207" i="1"/>
  <c r="U207" i="1" s="1"/>
  <c r="L416" i="1"/>
  <c r="M416" i="1" s="1"/>
  <c r="N416" i="1"/>
  <c r="O416" i="1" s="1"/>
  <c r="P416" i="1"/>
  <c r="Q416" i="1" s="1"/>
  <c r="R416" i="1"/>
  <c r="S416" i="1" s="1"/>
  <c r="T416" i="1"/>
  <c r="U416" i="1" s="1"/>
  <c r="V416" i="1"/>
  <c r="W416" i="1" s="1"/>
  <c r="I432" i="1"/>
  <c r="L432" i="1"/>
  <c r="M432" i="1" s="1"/>
  <c r="V432" i="1"/>
  <c r="W432" i="1" s="1"/>
  <c r="T432" i="1"/>
  <c r="U432" i="1" s="1"/>
  <c r="R432" i="1"/>
  <c r="S432" i="1" s="1"/>
  <c r="P432" i="1"/>
  <c r="Q432" i="1" s="1"/>
  <c r="N432" i="1"/>
  <c r="O432" i="1" s="1"/>
  <c r="J432" i="1"/>
  <c r="K432" i="1" s="1"/>
  <c r="T378" i="1"/>
  <c r="U378" i="1" s="1"/>
  <c r="J378" i="1"/>
  <c r="R378" i="1"/>
  <c r="S378" i="1" s="1"/>
  <c r="P378" i="1"/>
  <c r="Q378" i="1" s="1"/>
  <c r="N378" i="1"/>
  <c r="O378" i="1" s="1"/>
  <c r="L378" i="1"/>
  <c r="M378" i="1" s="1"/>
  <c r="V378" i="1"/>
  <c r="W378" i="1" s="1"/>
  <c r="V381" i="1"/>
  <c r="W381" i="1" s="1"/>
  <c r="T381" i="1"/>
  <c r="U381" i="1" s="1"/>
  <c r="R381" i="1"/>
  <c r="S381" i="1" s="1"/>
  <c r="P381" i="1"/>
  <c r="Q381" i="1" s="1"/>
  <c r="N381" i="1"/>
  <c r="O381" i="1" s="1"/>
  <c r="L381" i="1"/>
  <c r="M381" i="1" s="1"/>
  <c r="L412" i="1"/>
  <c r="M412" i="1" s="1"/>
  <c r="N412" i="1"/>
  <c r="O412" i="1" s="1"/>
  <c r="P412" i="1"/>
  <c r="Q412" i="1" s="1"/>
  <c r="R412" i="1"/>
  <c r="S412" i="1" s="1"/>
  <c r="V443" i="1"/>
  <c r="W443" i="1" s="1"/>
  <c r="T443" i="1"/>
  <c r="U443" i="1" s="1"/>
  <c r="R443" i="1"/>
  <c r="S443" i="1" s="1"/>
  <c r="P443" i="1"/>
  <c r="Q443" i="1" s="1"/>
  <c r="N443" i="1"/>
  <c r="O443" i="1" s="1"/>
  <c r="L443" i="1"/>
  <c r="M443" i="1" s="1"/>
  <c r="J443" i="1"/>
  <c r="K443" i="1" s="1"/>
  <c r="I443" i="1"/>
  <c r="L395" i="1"/>
  <c r="M395" i="1" s="1"/>
  <c r="N395" i="1"/>
  <c r="O395" i="1" s="1"/>
  <c r="P395" i="1"/>
  <c r="Q395" i="1" s="1"/>
  <c r="R395" i="1"/>
  <c r="S395" i="1" s="1"/>
  <c r="T395" i="1"/>
  <c r="U395" i="1" s="1"/>
  <c r="V395" i="1"/>
  <c r="W395" i="1" s="1"/>
  <c r="T385" i="1"/>
  <c r="U385" i="1" s="1"/>
  <c r="R385" i="1"/>
  <c r="S385" i="1" s="1"/>
  <c r="P385" i="1"/>
  <c r="Q385" i="1" s="1"/>
  <c r="N385" i="1"/>
  <c r="O385" i="1" s="1"/>
  <c r="L385" i="1"/>
  <c r="M385" i="1" s="1"/>
  <c r="V385" i="1"/>
  <c r="W385" i="1" s="1"/>
  <c r="L397" i="1"/>
  <c r="M397" i="1" s="1"/>
  <c r="N397" i="1"/>
  <c r="O397" i="1" s="1"/>
  <c r="P397" i="1"/>
  <c r="Q397" i="1" s="1"/>
  <c r="R397" i="1"/>
  <c r="S397" i="1" s="1"/>
  <c r="T397" i="1"/>
  <c r="U397" i="1" s="1"/>
  <c r="V397" i="1"/>
  <c r="W397" i="1" s="1"/>
  <c r="T382" i="1"/>
  <c r="U382" i="1" s="1"/>
  <c r="R382" i="1"/>
  <c r="S382" i="1" s="1"/>
  <c r="P382" i="1"/>
  <c r="Q382" i="1" s="1"/>
  <c r="N382" i="1"/>
  <c r="O382" i="1" s="1"/>
  <c r="L382" i="1"/>
  <c r="M382" i="1" s="1"/>
  <c r="V382" i="1"/>
  <c r="W382" i="1" s="1"/>
  <c r="N376" i="1"/>
  <c r="O376" i="1" s="1"/>
  <c r="L376" i="1"/>
  <c r="M376" i="1" s="1"/>
  <c r="V374" i="1"/>
  <c r="W374" i="1" s="1"/>
  <c r="T374" i="1"/>
  <c r="U374" i="1" s="1"/>
  <c r="R374" i="1"/>
  <c r="S374" i="1" s="1"/>
  <c r="P374" i="1"/>
  <c r="Q374" i="1" s="1"/>
  <c r="N374" i="1"/>
  <c r="O374" i="1" s="1"/>
  <c r="L374" i="1"/>
  <c r="M374" i="1" s="1"/>
  <c r="N373" i="1"/>
  <c r="O373" i="1" s="1"/>
  <c r="L373" i="1"/>
  <c r="M373" i="1" s="1"/>
  <c r="V373" i="1"/>
  <c r="W373" i="1" s="1"/>
  <c r="T373" i="1"/>
  <c r="U373" i="1" s="1"/>
  <c r="R373" i="1"/>
  <c r="S373" i="1" s="1"/>
  <c r="P373" i="1"/>
  <c r="Q373" i="1" s="1"/>
  <c r="V372" i="1"/>
  <c r="W372" i="1" s="1"/>
  <c r="T372" i="1"/>
  <c r="U372" i="1" s="1"/>
  <c r="R372" i="1"/>
  <c r="S372" i="1" s="1"/>
  <c r="P372" i="1"/>
  <c r="Q372" i="1" s="1"/>
  <c r="N372" i="1"/>
  <c r="O372" i="1" s="1"/>
  <c r="G123" i="1" l="1"/>
  <c r="G432" i="1" l="1"/>
  <c r="F329" i="1"/>
  <c r="F681" i="1"/>
  <c r="F651" i="1"/>
  <c r="F609" i="1"/>
  <c r="F608" i="1"/>
  <c r="F607" i="1"/>
  <c r="F603" i="1"/>
  <c r="F600" i="1"/>
  <c r="F575" i="1"/>
  <c r="F524" i="1"/>
  <c r="N651" i="1" l="1"/>
  <c r="O651" i="1" s="1"/>
  <c r="L651" i="1"/>
  <c r="M651" i="1" s="1"/>
  <c r="J651" i="1"/>
  <c r="K651" i="1" s="1"/>
  <c r="T651" i="1"/>
  <c r="U651" i="1" s="1"/>
  <c r="R651" i="1"/>
  <c r="S651" i="1" s="1"/>
  <c r="H651" i="1"/>
  <c r="I651" i="1" s="1"/>
  <c r="P651" i="1"/>
  <c r="Q651" i="1" s="1"/>
  <c r="V651" i="1"/>
  <c r="W651" i="1" s="1"/>
  <c r="P681" i="1"/>
  <c r="Q681" i="1" s="1"/>
  <c r="N681" i="1"/>
  <c r="O681" i="1" s="1"/>
  <c r="L681" i="1"/>
  <c r="M681" i="1" s="1"/>
  <c r="R681" i="1"/>
  <c r="S681" i="1" s="1"/>
  <c r="V681" i="1"/>
  <c r="W681" i="1" s="1"/>
  <c r="T681" i="1"/>
  <c r="U681" i="1" s="1"/>
  <c r="N603" i="1"/>
  <c r="O603" i="1" s="1"/>
  <c r="P603" i="1"/>
  <c r="Q603" i="1" s="1"/>
  <c r="R603" i="1"/>
  <c r="S603" i="1" s="1"/>
  <c r="T603" i="1"/>
  <c r="U603" i="1" s="1"/>
  <c r="H603" i="1"/>
  <c r="I603" i="1" s="1"/>
  <c r="J603" i="1"/>
  <c r="K603" i="1" s="1"/>
  <c r="V603" i="1"/>
  <c r="W603" i="1" s="1"/>
  <c r="L603" i="1"/>
  <c r="M603" i="1" s="1"/>
  <c r="N608" i="1"/>
  <c r="O608" i="1" s="1"/>
  <c r="P608" i="1"/>
  <c r="Q608" i="1" s="1"/>
  <c r="R608" i="1"/>
  <c r="S608" i="1" s="1"/>
  <c r="T608" i="1"/>
  <c r="U608" i="1" s="1"/>
  <c r="H608" i="1"/>
  <c r="I608" i="1" s="1"/>
  <c r="J608" i="1"/>
  <c r="K608" i="1" s="1"/>
  <c r="L608" i="1"/>
  <c r="M608" i="1" s="1"/>
  <c r="V608" i="1"/>
  <c r="W608" i="1" s="1"/>
  <c r="J612" i="1"/>
  <c r="K612" i="1" s="1"/>
  <c r="H612" i="1"/>
  <c r="I612" i="1" s="1"/>
  <c r="V612" i="1"/>
  <c r="W612" i="1" s="1"/>
  <c r="T612" i="1"/>
  <c r="U612" i="1" s="1"/>
  <c r="R612" i="1"/>
  <c r="S612" i="1" s="1"/>
  <c r="L612" i="1"/>
  <c r="M612" i="1" s="1"/>
  <c r="P612" i="1"/>
  <c r="Q612" i="1" s="1"/>
  <c r="N612" i="1"/>
  <c r="O612" i="1" s="1"/>
  <c r="L528" i="1"/>
  <c r="M528" i="1" s="1"/>
  <c r="J528" i="1"/>
  <c r="K528" i="1" s="1"/>
  <c r="H528" i="1"/>
  <c r="N607" i="1"/>
  <c r="O607" i="1" s="1"/>
  <c r="P607" i="1"/>
  <c r="Q607" i="1" s="1"/>
  <c r="R607" i="1"/>
  <c r="S607" i="1" s="1"/>
  <c r="T607" i="1"/>
  <c r="U607" i="1" s="1"/>
  <c r="H607" i="1"/>
  <c r="I607" i="1" s="1"/>
  <c r="J607" i="1"/>
  <c r="K607" i="1" s="1"/>
  <c r="L607" i="1"/>
  <c r="M607" i="1" s="1"/>
  <c r="V607" i="1"/>
  <c r="W607" i="1" s="1"/>
  <c r="H531" i="1"/>
  <c r="J531" i="1"/>
  <c r="K531" i="1" s="1"/>
  <c r="L531" i="1"/>
  <c r="M531" i="1" s="1"/>
  <c r="J575" i="1"/>
  <c r="K575" i="1" s="1"/>
  <c r="V575" i="1"/>
  <c r="W575" i="1" s="1"/>
  <c r="H575" i="1"/>
  <c r="I575" i="1" s="1"/>
  <c r="T575" i="1"/>
  <c r="U575" i="1" s="1"/>
  <c r="P575" i="1"/>
  <c r="Q575" i="1" s="1"/>
  <c r="N575" i="1"/>
  <c r="O575" i="1" s="1"/>
  <c r="L575" i="1"/>
  <c r="M575" i="1" s="1"/>
  <c r="R575" i="1"/>
  <c r="S575" i="1" s="1"/>
  <c r="R609" i="1"/>
  <c r="S609" i="1" s="1"/>
  <c r="P609" i="1"/>
  <c r="Q609" i="1" s="1"/>
  <c r="N609" i="1"/>
  <c r="O609" i="1" s="1"/>
  <c r="L609" i="1"/>
  <c r="M609" i="1" s="1"/>
  <c r="J609" i="1"/>
  <c r="K609" i="1" s="1"/>
  <c r="H609" i="1"/>
  <c r="I609" i="1" s="1"/>
  <c r="V609" i="1"/>
  <c r="W609" i="1" s="1"/>
  <c r="T609" i="1"/>
  <c r="U609" i="1" s="1"/>
  <c r="L524" i="1"/>
  <c r="M524" i="1" s="1"/>
  <c r="H524" i="1"/>
  <c r="J524" i="1"/>
  <c r="K524" i="1" s="1"/>
  <c r="P527" i="1"/>
  <c r="Q527" i="1" s="1"/>
  <c r="H527" i="1"/>
  <c r="I527" i="1" s="1"/>
  <c r="N527" i="1"/>
  <c r="O527" i="1" s="1"/>
  <c r="L527" i="1"/>
  <c r="M527" i="1" s="1"/>
  <c r="J527" i="1"/>
  <c r="K527" i="1" s="1"/>
  <c r="V527" i="1"/>
  <c r="W527" i="1" s="1"/>
  <c r="T527" i="1"/>
  <c r="U527" i="1" s="1"/>
  <c r="R527" i="1"/>
  <c r="S527" i="1" s="1"/>
  <c r="H536" i="1"/>
  <c r="L536" i="1"/>
  <c r="M536" i="1" s="1"/>
  <c r="J536" i="1"/>
  <c r="K536" i="1" s="1"/>
  <c r="N600" i="1"/>
  <c r="O600" i="1" s="1"/>
  <c r="P600" i="1"/>
  <c r="Q600" i="1" s="1"/>
  <c r="R600" i="1"/>
  <c r="S600" i="1" s="1"/>
  <c r="T600" i="1"/>
  <c r="U600" i="1" s="1"/>
  <c r="H600" i="1"/>
  <c r="I600" i="1" s="1"/>
  <c r="J600" i="1"/>
  <c r="K600" i="1" s="1"/>
  <c r="L600" i="1"/>
  <c r="M600" i="1" s="1"/>
  <c r="V600" i="1"/>
  <c r="W600" i="1" s="1"/>
  <c r="V101" i="1"/>
  <c r="W101" i="1" s="1"/>
  <c r="T101" i="1"/>
  <c r="U101" i="1" s="1"/>
  <c r="R101" i="1"/>
  <c r="S101" i="1" s="1"/>
  <c r="P101" i="1"/>
  <c r="Q101" i="1" s="1"/>
  <c r="O101" i="1"/>
  <c r="L101" i="1"/>
  <c r="M101" i="1" s="1"/>
  <c r="I101" i="1"/>
  <c r="J101" i="1"/>
  <c r="K101" i="1" s="1"/>
  <c r="L411" i="1"/>
  <c r="M411" i="1" s="1"/>
  <c r="N411" i="1"/>
  <c r="O411" i="1" s="1"/>
  <c r="P411" i="1"/>
  <c r="Q411" i="1" s="1"/>
  <c r="R411" i="1"/>
  <c r="S411" i="1" s="1"/>
  <c r="T411" i="1"/>
  <c r="U411" i="1" s="1"/>
  <c r="V411" i="1"/>
  <c r="W411" i="1" s="1"/>
  <c r="N329" i="1"/>
  <c r="L329" i="1"/>
  <c r="V329" i="1"/>
  <c r="T329" i="1"/>
  <c r="P329" i="1"/>
  <c r="R329" i="1"/>
  <c r="T472" i="1"/>
  <c r="U472" i="1" s="1"/>
  <c r="R472" i="1"/>
  <c r="S472" i="1" s="1"/>
  <c r="P472" i="1"/>
  <c r="Q472" i="1" s="1"/>
  <c r="N472" i="1"/>
  <c r="O472" i="1" s="1"/>
  <c r="L472" i="1"/>
  <c r="M472" i="1" s="1"/>
  <c r="J472" i="1"/>
  <c r="K472" i="1" s="1"/>
  <c r="V472" i="1"/>
  <c r="W472" i="1" s="1"/>
  <c r="F550" i="1"/>
  <c r="F549" i="1"/>
  <c r="F442" i="1"/>
  <c r="H442" i="1" s="1"/>
  <c r="F436" i="1"/>
  <c r="H436" i="1" s="1"/>
  <c r="F420" i="1"/>
  <c r="F414" i="1"/>
  <c r="F337" i="1"/>
  <c r="F336" i="1"/>
  <c r="F335" i="1"/>
  <c r="F340" i="1"/>
  <c r="F342" i="1"/>
  <c r="F344" i="1"/>
  <c r="F356" i="1"/>
  <c r="F339" i="1"/>
  <c r="F338" i="1"/>
  <c r="F346" i="1"/>
  <c r="F349" i="1"/>
  <c r="F350" i="1"/>
  <c r="F357" i="1"/>
  <c r="F390" i="1"/>
  <c r="F394" i="1"/>
  <c r="F406" i="1"/>
  <c r="F407" i="1"/>
  <c r="F359" i="1"/>
  <c r="H359" i="1" s="1"/>
  <c r="F362" i="1"/>
  <c r="F365" i="1"/>
  <c r="F368" i="1"/>
  <c r="F387" i="1"/>
  <c r="F386" i="1"/>
  <c r="F355" i="1"/>
  <c r="F353" i="1"/>
  <c r="F334" i="1"/>
  <c r="F327" i="1"/>
  <c r="H327" i="1" s="1"/>
  <c r="F214" i="1"/>
  <c r="J214" i="1" l="1"/>
  <c r="H214" i="1"/>
  <c r="I214" i="1" s="1"/>
  <c r="N425" i="1"/>
  <c r="O425" i="1" s="1"/>
  <c r="L425" i="1"/>
  <c r="M425" i="1" s="1"/>
  <c r="J425" i="1"/>
  <c r="K425" i="1" s="1"/>
  <c r="V425" i="1"/>
  <c r="W425" i="1" s="1"/>
  <c r="H425" i="1"/>
  <c r="I425" i="1" s="1"/>
  <c r="T425" i="1"/>
  <c r="U425" i="1" s="1"/>
  <c r="R425" i="1"/>
  <c r="S425" i="1" s="1"/>
  <c r="P425" i="1"/>
  <c r="Q425" i="1" s="1"/>
  <c r="T549" i="1"/>
  <c r="U549" i="1" s="1"/>
  <c r="R549" i="1"/>
  <c r="S549" i="1" s="1"/>
  <c r="P549" i="1"/>
  <c r="Q549" i="1" s="1"/>
  <c r="H549" i="1"/>
  <c r="I549" i="1" s="1"/>
  <c r="N549" i="1"/>
  <c r="O549" i="1" s="1"/>
  <c r="L549" i="1"/>
  <c r="M549" i="1" s="1"/>
  <c r="V549" i="1"/>
  <c r="W549" i="1" s="1"/>
  <c r="J549" i="1"/>
  <c r="K549" i="1" s="1"/>
  <c r="H550" i="1"/>
  <c r="L550" i="1"/>
  <c r="M550" i="1" s="1"/>
  <c r="J550" i="1"/>
  <c r="K550" i="1" s="1"/>
  <c r="L390" i="1"/>
  <c r="M390" i="1" s="1"/>
  <c r="H390" i="1"/>
  <c r="I390" i="1" s="1"/>
  <c r="J390" i="1"/>
  <c r="K390" i="1" s="1"/>
  <c r="P214" i="1"/>
  <c r="Q214" i="1" s="1"/>
  <c r="N214" i="1"/>
  <c r="O214" i="1" s="1"/>
  <c r="L214" i="1"/>
  <c r="M214" i="1" s="1"/>
  <c r="R214" i="1"/>
  <c r="S214" i="1" s="1"/>
  <c r="K214" i="1"/>
  <c r="V214" i="1"/>
  <c r="W214" i="1" s="1"/>
  <c r="T214" i="1"/>
  <c r="U214" i="1" s="1"/>
  <c r="L342" i="1"/>
  <c r="M342" i="1" s="1"/>
  <c r="V342" i="1"/>
  <c r="W342" i="1" s="1"/>
  <c r="T342" i="1"/>
  <c r="U342" i="1" s="1"/>
  <c r="R342" i="1"/>
  <c r="S342" i="1" s="1"/>
  <c r="N342" i="1"/>
  <c r="O342" i="1" s="1"/>
  <c r="P342" i="1"/>
  <c r="Q342" i="1" s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N327" i="1"/>
  <c r="O327" i="1" s="1"/>
  <c r="L327" i="1"/>
  <c r="M327" i="1" s="1"/>
  <c r="J327" i="1"/>
  <c r="K327" i="1" s="1"/>
  <c r="I327" i="1"/>
  <c r="V327" i="1"/>
  <c r="W327" i="1" s="1"/>
  <c r="T327" i="1"/>
  <c r="U327" i="1" s="1"/>
  <c r="R327" i="1"/>
  <c r="S327" i="1" s="1"/>
  <c r="P327" i="1"/>
  <c r="Q327" i="1" s="1"/>
  <c r="L334" i="1"/>
  <c r="M334" i="1" s="1"/>
  <c r="V334" i="1"/>
  <c r="W334" i="1" s="1"/>
  <c r="T334" i="1"/>
  <c r="U334" i="1" s="1"/>
  <c r="R334" i="1"/>
  <c r="S334" i="1" s="1"/>
  <c r="P334" i="1"/>
  <c r="Q334" i="1" s="1"/>
  <c r="N334" i="1"/>
  <c r="O334" i="1" s="1"/>
  <c r="V344" i="1"/>
  <c r="W344" i="1" s="1"/>
  <c r="T344" i="1"/>
  <c r="U344" i="1" s="1"/>
  <c r="R344" i="1"/>
  <c r="S344" i="1" s="1"/>
  <c r="P344" i="1"/>
  <c r="Q344" i="1" s="1"/>
  <c r="N344" i="1"/>
  <c r="O344" i="1" s="1"/>
  <c r="L344" i="1"/>
  <c r="M344" i="1" s="1"/>
  <c r="N353" i="1"/>
  <c r="O353" i="1" s="1"/>
  <c r="L353" i="1"/>
  <c r="M353" i="1" s="1"/>
  <c r="V353" i="1"/>
  <c r="W353" i="1" s="1"/>
  <c r="T353" i="1"/>
  <c r="U353" i="1" s="1"/>
  <c r="R353" i="1"/>
  <c r="S353" i="1" s="1"/>
  <c r="P353" i="1"/>
  <c r="Q353" i="1" s="1"/>
  <c r="T335" i="1"/>
  <c r="U335" i="1" s="1"/>
  <c r="R335" i="1"/>
  <c r="S335" i="1" s="1"/>
  <c r="P335" i="1"/>
  <c r="Q335" i="1" s="1"/>
  <c r="N335" i="1"/>
  <c r="O335" i="1" s="1"/>
  <c r="L335" i="1"/>
  <c r="M335" i="1" s="1"/>
  <c r="V335" i="1"/>
  <c r="W335" i="1" s="1"/>
  <c r="V357" i="1"/>
  <c r="W357" i="1" s="1"/>
  <c r="T357" i="1"/>
  <c r="U357" i="1" s="1"/>
  <c r="R357" i="1"/>
  <c r="S357" i="1" s="1"/>
  <c r="P357" i="1"/>
  <c r="Q357" i="1" s="1"/>
  <c r="N357" i="1"/>
  <c r="O357" i="1" s="1"/>
  <c r="L357" i="1"/>
  <c r="M357" i="1" s="1"/>
  <c r="V350" i="1"/>
  <c r="W350" i="1" s="1"/>
  <c r="T350" i="1"/>
  <c r="U350" i="1" s="1"/>
  <c r="R350" i="1"/>
  <c r="S350" i="1" s="1"/>
  <c r="P350" i="1"/>
  <c r="Q350" i="1" s="1"/>
  <c r="N350" i="1"/>
  <c r="O350" i="1" s="1"/>
  <c r="L350" i="1"/>
  <c r="M350" i="1" s="1"/>
  <c r="T387" i="1"/>
  <c r="U387" i="1" s="1"/>
  <c r="R387" i="1"/>
  <c r="S387" i="1" s="1"/>
  <c r="P387" i="1"/>
  <c r="Q387" i="1" s="1"/>
  <c r="N387" i="1"/>
  <c r="O387" i="1" s="1"/>
  <c r="L387" i="1"/>
  <c r="M387" i="1" s="1"/>
  <c r="V387" i="1"/>
  <c r="W387" i="1" s="1"/>
  <c r="V388" i="1"/>
  <c r="W388" i="1" s="1"/>
  <c r="T388" i="1"/>
  <c r="U388" i="1" s="1"/>
  <c r="R388" i="1"/>
  <c r="S388" i="1" s="1"/>
  <c r="P388" i="1"/>
  <c r="Q388" i="1" s="1"/>
  <c r="N388" i="1"/>
  <c r="O388" i="1" s="1"/>
  <c r="L388" i="1"/>
  <c r="M388" i="1" s="1"/>
  <c r="T346" i="1"/>
  <c r="U346" i="1" s="1"/>
  <c r="R346" i="1"/>
  <c r="S346" i="1" s="1"/>
  <c r="P346" i="1"/>
  <c r="Q346" i="1" s="1"/>
  <c r="N346" i="1"/>
  <c r="O346" i="1" s="1"/>
  <c r="L346" i="1"/>
  <c r="M346" i="1" s="1"/>
  <c r="V346" i="1"/>
  <c r="W346" i="1" s="1"/>
  <c r="L414" i="1"/>
  <c r="M414" i="1" s="1"/>
  <c r="N414" i="1"/>
  <c r="O414" i="1" s="1"/>
  <c r="P414" i="1"/>
  <c r="Q414" i="1" s="1"/>
  <c r="R414" i="1"/>
  <c r="S414" i="1" s="1"/>
  <c r="T414" i="1"/>
  <c r="U414" i="1" s="1"/>
  <c r="V414" i="1"/>
  <c r="W414" i="1" s="1"/>
  <c r="L406" i="1"/>
  <c r="M406" i="1" s="1"/>
  <c r="N406" i="1"/>
  <c r="O406" i="1" s="1"/>
  <c r="P406" i="1"/>
  <c r="Q406" i="1" s="1"/>
  <c r="R406" i="1"/>
  <c r="S406" i="1" s="1"/>
  <c r="T406" i="1"/>
  <c r="U406" i="1" s="1"/>
  <c r="V406" i="1"/>
  <c r="W406" i="1" s="1"/>
  <c r="V355" i="1"/>
  <c r="W355" i="1" s="1"/>
  <c r="T355" i="1"/>
  <c r="U355" i="1" s="1"/>
  <c r="R355" i="1"/>
  <c r="S355" i="1" s="1"/>
  <c r="P355" i="1"/>
  <c r="Q355" i="1" s="1"/>
  <c r="N355" i="1"/>
  <c r="O355" i="1" s="1"/>
  <c r="L355" i="1"/>
  <c r="M355" i="1" s="1"/>
  <c r="V420" i="1"/>
  <c r="W420" i="1" s="1"/>
  <c r="T420" i="1"/>
  <c r="U420" i="1" s="1"/>
  <c r="R420" i="1"/>
  <c r="S420" i="1" s="1"/>
  <c r="P420" i="1"/>
  <c r="Q420" i="1" s="1"/>
  <c r="N420" i="1"/>
  <c r="O420" i="1" s="1"/>
  <c r="L420" i="1"/>
  <c r="M420" i="1" s="1"/>
  <c r="J420" i="1"/>
  <c r="K420" i="1" s="1"/>
  <c r="H420" i="1"/>
  <c r="I420" i="1" s="1"/>
  <c r="N433" i="1"/>
  <c r="O433" i="1" s="1"/>
  <c r="L433" i="1"/>
  <c r="M433" i="1" s="1"/>
  <c r="J433" i="1"/>
  <c r="K433" i="1" s="1"/>
  <c r="P433" i="1"/>
  <c r="Q433" i="1" s="1"/>
  <c r="I433" i="1"/>
  <c r="V433" i="1"/>
  <c r="W433" i="1" s="1"/>
  <c r="T433" i="1"/>
  <c r="U433" i="1" s="1"/>
  <c r="R433" i="1"/>
  <c r="S433" i="1" s="1"/>
  <c r="N442" i="1"/>
  <c r="R442" i="1"/>
  <c r="L442" i="1"/>
  <c r="J442" i="1"/>
  <c r="V442" i="1"/>
  <c r="T442" i="1"/>
  <c r="P442" i="1"/>
  <c r="R337" i="1"/>
  <c r="S337" i="1" s="1"/>
  <c r="P337" i="1"/>
  <c r="Q337" i="1" s="1"/>
  <c r="N337" i="1"/>
  <c r="O337" i="1" s="1"/>
  <c r="L337" i="1"/>
  <c r="M337" i="1" s="1"/>
  <c r="V337" i="1"/>
  <c r="W337" i="1" s="1"/>
  <c r="T337" i="1"/>
  <c r="U337" i="1" s="1"/>
  <c r="T349" i="1"/>
  <c r="U349" i="1" s="1"/>
  <c r="R349" i="1"/>
  <c r="S349" i="1" s="1"/>
  <c r="P349" i="1"/>
  <c r="Q349" i="1" s="1"/>
  <c r="N349" i="1"/>
  <c r="O349" i="1" s="1"/>
  <c r="L349" i="1"/>
  <c r="M349" i="1" s="1"/>
  <c r="V349" i="1"/>
  <c r="W349" i="1" s="1"/>
  <c r="L410" i="1"/>
  <c r="M410" i="1" s="1"/>
  <c r="N410" i="1"/>
  <c r="O410" i="1" s="1"/>
  <c r="P410" i="1"/>
  <c r="Q410" i="1" s="1"/>
  <c r="R410" i="1"/>
  <c r="S410" i="1" s="1"/>
  <c r="T410" i="1"/>
  <c r="U410" i="1" s="1"/>
  <c r="V410" i="1"/>
  <c r="W410" i="1" s="1"/>
  <c r="V368" i="1"/>
  <c r="W368" i="1" s="1"/>
  <c r="T368" i="1"/>
  <c r="U368" i="1" s="1"/>
  <c r="R368" i="1"/>
  <c r="S368" i="1" s="1"/>
  <c r="P368" i="1"/>
  <c r="Q368" i="1" s="1"/>
  <c r="N368" i="1"/>
  <c r="O368" i="1" s="1"/>
  <c r="L368" i="1"/>
  <c r="M368" i="1" s="1"/>
  <c r="L365" i="1"/>
  <c r="M365" i="1" s="1"/>
  <c r="V365" i="1"/>
  <c r="W365" i="1" s="1"/>
  <c r="T365" i="1"/>
  <c r="U365" i="1" s="1"/>
  <c r="R365" i="1"/>
  <c r="S365" i="1" s="1"/>
  <c r="P365" i="1"/>
  <c r="Q365" i="1" s="1"/>
  <c r="N365" i="1"/>
  <c r="O365" i="1" s="1"/>
  <c r="L339" i="1"/>
  <c r="M339" i="1" s="1"/>
  <c r="V339" i="1"/>
  <c r="W339" i="1" s="1"/>
  <c r="T339" i="1"/>
  <c r="U339" i="1" s="1"/>
  <c r="R339" i="1"/>
  <c r="S339" i="1" s="1"/>
  <c r="P339" i="1"/>
  <c r="Q339" i="1" s="1"/>
  <c r="N339" i="1"/>
  <c r="O339" i="1" s="1"/>
  <c r="I436" i="1"/>
  <c r="V436" i="1"/>
  <c r="W436" i="1" s="1"/>
  <c r="T436" i="1"/>
  <c r="U436" i="1" s="1"/>
  <c r="R436" i="1"/>
  <c r="S436" i="1" s="1"/>
  <c r="P436" i="1"/>
  <c r="Q436" i="1" s="1"/>
  <c r="N436" i="1"/>
  <c r="O436" i="1" s="1"/>
  <c r="L436" i="1"/>
  <c r="M436" i="1" s="1"/>
  <c r="J436" i="1"/>
  <c r="K436" i="1" s="1"/>
  <c r="V359" i="1"/>
  <c r="W359" i="1" s="1"/>
  <c r="T359" i="1"/>
  <c r="U359" i="1" s="1"/>
  <c r="R359" i="1"/>
  <c r="S359" i="1" s="1"/>
  <c r="P359" i="1"/>
  <c r="Q359" i="1" s="1"/>
  <c r="N359" i="1"/>
  <c r="O359" i="1" s="1"/>
  <c r="L359" i="1"/>
  <c r="M359" i="1" s="1"/>
  <c r="J359" i="1"/>
  <c r="K359" i="1" s="1"/>
  <c r="I359" i="1"/>
  <c r="L407" i="1"/>
  <c r="M407" i="1" s="1"/>
  <c r="N407" i="1"/>
  <c r="O407" i="1" s="1"/>
  <c r="P407" i="1"/>
  <c r="Q407" i="1" s="1"/>
  <c r="R407" i="1"/>
  <c r="S407" i="1" s="1"/>
  <c r="T407" i="1"/>
  <c r="U407" i="1" s="1"/>
  <c r="V407" i="1"/>
  <c r="W407" i="1" s="1"/>
  <c r="V340" i="1"/>
  <c r="W340" i="1" s="1"/>
  <c r="T340" i="1"/>
  <c r="U340" i="1" s="1"/>
  <c r="R340" i="1"/>
  <c r="S340" i="1" s="1"/>
  <c r="P340" i="1"/>
  <c r="Q340" i="1" s="1"/>
  <c r="N340" i="1"/>
  <c r="O340" i="1" s="1"/>
  <c r="L340" i="1"/>
  <c r="M340" i="1" s="1"/>
  <c r="V394" i="1"/>
  <c r="W394" i="1" s="1"/>
  <c r="T394" i="1"/>
  <c r="U394" i="1" s="1"/>
  <c r="R394" i="1"/>
  <c r="S394" i="1" s="1"/>
  <c r="P394" i="1"/>
  <c r="Q394" i="1" s="1"/>
  <c r="N394" i="1"/>
  <c r="O394" i="1" s="1"/>
  <c r="L394" i="1"/>
  <c r="M394" i="1" s="1"/>
  <c r="V386" i="1"/>
  <c r="W386" i="1" s="1"/>
  <c r="T386" i="1"/>
  <c r="U386" i="1" s="1"/>
  <c r="R386" i="1"/>
  <c r="S386" i="1" s="1"/>
  <c r="P386" i="1"/>
  <c r="Q386" i="1" s="1"/>
  <c r="N386" i="1"/>
  <c r="O386" i="1" s="1"/>
  <c r="L386" i="1"/>
  <c r="M386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N362" i="1"/>
  <c r="O362" i="1" s="1"/>
  <c r="L362" i="1"/>
  <c r="M362" i="1" s="1"/>
  <c r="V362" i="1"/>
  <c r="W362" i="1" s="1"/>
  <c r="T362" i="1"/>
  <c r="U362" i="1" s="1"/>
  <c r="P362" i="1"/>
  <c r="Q362" i="1" s="1"/>
  <c r="R362" i="1"/>
  <c r="S362" i="1" s="1"/>
  <c r="T356" i="1"/>
  <c r="U356" i="1" s="1"/>
  <c r="R356" i="1"/>
  <c r="S356" i="1" s="1"/>
  <c r="P356" i="1"/>
  <c r="Q356" i="1" s="1"/>
  <c r="N356" i="1"/>
  <c r="O356" i="1" s="1"/>
  <c r="L356" i="1"/>
  <c r="M356" i="1" s="1"/>
  <c r="V356" i="1"/>
  <c r="W356" i="1" s="1"/>
  <c r="F301" i="1"/>
  <c r="H301" i="1" s="1"/>
  <c r="I301" i="1" l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F250" i="1"/>
  <c r="F243" i="1"/>
  <c r="G294" i="1"/>
  <c r="R254" i="1" l="1"/>
  <c r="S254" i="1" s="1"/>
  <c r="P254" i="1"/>
  <c r="Q254" i="1" s="1"/>
  <c r="N254" i="1"/>
  <c r="O254" i="1" s="1"/>
  <c r="L254" i="1"/>
  <c r="M254" i="1" s="1"/>
  <c r="J254" i="1"/>
  <c r="K254" i="1" s="1"/>
  <c r="H254" i="1"/>
  <c r="I254" i="1" s="1"/>
  <c r="T254" i="1"/>
  <c r="U254" i="1" s="1"/>
  <c r="V254" i="1"/>
  <c r="W254" i="1" s="1"/>
  <c r="L250" i="1"/>
  <c r="M250" i="1" s="1"/>
  <c r="J250" i="1"/>
  <c r="K250" i="1" s="1"/>
  <c r="V250" i="1"/>
  <c r="W250" i="1" s="1"/>
  <c r="H250" i="1"/>
  <c r="I250" i="1" s="1"/>
  <c r="N250" i="1"/>
  <c r="O250" i="1" s="1"/>
  <c r="T250" i="1"/>
  <c r="U250" i="1" s="1"/>
  <c r="R250" i="1"/>
  <c r="S250" i="1" s="1"/>
  <c r="P250" i="1"/>
  <c r="Q250" i="1" s="1"/>
  <c r="H263" i="1"/>
  <c r="I263" i="1" s="1"/>
  <c r="V263" i="1"/>
  <c r="W263" i="1" s="1"/>
  <c r="T263" i="1"/>
  <c r="U263" i="1" s="1"/>
  <c r="R263" i="1"/>
  <c r="S263" i="1" s="1"/>
  <c r="P263" i="1"/>
  <c r="Q263" i="1" s="1"/>
  <c r="N263" i="1"/>
  <c r="O263" i="1" s="1"/>
  <c r="L263" i="1"/>
  <c r="M263" i="1" s="1"/>
  <c r="J263" i="1"/>
  <c r="K263" i="1" s="1"/>
  <c r="H243" i="1"/>
  <c r="I243" i="1" s="1"/>
  <c r="V243" i="1"/>
  <c r="W243" i="1" s="1"/>
  <c r="T243" i="1"/>
  <c r="U243" i="1" s="1"/>
  <c r="R243" i="1"/>
  <c r="S243" i="1" s="1"/>
  <c r="P243" i="1"/>
  <c r="Q243" i="1" s="1"/>
  <c r="N243" i="1"/>
  <c r="O243" i="1" s="1"/>
  <c r="L243" i="1"/>
  <c r="M243" i="1" s="1"/>
  <c r="J243" i="1"/>
  <c r="K243" i="1" s="1"/>
  <c r="F389" i="1" l="1"/>
  <c r="F282" i="1"/>
  <c r="F264" i="1"/>
  <c r="F415" i="1"/>
  <c r="F281" i="1"/>
  <c r="F272" i="1"/>
  <c r="F409" i="1"/>
  <c r="F437" i="1"/>
  <c r="H437" i="1" s="1"/>
  <c r="F274" i="1"/>
  <c r="F408" i="1"/>
  <c r="F405" i="1"/>
  <c r="H485" i="1" l="1"/>
  <c r="I485" i="1" s="1"/>
  <c r="L485" i="1"/>
  <c r="M485" i="1" s="1"/>
  <c r="J485" i="1"/>
  <c r="K485" i="1" s="1"/>
  <c r="V484" i="1"/>
  <c r="W484" i="1" s="1"/>
  <c r="N484" i="1"/>
  <c r="O484" i="1" s="1"/>
  <c r="T484" i="1"/>
  <c r="U484" i="1" s="1"/>
  <c r="R484" i="1"/>
  <c r="S484" i="1" s="1"/>
  <c r="P484" i="1"/>
  <c r="Q484" i="1" s="1"/>
  <c r="J484" i="1"/>
  <c r="K484" i="1" s="1"/>
  <c r="H484" i="1"/>
  <c r="I484" i="1" s="1"/>
  <c r="L484" i="1"/>
  <c r="M484" i="1" s="1"/>
  <c r="P613" i="1"/>
  <c r="Q613" i="1" s="1"/>
  <c r="N613" i="1"/>
  <c r="O613" i="1" s="1"/>
  <c r="L613" i="1"/>
  <c r="M613" i="1" s="1"/>
  <c r="J613" i="1"/>
  <c r="K613" i="1" s="1"/>
  <c r="H613" i="1"/>
  <c r="I613" i="1" s="1"/>
  <c r="V613" i="1"/>
  <c r="W613" i="1" s="1"/>
  <c r="T613" i="1"/>
  <c r="U613" i="1" s="1"/>
  <c r="R613" i="1"/>
  <c r="S613" i="1" s="1"/>
  <c r="N172" i="1"/>
  <c r="O172" i="1" s="1"/>
  <c r="J172" i="1"/>
  <c r="K172" i="1" s="1"/>
  <c r="H172" i="1"/>
  <c r="I172" i="1" s="1"/>
  <c r="P172" i="1"/>
  <c r="Q172" i="1" s="1"/>
  <c r="L172" i="1"/>
  <c r="M172" i="1" s="1"/>
  <c r="V172" i="1"/>
  <c r="W172" i="1" s="1"/>
  <c r="T172" i="1"/>
  <c r="U172" i="1" s="1"/>
  <c r="R172" i="1"/>
  <c r="S172" i="1" s="1"/>
  <c r="P265" i="1"/>
  <c r="Q265" i="1" s="1"/>
  <c r="N265" i="1"/>
  <c r="O265" i="1" s="1"/>
  <c r="L265" i="1"/>
  <c r="M265" i="1" s="1"/>
  <c r="J265" i="1"/>
  <c r="K265" i="1" s="1"/>
  <c r="R265" i="1"/>
  <c r="S265" i="1" s="1"/>
  <c r="H265" i="1"/>
  <c r="I265" i="1" s="1"/>
  <c r="V265" i="1"/>
  <c r="W265" i="1" s="1"/>
  <c r="T265" i="1"/>
  <c r="U265" i="1" s="1"/>
  <c r="V169" i="1"/>
  <c r="W169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V193" i="1"/>
  <c r="W193" i="1" s="1"/>
  <c r="T193" i="1"/>
  <c r="U193" i="1" s="1"/>
  <c r="R193" i="1"/>
  <c r="S193" i="1" s="1"/>
  <c r="P193" i="1"/>
  <c r="Q193" i="1" s="1"/>
  <c r="N193" i="1"/>
  <c r="O193" i="1" s="1"/>
  <c r="L193" i="1"/>
  <c r="M193" i="1" s="1"/>
  <c r="V274" i="1"/>
  <c r="W274" i="1" s="1"/>
  <c r="T274" i="1"/>
  <c r="U274" i="1" s="1"/>
  <c r="R274" i="1"/>
  <c r="S274" i="1" s="1"/>
  <c r="P274" i="1"/>
  <c r="Q274" i="1" s="1"/>
  <c r="H274" i="1"/>
  <c r="I274" i="1" s="1"/>
  <c r="N274" i="1"/>
  <c r="O274" i="1" s="1"/>
  <c r="L274" i="1"/>
  <c r="M274" i="1" s="1"/>
  <c r="J274" i="1"/>
  <c r="K274" i="1" s="1"/>
  <c r="H270" i="1"/>
  <c r="I270" i="1" s="1"/>
  <c r="V270" i="1"/>
  <c r="W270" i="1" s="1"/>
  <c r="T270" i="1"/>
  <c r="U270" i="1" s="1"/>
  <c r="R270" i="1"/>
  <c r="S270" i="1" s="1"/>
  <c r="P270" i="1"/>
  <c r="Q270" i="1" s="1"/>
  <c r="N270" i="1"/>
  <c r="O270" i="1" s="1"/>
  <c r="L270" i="1"/>
  <c r="M270" i="1" s="1"/>
  <c r="J270" i="1"/>
  <c r="K270" i="1" s="1"/>
  <c r="R281" i="1"/>
  <c r="S281" i="1" s="1"/>
  <c r="P281" i="1"/>
  <c r="Q281" i="1" s="1"/>
  <c r="T281" i="1"/>
  <c r="U281" i="1" s="1"/>
  <c r="N281" i="1"/>
  <c r="O281" i="1" s="1"/>
  <c r="L281" i="1"/>
  <c r="M281" i="1" s="1"/>
  <c r="J281" i="1"/>
  <c r="K281" i="1" s="1"/>
  <c r="V281" i="1"/>
  <c r="W281" i="1" s="1"/>
  <c r="H281" i="1"/>
  <c r="I281" i="1" s="1"/>
  <c r="V266" i="1"/>
  <c r="W266" i="1" s="1"/>
  <c r="T266" i="1"/>
  <c r="U266" i="1" s="1"/>
  <c r="R266" i="1"/>
  <c r="S266" i="1" s="1"/>
  <c r="P266" i="1"/>
  <c r="Q266" i="1" s="1"/>
  <c r="N266" i="1"/>
  <c r="O266" i="1" s="1"/>
  <c r="L266" i="1"/>
  <c r="M266" i="1" s="1"/>
  <c r="J266" i="1"/>
  <c r="K266" i="1" s="1"/>
  <c r="H266" i="1"/>
  <c r="I266" i="1" s="1"/>
  <c r="L264" i="1"/>
  <c r="M264" i="1" s="1"/>
  <c r="J264" i="1"/>
  <c r="K264" i="1" s="1"/>
  <c r="H264" i="1"/>
  <c r="I264" i="1" s="1"/>
  <c r="N264" i="1"/>
  <c r="O264" i="1" s="1"/>
  <c r="V264" i="1"/>
  <c r="W264" i="1" s="1"/>
  <c r="T264" i="1"/>
  <c r="U264" i="1" s="1"/>
  <c r="R264" i="1"/>
  <c r="S264" i="1" s="1"/>
  <c r="P264" i="1"/>
  <c r="Q264" i="1" s="1"/>
  <c r="N272" i="1"/>
  <c r="O272" i="1" s="1"/>
  <c r="L272" i="1"/>
  <c r="M272" i="1" s="1"/>
  <c r="J272" i="1"/>
  <c r="K272" i="1" s="1"/>
  <c r="H272" i="1"/>
  <c r="I272" i="1" s="1"/>
  <c r="V272" i="1"/>
  <c r="W272" i="1" s="1"/>
  <c r="P272" i="1"/>
  <c r="Q272" i="1" s="1"/>
  <c r="T272" i="1"/>
  <c r="U272" i="1" s="1"/>
  <c r="R272" i="1"/>
  <c r="S272" i="1" s="1"/>
  <c r="R282" i="1"/>
  <c r="S282" i="1" s="1"/>
  <c r="P282" i="1"/>
  <c r="Q282" i="1" s="1"/>
  <c r="N282" i="1"/>
  <c r="O282" i="1" s="1"/>
  <c r="L282" i="1"/>
  <c r="M282" i="1" s="1"/>
  <c r="J282" i="1"/>
  <c r="K282" i="1" s="1"/>
  <c r="H282" i="1"/>
  <c r="I282" i="1" s="1"/>
  <c r="V282" i="1"/>
  <c r="W282" i="1" s="1"/>
  <c r="T282" i="1"/>
  <c r="U282" i="1" s="1"/>
  <c r="N192" i="1"/>
  <c r="O192" i="1" s="1"/>
  <c r="L192" i="1"/>
  <c r="M192" i="1" s="1"/>
  <c r="V192" i="1"/>
  <c r="W192" i="1" s="1"/>
  <c r="T192" i="1"/>
  <c r="U192" i="1" s="1"/>
  <c r="P192" i="1"/>
  <c r="Q192" i="1" s="1"/>
  <c r="R192" i="1"/>
  <c r="S192" i="1" s="1"/>
  <c r="V256" i="1"/>
  <c r="W256" i="1" s="1"/>
  <c r="T256" i="1"/>
  <c r="U256" i="1" s="1"/>
  <c r="R256" i="1"/>
  <c r="S256" i="1" s="1"/>
  <c r="P256" i="1"/>
  <c r="Q256" i="1" s="1"/>
  <c r="N256" i="1"/>
  <c r="O256" i="1" s="1"/>
  <c r="L256" i="1"/>
  <c r="M256" i="1" s="1"/>
  <c r="J256" i="1"/>
  <c r="K256" i="1" s="1"/>
  <c r="H256" i="1"/>
  <c r="I256" i="1" s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H262" i="1"/>
  <c r="I262" i="1" s="1"/>
  <c r="L409" i="1"/>
  <c r="M409" i="1" s="1"/>
  <c r="N409" i="1"/>
  <c r="O409" i="1" s="1"/>
  <c r="P409" i="1"/>
  <c r="Q409" i="1" s="1"/>
  <c r="R409" i="1"/>
  <c r="S409" i="1" s="1"/>
  <c r="T409" i="1"/>
  <c r="U409" i="1" s="1"/>
  <c r="V409" i="1"/>
  <c r="W409" i="1" s="1"/>
  <c r="I437" i="1"/>
  <c r="L437" i="1"/>
  <c r="M437" i="1" s="1"/>
  <c r="V437" i="1"/>
  <c r="W437" i="1" s="1"/>
  <c r="T437" i="1"/>
  <c r="U437" i="1" s="1"/>
  <c r="R437" i="1"/>
  <c r="S437" i="1" s="1"/>
  <c r="P437" i="1"/>
  <c r="Q437" i="1" s="1"/>
  <c r="N437" i="1"/>
  <c r="O437" i="1" s="1"/>
  <c r="J437" i="1"/>
  <c r="K437" i="1" s="1"/>
  <c r="I427" i="1"/>
  <c r="L427" i="1"/>
  <c r="M427" i="1" s="1"/>
  <c r="V427" i="1"/>
  <c r="W427" i="1" s="1"/>
  <c r="T427" i="1"/>
  <c r="U427" i="1" s="1"/>
  <c r="R427" i="1"/>
  <c r="S427" i="1" s="1"/>
  <c r="P427" i="1"/>
  <c r="Q427" i="1" s="1"/>
  <c r="N427" i="1"/>
  <c r="O427" i="1" s="1"/>
  <c r="J427" i="1"/>
  <c r="K427" i="1" s="1"/>
  <c r="L415" i="1"/>
  <c r="M415" i="1" s="1"/>
  <c r="N415" i="1"/>
  <c r="O415" i="1" s="1"/>
  <c r="P415" i="1"/>
  <c r="Q415" i="1" s="1"/>
  <c r="R415" i="1"/>
  <c r="S415" i="1" s="1"/>
  <c r="T415" i="1"/>
  <c r="U415" i="1" s="1"/>
  <c r="V415" i="1"/>
  <c r="W415" i="1" s="1"/>
  <c r="L408" i="1"/>
  <c r="M408" i="1" s="1"/>
  <c r="N408" i="1"/>
  <c r="O408" i="1" s="1"/>
  <c r="P408" i="1"/>
  <c r="Q408" i="1" s="1"/>
  <c r="R408" i="1"/>
  <c r="S408" i="1" s="1"/>
  <c r="T408" i="1"/>
  <c r="U408" i="1" s="1"/>
  <c r="V408" i="1"/>
  <c r="W408" i="1" s="1"/>
  <c r="L405" i="1"/>
  <c r="M405" i="1" s="1"/>
  <c r="N405" i="1"/>
  <c r="O405" i="1" s="1"/>
  <c r="P405" i="1"/>
  <c r="Q405" i="1" s="1"/>
  <c r="R405" i="1"/>
  <c r="S405" i="1" s="1"/>
  <c r="T405" i="1"/>
  <c r="U405" i="1" s="1"/>
  <c r="V405" i="1"/>
  <c r="W405" i="1" s="1"/>
  <c r="T389" i="1"/>
  <c r="U389" i="1" s="1"/>
  <c r="R389" i="1"/>
  <c r="S389" i="1" s="1"/>
  <c r="P389" i="1"/>
  <c r="Q389" i="1" s="1"/>
  <c r="N389" i="1"/>
  <c r="O389" i="1" s="1"/>
  <c r="L389" i="1"/>
  <c r="M389" i="1" s="1"/>
  <c r="V389" i="1"/>
  <c r="W389" i="1" s="1"/>
  <c r="G193" i="1"/>
  <c r="G282" i="1"/>
  <c r="G613" i="1"/>
  <c r="J275" i="1" l="1"/>
  <c r="K275" i="1" s="1"/>
  <c r="H275" i="1"/>
  <c r="I275" i="1" s="1"/>
  <c r="V275" i="1"/>
  <c r="W275" i="1" s="1"/>
  <c r="T275" i="1"/>
  <c r="U275" i="1" s="1"/>
  <c r="R275" i="1"/>
  <c r="S275" i="1" s="1"/>
  <c r="P275" i="1"/>
  <c r="Q275" i="1" s="1"/>
  <c r="N275" i="1"/>
  <c r="O275" i="1" s="1"/>
  <c r="L275" i="1"/>
  <c r="M275" i="1" s="1"/>
  <c r="J453" i="1"/>
  <c r="K453" i="1" s="1"/>
  <c r="P453" i="1"/>
  <c r="R453" i="1"/>
  <c r="T453" i="1"/>
  <c r="V453" i="1"/>
  <c r="O216" i="1"/>
  <c r="M216" i="1"/>
  <c r="K216" i="1"/>
  <c r="F677" i="1"/>
  <c r="N677" i="1" l="1"/>
  <c r="O677" i="1" s="1"/>
  <c r="L677" i="1"/>
  <c r="M677" i="1" s="1"/>
  <c r="P677" i="1"/>
  <c r="Q677" i="1" s="1"/>
  <c r="J677" i="1"/>
  <c r="K677" i="1" s="1"/>
  <c r="H677" i="1"/>
  <c r="I677" i="1" s="1"/>
  <c r="V677" i="1"/>
  <c r="W677" i="1" s="1"/>
  <c r="T677" i="1"/>
  <c r="U677" i="1" s="1"/>
  <c r="R677" i="1"/>
  <c r="S677" i="1" s="1"/>
  <c r="F544" i="1"/>
  <c r="F543" i="1"/>
  <c r="F542" i="1"/>
  <c r="F530" i="1"/>
  <c r="F529" i="1"/>
  <c r="V546" i="1"/>
  <c r="W546" i="1" s="1"/>
  <c r="T546" i="1"/>
  <c r="U546" i="1" s="1"/>
  <c r="R546" i="1"/>
  <c r="S546" i="1" s="1"/>
  <c r="P546" i="1"/>
  <c r="Q546" i="1" s="1"/>
  <c r="N546" i="1"/>
  <c r="O546" i="1" s="1"/>
  <c r="I546" i="1"/>
  <c r="V520" i="1"/>
  <c r="F597" i="1"/>
  <c r="F599" i="1"/>
  <c r="V185" i="1"/>
  <c r="T185" i="1"/>
  <c r="R185" i="1"/>
  <c r="P185" i="1"/>
  <c r="N185" i="1"/>
  <c r="L185" i="1"/>
  <c r="L538" i="1" l="1"/>
  <c r="M538" i="1" s="1"/>
  <c r="H538" i="1"/>
  <c r="J538" i="1"/>
  <c r="K538" i="1" s="1"/>
  <c r="N597" i="1"/>
  <c r="O597" i="1" s="1"/>
  <c r="P597" i="1"/>
  <c r="Q597" i="1" s="1"/>
  <c r="R597" i="1"/>
  <c r="S597" i="1" s="1"/>
  <c r="T597" i="1"/>
  <c r="U597" i="1" s="1"/>
  <c r="H597" i="1"/>
  <c r="I597" i="1" s="1"/>
  <c r="L597" i="1"/>
  <c r="M597" i="1" s="1"/>
  <c r="J597" i="1"/>
  <c r="K597" i="1" s="1"/>
  <c r="V597" i="1"/>
  <c r="W597" i="1" s="1"/>
  <c r="V542" i="1"/>
  <c r="W542" i="1" s="1"/>
  <c r="T542" i="1"/>
  <c r="U542" i="1" s="1"/>
  <c r="R542" i="1"/>
  <c r="S542" i="1" s="1"/>
  <c r="N542" i="1"/>
  <c r="O542" i="1" s="1"/>
  <c r="H542" i="1"/>
  <c r="I542" i="1" s="1"/>
  <c r="L542" i="1"/>
  <c r="M542" i="1" s="1"/>
  <c r="J542" i="1"/>
  <c r="K542" i="1" s="1"/>
  <c r="P542" i="1"/>
  <c r="Q542" i="1" s="1"/>
  <c r="N599" i="1"/>
  <c r="O599" i="1" s="1"/>
  <c r="P599" i="1"/>
  <c r="Q599" i="1" s="1"/>
  <c r="R599" i="1"/>
  <c r="S599" i="1" s="1"/>
  <c r="T599" i="1"/>
  <c r="U599" i="1" s="1"/>
  <c r="H599" i="1"/>
  <c r="I599" i="1" s="1"/>
  <c r="J599" i="1"/>
  <c r="K599" i="1" s="1"/>
  <c r="L599" i="1"/>
  <c r="M599" i="1" s="1"/>
  <c r="V599" i="1"/>
  <c r="W599" i="1" s="1"/>
  <c r="L543" i="1"/>
  <c r="M543" i="1" s="1"/>
  <c r="H543" i="1"/>
  <c r="J543" i="1"/>
  <c r="K543" i="1" s="1"/>
  <c r="L530" i="1"/>
  <c r="M530" i="1" s="1"/>
  <c r="J530" i="1"/>
  <c r="K530" i="1" s="1"/>
  <c r="H530" i="1"/>
  <c r="V539" i="1"/>
  <c r="W539" i="1" s="1"/>
  <c r="T539" i="1"/>
  <c r="U539" i="1" s="1"/>
  <c r="R539" i="1"/>
  <c r="S539" i="1" s="1"/>
  <c r="P539" i="1"/>
  <c r="Q539" i="1" s="1"/>
  <c r="N539" i="1"/>
  <c r="O539" i="1" s="1"/>
  <c r="L539" i="1"/>
  <c r="M539" i="1" s="1"/>
  <c r="J539" i="1"/>
  <c r="K539" i="1" s="1"/>
  <c r="H539" i="1"/>
  <c r="I539" i="1" s="1"/>
  <c r="L544" i="1"/>
  <c r="M544" i="1" s="1"/>
  <c r="J544" i="1"/>
  <c r="K544" i="1" s="1"/>
  <c r="V544" i="1"/>
  <c r="W544" i="1" s="1"/>
  <c r="H544" i="1"/>
  <c r="I544" i="1" s="1"/>
  <c r="R544" i="1"/>
  <c r="S544" i="1" s="1"/>
  <c r="P544" i="1"/>
  <c r="Q544" i="1" s="1"/>
  <c r="T544" i="1"/>
  <c r="U544" i="1" s="1"/>
  <c r="N544" i="1"/>
  <c r="O544" i="1" s="1"/>
  <c r="L540" i="1"/>
  <c r="M540" i="1" s="1"/>
  <c r="J540" i="1"/>
  <c r="K540" i="1" s="1"/>
  <c r="H540" i="1"/>
  <c r="P589" i="1"/>
  <c r="Q589" i="1" s="1"/>
  <c r="R589" i="1"/>
  <c r="S589" i="1" s="1"/>
  <c r="T589" i="1"/>
  <c r="U589" i="1" s="1"/>
  <c r="V589" i="1"/>
  <c r="W589" i="1" s="1"/>
  <c r="J589" i="1"/>
  <c r="K589" i="1" s="1"/>
  <c r="L589" i="1"/>
  <c r="M589" i="1" s="1"/>
  <c r="N589" i="1"/>
  <c r="O589" i="1" s="1"/>
  <c r="H589" i="1"/>
  <c r="I589" i="1" s="1"/>
  <c r="H529" i="1"/>
  <c r="I529" i="1" s="1"/>
  <c r="P529" i="1"/>
  <c r="Q529" i="1" s="1"/>
  <c r="N529" i="1"/>
  <c r="O529" i="1" s="1"/>
  <c r="L529" i="1"/>
  <c r="M529" i="1" s="1"/>
  <c r="J529" i="1"/>
  <c r="K529" i="1" s="1"/>
  <c r="V529" i="1"/>
  <c r="W529" i="1" s="1"/>
  <c r="T529" i="1"/>
  <c r="U529" i="1" s="1"/>
  <c r="R529" i="1"/>
  <c r="S529" i="1" s="1"/>
  <c r="P590" i="1"/>
  <c r="Q590" i="1" s="1"/>
  <c r="R590" i="1"/>
  <c r="S590" i="1" s="1"/>
  <c r="T590" i="1"/>
  <c r="U590" i="1" s="1"/>
  <c r="V590" i="1"/>
  <c r="W590" i="1" s="1"/>
  <c r="H590" i="1"/>
  <c r="I590" i="1" s="1"/>
  <c r="J590" i="1"/>
  <c r="K590" i="1" s="1"/>
  <c r="L590" i="1"/>
  <c r="M590" i="1" s="1"/>
  <c r="N590" i="1"/>
  <c r="O590" i="1" s="1"/>
  <c r="N520" i="1"/>
  <c r="P520" i="1"/>
  <c r="R520" i="1"/>
  <c r="T520" i="1"/>
  <c r="G597" i="1"/>
  <c r="T124" i="1"/>
  <c r="R124" i="1"/>
  <c r="P124" i="1"/>
  <c r="N124" i="1"/>
  <c r="L124" i="1"/>
  <c r="T13" i="1"/>
  <c r="R13" i="1"/>
  <c r="P13" i="1"/>
  <c r="N13" i="1"/>
  <c r="L13" i="1"/>
  <c r="J13" i="1"/>
  <c r="H247" i="1" l="1"/>
  <c r="I247" i="1" s="1"/>
  <c r="V247" i="1"/>
  <c r="W247" i="1" s="1"/>
  <c r="T247" i="1"/>
  <c r="U247" i="1" s="1"/>
  <c r="R247" i="1"/>
  <c r="S247" i="1" s="1"/>
  <c r="P247" i="1"/>
  <c r="Q247" i="1" s="1"/>
  <c r="N247" i="1"/>
  <c r="O247" i="1" s="1"/>
  <c r="L247" i="1"/>
  <c r="M247" i="1" s="1"/>
  <c r="J247" i="1"/>
  <c r="K247" i="1" s="1"/>
  <c r="G252" i="1"/>
  <c r="G247" i="1"/>
  <c r="G420" i="1"/>
  <c r="W234" i="1" l="1"/>
  <c r="U234" i="1"/>
  <c r="S234" i="1"/>
  <c r="Q234" i="1"/>
  <c r="O234" i="1"/>
  <c r="M234" i="1"/>
  <c r="K234" i="1"/>
  <c r="I234" i="1"/>
  <c r="W191" i="1" l="1"/>
  <c r="U191" i="1"/>
  <c r="S191" i="1"/>
  <c r="Q191" i="1"/>
  <c r="O191" i="1"/>
  <c r="M191" i="1"/>
  <c r="J98" i="1" l="1"/>
  <c r="V97" i="1"/>
  <c r="W97" i="1" s="1"/>
  <c r="T97" i="1"/>
  <c r="U97" i="1" s="1"/>
  <c r="R97" i="1"/>
  <c r="S97" i="1" s="1"/>
  <c r="P97" i="1"/>
  <c r="Q97" i="1" s="1"/>
  <c r="N97" i="1"/>
  <c r="O97" i="1" s="1"/>
  <c r="L97" i="1"/>
  <c r="M97" i="1" s="1"/>
  <c r="J97" i="1"/>
  <c r="K97" i="1" s="1"/>
  <c r="K57" i="1"/>
  <c r="K56" i="1"/>
  <c r="K55" i="1"/>
  <c r="V289" i="1" l="1"/>
  <c r="W289" i="1" s="1"/>
  <c r="T289" i="1"/>
  <c r="U289" i="1" s="1"/>
  <c r="R289" i="1"/>
  <c r="S289" i="1" s="1"/>
  <c r="P289" i="1"/>
  <c r="Q289" i="1" s="1"/>
  <c r="N289" i="1"/>
  <c r="O289" i="1" s="1"/>
  <c r="V288" i="1"/>
  <c r="W288" i="1" s="1"/>
  <c r="T288" i="1"/>
  <c r="U288" i="1" s="1"/>
  <c r="R288" i="1"/>
  <c r="S288" i="1" s="1"/>
  <c r="P288" i="1"/>
  <c r="Q288" i="1" s="1"/>
  <c r="N288" i="1"/>
  <c r="O288" i="1" s="1"/>
  <c r="V287" i="1"/>
  <c r="W287" i="1" s="1"/>
  <c r="T287" i="1"/>
  <c r="U287" i="1" s="1"/>
  <c r="R287" i="1"/>
  <c r="S287" i="1" s="1"/>
  <c r="P287" i="1"/>
  <c r="Q287" i="1" s="1"/>
  <c r="N287" i="1"/>
  <c r="O287" i="1" s="1"/>
  <c r="V286" i="1"/>
  <c r="W286" i="1" s="1"/>
  <c r="T286" i="1"/>
  <c r="U286" i="1" s="1"/>
  <c r="R286" i="1"/>
  <c r="S286" i="1" s="1"/>
  <c r="P286" i="1"/>
  <c r="Q286" i="1" s="1"/>
  <c r="N286" i="1"/>
  <c r="O286" i="1" s="1"/>
  <c r="R285" i="1"/>
  <c r="T285" i="1"/>
  <c r="V285" i="1"/>
  <c r="P285" i="1"/>
  <c r="N285" i="1"/>
  <c r="W489" i="1"/>
  <c r="O489" i="1"/>
  <c r="K378" i="1" l="1"/>
  <c r="G378" i="1"/>
  <c r="W453" i="1"/>
  <c r="U453" i="1"/>
  <c r="S453" i="1"/>
  <c r="Q453" i="1"/>
  <c r="N453" i="1"/>
  <c r="O453" i="1" s="1"/>
  <c r="M453" i="1"/>
  <c r="V454" i="1"/>
  <c r="W454" i="1" s="1"/>
  <c r="T454" i="1"/>
  <c r="U454" i="1" s="1"/>
  <c r="R454" i="1"/>
  <c r="S454" i="1" s="1"/>
  <c r="P454" i="1"/>
  <c r="Q454" i="1" s="1"/>
  <c r="N454" i="1"/>
  <c r="O454" i="1" s="1"/>
  <c r="L454" i="1"/>
  <c r="M454" i="1" s="1"/>
  <c r="J454" i="1"/>
  <c r="K454" i="1" s="1"/>
  <c r="G454" i="1"/>
  <c r="G455" i="1"/>
  <c r="G453" i="1"/>
  <c r="S442" i="1" l="1"/>
  <c r="Q442" i="1"/>
  <c r="M442" i="1"/>
  <c r="K442" i="1"/>
  <c r="W442" i="1"/>
  <c r="U442" i="1"/>
  <c r="O442" i="1"/>
  <c r="G442" i="1"/>
  <c r="I442" i="1"/>
  <c r="G458" i="1" l="1"/>
  <c r="G376" i="1" l="1"/>
  <c r="G373" i="1"/>
  <c r="G327" i="1"/>
  <c r="F366" i="1" l="1"/>
  <c r="W477" i="1"/>
  <c r="U477" i="1"/>
  <c r="S477" i="1"/>
  <c r="Q477" i="1"/>
  <c r="O477" i="1"/>
  <c r="N366" i="1" l="1"/>
  <c r="O366" i="1" s="1"/>
  <c r="L366" i="1"/>
  <c r="M366" i="1" s="1"/>
  <c r="V366" i="1"/>
  <c r="W366" i="1" s="1"/>
  <c r="T366" i="1"/>
  <c r="U366" i="1" s="1"/>
  <c r="R366" i="1"/>
  <c r="S366" i="1" s="1"/>
  <c r="P366" i="1"/>
  <c r="Q366" i="1" s="1"/>
  <c r="L128" i="1"/>
  <c r="M128" i="1" s="1"/>
  <c r="O128" i="1"/>
  <c r="J128" i="1"/>
  <c r="K128" i="1" s="1"/>
  <c r="Q128" i="1"/>
  <c r="V128" i="1"/>
  <c r="W128" i="1" s="1"/>
  <c r="T128" i="1"/>
  <c r="U128" i="1" s="1"/>
  <c r="R128" i="1"/>
  <c r="S128" i="1" s="1"/>
  <c r="G366" i="1"/>
  <c r="G266" i="1"/>
  <c r="G128" i="1"/>
  <c r="G488" i="1"/>
  <c r="G372" i="1" l="1"/>
  <c r="G206" i="1"/>
  <c r="G309" i="1" l="1"/>
  <c r="G209" i="1" l="1"/>
  <c r="W121" i="1"/>
  <c r="U121" i="1"/>
  <c r="S121" i="1"/>
  <c r="Q121" i="1"/>
  <c r="O121" i="1"/>
  <c r="M121" i="1"/>
  <c r="W116" i="1"/>
  <c r="U116" i="1"/>
  <c r="S116" i="1"/>
  <c r="Q116" i="1"/>
  <c r="O116" i="1"/>
  <c r="M116" i="1"/>
  <c r="F310" i="1"/>
  <c r="H310" i="1" s="1"/>
  <c r="R514" i="1" l="1"/>
  <c r="S514" i="1" s="1"/>
  <c r="P514" i="1"/>
  <c r="Q514" i="1" s="1"/>
  <c r="N514" i="1"/>
  <c r="O514" i="1" s="1"/>
  <c r="L514" i="1"/>
  <c r="M514" i="1" s="1"/>
  <c r="J514" i="1"/>
  <c r="K514" i="1" s="1"/>
  <c r="H514" i="1"/>
  <c r="I514" i="1" s="1"/>
  <c r="V514" i="1"/>
  <c r="W514" i="1" s="1"/>
  <c r="T514" i="1"/>
  <c r="U514" i="1" s="1"/>
  <c r="P310" i="1"/>
  <c r="Q310" i="1" s="1"/>
  <c r="N310" i="1"/>
  <c r="O310" i="1" s="1"/>
  <c r="L310" i="1"/>
  <c r="M310" i="1" s="1"/>
  <c r="J310" i="1"/>
  <c r="K310" i="1" s="1"/>
  <c r="I310" i="1"/>
  <c r="V310" i="1"/>
  <c r="W310" i="1" s="1"/>
  <c r="T310" i="1"/>
  <c r="U310" i="1" s="1"/>
  <c r="R310" i="1"/>
  <c r="S310" i="1" s="1"/>
  <c r="V328" i="1"/>
  <c r="W328" i="1" s="1"/>
  <c r="T328" i="1"/>
  <c r="U328" i="1" s="1"/>
  <c r="R328" i="1"/>
  <c r="S328" i="1" s="1"/>
  <c r="P328" i="1"/>
  <c r="Q328" i="1" s="1"/>
  <c r="N328" i="1"/>
  <c r="O328" i="1" s="1"/>
  <c r="L328" i="1"/>
  <c r="M328" i="1" s="1"/>
  <c r="J328" i="1"/>
  <c r="K328" i="1" s="1"/>
  <c r="I328" i="1"/>
  <c r="P428" i="1"/>
  <c r="Q428" i="1" s="1"/>
  <c r="T428" i="1"/>
  <c r="U428" i="1" s="1"/>
  <c r="N428" i="1"/>
  <c r="O428" i="1" s="1"/>
  <c r="L428" i="1"/>
  <c r="M428" i="1" s="1"/>
  <c r="J428" i="1"/>
  <c r="K428" i="1" s="1"/>
  <c r="I428" i="1"/>
  <c r="V428" i="1"/>
  <c r="W428" i="1" s="1"/>
  <c r="R428" i="1"/>
  <c r="S428" i="1" s="1"/>
  <c r="G310" i="1"/>
  <c r="G262" i="1"/>
  <c r="U27" i="1" l="1"/>
  <c r="S27" i="1"/>
  <c r="Q27" i="1"/>
  <c r="O27" i="1"/>
  <c r="M27" i="1"/>
  <c r="G274" i="1" l="1"/>
  <c r="G270" i="1"/>
  <c r="F591" i="1" l="1"/>
  <c r="R591" i="1" l="1"/>
  <c r="S591" i="1" s="1"/>
  <c r="T591" i="1"/>
  <c r="U591" i="1" s="1"/>
  <c r="V591" i="1"/>
  <c r="W591" i="1" s="1"/>
  <c r="H591" i="1"/>
  <c r="I591" i="1" s="1"/>
  <c r="L591" i="1"/>
  <c r="M591" i="1" s="1"/>
  <c r="N591" i="1"/>
  <c r="O591" i="1" s="1"/>
  <c r="J591" i="1"/>
  <c r="K591" i="1" s="1"/>
  <c r="P591" i="1"/>
  <c r="Q591" i="1" s="1"/>
  <c r="N601" i="1"/>
  <c r="O601" i="1" s="1"/>
  <c r="P601" i="1"/>
  <c r="Q601" i="1" s="1"/>
  <c r="R601" i="1"/>
  <c r="S601" i="1" s="1"/>
  <c r="T601" i="1"/>
  <c r="U601" i="1" s="1"/>
  <c r="H601" i="1"/>
  <c r="I601" i="1" s="1"/>
  <c r="L601" i="1"/>
  <c r="M601" i="1" s="1"/>
  <c r="J601" i="1"/>
  <c r="K601" i="1" s="1"/>
  <c r="V601" i="1"/>
  <c r="W601" i="1" s="1"/>
  <c r="T354" i="1"/>
  <c r="U354" i="1" s="1"/>
  <c r="R354" i="1"/>
  <c r="S354" i="1" s="1"/>
  <c r="P354" i="1"/>
  <c r="Q354" i="1" s="1"/>
  <c r="N354" i="1"/>
  <c r="O354" i="1" s="1"/>
  <c r="L354" i="1"/>
  <c r="M354" i="1" s="1"/>
  <c r="V354" i="1"/>
  <c r="W354" i="1" s="1"/>
  <c r="I528" i="1"/>
  <c r="R528" i="1"/>
  <c r="S528" i="1" s="1"/>
  <c r="N528" i="1"/>
  <c r="O528" i="1" s="1"/>
  <c r="V528" i="1"/>
  <c r="W528" i="1" s="1"/>
  <c r="T528" i="1"/>
  <c r="U528" i="1" s="1"/>
  <c r="P528" i="1"/>
  <c r="Q528" i="1" s="1"/>
  <c r="W114" i="1" l="1"/>
  <c r="U114" i="1"/>
  <c r="S114" i="1"/>
  <c r="Q114" i="1"/>
  <c r="O114" i="1"/>
  <c r="M114" i="1"/>
  <c r="W119" i="1"/>
  <c r="U119" i="1"/>
  <c r="S119" i="1"/>
  <c r="Q119" i="1"/>
  <c r="O119" i="1"/>
  <c r="M119" i="1"/>
  <c r="S117" i="1"/>
  <c r="F63" i="1" l="1"/>
  <c r="P63" i="1" l="1"/>
  <c r="Q63" i="1" s="1"/>
  <c r="N63" i="1"/>
  <c r="O63" i="1" s="1"/>
  <c r="L63" i="1"/>
  <c r="M63" i="1" s="1"/>
  <c r="J63" i="1"/>
  <c r="K63" i="1" s="1"/>
  <c r="R63" i="1"/>
  <c r="S63" i="1" s="1"/>
  <c r="V63" i="1"/>
  <c r="W63" i="1" s="1"/>
  <c r="T63" i="1"/>
  <c r="U63" i="1" s="1"/>
  <c r="G63" i="1"/>
  <c r="G64" i="1" l="1"/>
  <c r="K64" i="1"/>
  <c r="M64" i="1"/>
  <c r="O64" i="1"/>
  <c r="Q64" i="1"/>
  <c r="S64" i="1"/>
  <c r="U64" i="1"/>
  <c r="W64" i="1"/>
  <c r="V124" i="1" l="1"/>
  <c r="W124" i="1" s="1"/>
  <c r="U124" i="1"/>
  <c r="S124" i="1"/>
  <c r="Q124" i="1"/>
  <c r="O124" i="1"/>
  <c r="M124" i="1"/>
  <c r="G124" i="1"/>
  <c r="G486" i="1" l="1"/>
  <c r="G304" i="1"/>
  <c r="G62" i="1" l="1"/>
  <c r="V363" i="1" l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G596" i="1"/>
  <c r="R430" i="1" l="1"/>
  <c r="S430" i="1" s="1"/>
  <c r="P430" i="1"/>
  <c r="Q430" i="1" s="1"/>
  <c r="N430" i="1"/>
  <c r="O430" i="1" s="1"/>
  <c r="L430" i="1"/>
  <c r="M430" i="1" s="1"/>
  <c r="V430" i="1"/>
  <c r="W430" i="1" s="1"/>
  <c r="J430" i="1"/>
  <c r="K430" i="1" s="1"/>
  <c r="I430" i="1"/>
  <c r="T430" i="1"/>
  <c r="U430" i="1" s="1"/>
  <c r="H534" i="1" l="1"/>
  <c r="L534" i="1"/>
  <c r="M534" i="1" s="1"/>
  <c r="J534" i="1"/>
  <c r="K534" i="1" s="1"/>
  <c r="P533" i="1"/>
  <c r="Q533" i="1" s="1"/>
  <c r="N533" i="1"/>
  <c r="O533" i="1" s="1"/>
  <c r="L533" i="1"/>
  <c r="M533" i="1" s="1"/>
  <c r="V533" i="1"/>
  <c r="W533" i="1" s="1"/>
  <c r="T533" i="1"/>
  <c r="U533" i="1" s="1"/>
  <c r="H533" i="1"/>
  <c r="I533" i="1" s="1"/>
  <c r="R533" i="1"/>
  <c r="S533" i="1" s="1"/>
  <c r="J533" i="1"/>
  <c r="K533" i="1" s="1"/>
  <c r="R534" i="1"/>
  <c r="S534" i="1" s="1"/>
  <c r="V534" i="1"/>
  <c r="W534" i="1" s="1"/>
  <c r="P534" i="1"/>
  <c r="Q534" i="1" s="1"/>
  <c r="N534" i="1"/>
  <c r="O534" i="1" s="1"/>
  <c r="T534" i="1"/>
  <c r="U534" i="1" s="1"/>
  <c r="I534" i="1"/>
  <c r="G534" i="1"/>
  <c r="G533" i="1"/>
  <c r="V435" i="1" l="1"/>
  <c r="W435" i="1" s="1"/>
  <c r="T435" i="1"/>
  <c r="U435" i="1" s="1"/>
  <c r="R435" i="1"/>
  <c r="S435" i="1" s="1"/>
  <c r="P435" i="1"/>
  <c r="Q435" i="1" s="1"/>
  <c r="N435" i="1"/>
  <c r="O435" i="1" s="1"/>
  <c r="L435" i="1"/>
  <c r="M435" i="1" s="1"/>
  <c r="J435" i="1"/>
  <c r="K435" i="1" s="1"/>
  <c r="I435" i="1"/>
  <c r="P434" i="1"/>
  <c r="Q434" i="1" s="1"/>
  <c r="N434" i="1"/>
  <c r="O434" i="1" s="1"/>
  <c r="L434" i="1"/>
  <c r="M434" i="1" s="1"/>
  <c r="J434" i="1"/>
  <c r="K434" i="1" s="1"/>
  <c r="I434" i="1"/>
  <c r="T434" i="1"/>
  <c r="U434" i="1" s="1"/>
  <c r="V434" i="1"/>
  <c r="W434" i="1" s="1"/>
  <c r="R434" i="1"/>
  <c r="S434" i="1" s="1"/>
  <c r="G435" i="1"/>
  <c r="I692" i="1" l="1"/>
  <c r="I693" i="1"/>
  <c r="K693" i="1" l="1"/>
  <c r="G693" i="1"/>
  <c r="V572" i="1" l="1"/>
  <c r="W572" i="1" s="1"/>
  <c r="T572" i="1"/>
  <c r="U572" i="1" s="1"/>
  <c r="R572" i="1"/>
  <c r="S572" i="1" s="1"/>
  <c r="P572" i="1"/>
  <c r="Q572" i="1" s="1"/>
  <c r="N572" i="1"/>
  <c r="O572" i="1" s="1"/>
  <c r="G572" i="1"/>
  <c r="F648" i="1" l="1"/>
  <c r="V648" i="1" l="1"/>
  <c r="W648" i="1" s="1"/>
  <c r="T648" i="1"/>
  <c r="U648" i="1" s="1"/>
  <c r="R648" i="1"/>
  <c r="S648" i="1" s="1"/>
  <c r="P648" i="1"/>
  <c r="Q648" i="1" s="1"/>
  <c r="N648" i="1"/>
  <c r="O648" i="1" s="1"/>
  <c r="L648" i="1"/>
  <c r="M648" i="1" s="1"/>
  <c r="J648" i="1"/>
  <c r="K648" i="1" s="1"/>
  <c r="H648" i="1"/>
  <c r="G648" i="1" l="1"/>
  <c r="I648" i="1"/>
  <c r="U520" i="1" l="1"/>
  <c r="W519" i="1"/>
  <c r="O519" i="1" l="1"/>
  <c r="I519" i="1"/>
  <c r="K519" i="1"/>
  <c r="M519" i="1"/>
  <c r="Q519" i="1"/>
  <c r="S519" i="1"/>
  <c r="U519" i="1"/>
  <c r="W520" i="1"/>
  <c r="M520" i="1"/>
  <c r="O520" i="1"/>
  <c r="K520" i="1"/>
  <c r="Q520" i="1"/>
  <c r="S520" i="1"/>
  <c r="G520" i="1"/>
  <c r="I520" i="1"/>
  <c r="G519" i="1"/>
  <c r="G582" i="1" l="1"/>
  <c r="G612" i="1" l="1"/>
  <c r="G611" i="1"/>
  <c r="W679" i="1" l="1"/>
  <c r="U679" i="1"/>
  <c r="S679" i="1"/>
  <c r="Q679" i="1"/>
  <c r="O679" i="1"/>
  <c r="M679" i="1"/>
  <c r="K679" i="1"/>
  <c r="I679" i="1"/>
  <c r="W678" i="1"/>
  <c r="U678" i="1"/>
  <c r="S678" i="1"/>
  <c r="Q678" i="1"/>
  <c r="O678" i="1"/>
  <c r="M678" i="1"/>
  <c r="I678" i="1"/>
  <c r="F615" i="1" l="1"/>
  <c r="T615" i="1" l="1"/>
  <c r="U615" i="1" s="1"/>
  <c r="R615" i="1"/>
  <c r="S615" i="1" s="1"/>
  <c r="P615" i="1"/>
  <c r="Q615" i="1" s="1"/>
  <c r="N615" i="1"/>
  <c r="O615" i="1" s="1"/>
  <c r="L615" i="1"/>
  <c r="M615" i="1" s="1"/>
  <c r="J615" i="1"/>
  <c r="K615" i="1" s="1"/>
  <c r="V615" i="1"/>
  <c r="W615" i="1" s="1"/>
  <c r="H615" i="1"/>
  <c r="I615" i="1" s="1"/>
  <c r="G615" i="1"/>
  <c r="G610" i="1"/>
  <c r="Q658" i="1" l="1"/>
  <c r="S658" i="1"/>
  <c r="U658" i="1"/>
  <c r="O658" i="1"/>
  <c r="G658" i="1"/>
  <c r="W658" i="1"/>
  <c r="G677" i="1"/>
  <c r="W674" i="1" l="1"/>
  <c r="S674" i="1"/>
  <c r="O674" i="1"/>
  <c r="K674" i="1"/>
  <c r="G674" i="1"/>
  <c r="M674" i="1" l="1"/>
  <c r="Q674" i="1"/>
  <c r="U674" i="1"/>
  <c r="F682" i="1" l="1"/>
  <c r="L682" i="1" l="1"/>
  <c r="M682" i="1" s="1"/>
  <c r="N682" i="1"/>
  <c r="O682" i="1" s="1"/>
  <c r="J682" i="1"/>
  <c r="K682" i="1" s="1"/>
  <c r="V682" i="1"/>
  <c r="W682" i="1" s="1"/>
  <c r="T682" i="1"/>
  <c r="U682" i="1" s="1"/>
  <c r="P682" i="1"/>
  <c r="Q682" i="1" s="1"/>
  <c r="R682" i="1"/>
  <c r="S682" i="1" s="1"/>
  <c r="T614" i="1"/>
  <c r="U614" i="1" s="1"/>
  <c r="R614" i="1"/>
  <c r="S614" i="1" s="1"/>
  <c r="P614" i="1"/>
  <c r="Q614" i="1" s="1"/>
  <c r="N614" i="1"/>
  <c r="O614" i="1" s="1"/>
  <c r="L614" i="1"/>
  <c r="M614" i="1" s="1"/>
  <c r="J614" i="1"/>
  <c r="K614" i="1" s="1"/>
  <c r="H614" i="1"/>
  <c r="I614" i="1" s="1"/>
  <c r="V614" i="1"/>
  <c r="W614" i="1" s="1"/>
  <c r="G653" i="1"/>
  <c r="G651" i="1"/>
  <c r="F532" i="1"/>
  <c r="H532" i="1" l="1"/>
  <c r="J532" i="1"/>
  <c r="K532" i="1" s="1"/>
  <c r="L532" i="1"/>
  <c r="M532" i="1" s="1"/>
  <c r="V521" i="1"/>
  <c r="W521" i="1" s="1"/>
  <c r="T521" i="1"/>
  <c r="U521" i="1" s="1"/>
  <c r="R521" i="1"/>
  <c r="S521" i="1" s="1"/>
  <c r="I521" i="1"/>
  <c r="P521" i="1"/>
  <c r="Q521" i="1" s="1"/>
  <c r="N521" i="1"/>
  <c r="O521" i="1" s="1"/>
  <c r="T536" i="1"/>
  <c r="U536" i="1" s="1"/>
  <c r="R536" i="1"/>
  <c r="S536" i="1" s="1"/>
  <c r="P536" i="1"/>
  <c r="Q536" i="1" s="1"/>
  <c r="I536" i="1"/>
  <c r="N536" i="1"/>
  <c r="O536" i="1" s="1"/>
  <c r="V536" i="1"/>
  <c r="W536" i="1" s="1"/>
  <c r="I543" i="1"/>
  <c r="V543" i="1"/>
  <c r="W543" i="1" s="1"/>
  <c r="P543" i="1"/>
  <c r="Q543" i="1" s="1"/>
  <c r="T543" i="1"/>
  <c r="U543" i="1" s="1"/>
  <c r="R543" i="1"/>
  <c r="S543" i="1" s="1"/>
  <c r="N543" i="1"/>
  <c r="O543" i="1" s="1"/>
  <c r="I530" i="1"/>
  <c r="V530" i="1"/>
  <c r="W530" i="1" s="1"/>
  <c r="R530" i="1"/>
  <c r="S530" i="1" s="1"/>
  <c r="P530" i="1"/>
  <c r="Q530" i="1" s="1"/>
  <c r="T530" i="1"/>
  <c r="U530" i="1" s="1"/>
  <c r="N530" i="1"/>
  <c r="O530" i="1" s="1"/>
  <c r="V523" i="1"/>
  <c r="W523" i="1" s="1"/>
  <c r="T523" i="1"/>
  <c r="U523" i="1" s="1"/>
  <c r="N523" i="1"/>
  <c r="O523" i="1" s="1"/>
  <c r="R523" i="1"/>
  <c r="S523" i="1" s="1"/>
  <c r="I523" i="1"/>
  <c r="P523" i="1"/>
  <c r="Q523" i="1" s="1"/>
  <c r="P532" i="1"/>
  <c r="Q532" i="1" s="1"/>
  <c r="N532" i="1"/>
  <c r="O532" i="1" s="1"/>
  <c r="R532" i="1"/>
  <c r="S532" i="1" s="1"/>
  <c r="V532" i="1"/>
  <c r="W532" i="1" s="1"/>
  <c r="T532" i="1"/>
  <c r="U532" i="1" s="1"/>
  <c r="I532" i="1"/>
  <c r="F375" i="1"/>
  <c r="F251" i="1"/>
  <c r="V223" i="1"/>
  <c r="F205" i="1"/>
  <c r="L251" i="1" l="1"/>
  <c r="M251" i="1" s="1"/>
  <c r="J251" i="1"/>
  <c r="K251" i="1" s="1"/>
  <c r="H251" i="1"/>
  <c r="I251" i="1" s="1"/>
  <c r="V251" i="1"/>
  <c r="W251" i="1" s="1"/>
  <c r="T251" i="1"/>
  <c r="U251" i="1" s="1"/>
  <c r="R251" i="1"/>
  <c r="S251" i="1" s="1"/>
  <c r="P251" i="1"/>
  <c r="Q251" i="1" s="1"/>
  <c r="N251" i="1"/>
  <c r="O251" i="1" s="1"/>
  <c r="R298" i="1"/>
  <c r="S298" i="1" s="1"/>
  <c r="P298" i="1"/>
  <c r="Q298" i="1" s="1"/>
  <c r="N298" i="1"/>
  <c r="O298" i="1" s="1"/>
  <c r="L298" i="1"/>
  <c r="M298" i="1" s="1"/>
  <c r="J298" i="1"/>
  <c r="K298" i="1" s="1"/>
  <c r="I298" i="1"/>
  <c r="V298" i="1"/>
  <c r="W298" i="1" s="1"/>
  <c r="T298" i="1"/>
  <c r="U298" i="1" s="1"/>
  <c r="I198" i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J198" i="1"/>
  <c r="K198" i="1" s="1"/>
  <c r="V205" i="1"/>
  <c r="W205" i="1" s="1"/>
  <c r="T205" i="1"/>
  <c r="U205" i="1" s="1"/>
  <c r="R205" i="1"/>
  <c r="S205" i="1" s="1"/>
  <c r="P205" i="1"/>
  <c r="Q205" i="1" s="1"/>
  <c r="N205" i="1"/>
  <c r="O205" i="1" s="1"/>
  <c r="L205" i="1"/>
  <c r="M205" i="1" s="1"/>
  <c r="J205" i="1"/>
  <c r="K205" i="1" s="1"/>
  <c r="V431" i="1"/>
  <c r="W431" i="1" s="1"/>
  <c r="T431" i="1"/>
  <c r="U431" i="1" s="1"/>
  <c r="R431" i="1"/>
  <c r="S431" i="1" s="1"/>
  <c r="P431" i="1"/>
  <c r="Q431" i="1" s="1"/>
  <c r="N431" i="1"/>
  <c r="O431" i="1" s="1"/>
  <c r="L431" i="1"/>
  <c r="M431" i="1" s="1"/>
  <c r="J431" i="1"/>
  <c r="K431" i="1" s="1"/>
  <c r="I431" i="1"/>
  <c r="N375" i="1"/>
  <c r="O375" i="1" s="1"/>
  <c r="L375" i="1"/>
  <c r="M375" i="1" s="1"/>
  <c r="V375" i="1"/>
  <c r="W375" i="1" s="1"/>
  <c r="T375" i="1"/>
  <c r="U375" i="1" s="1"/>
  <c r="R375" i="1"/>
  <c r="S375" i="1" s="1"/>
  <c r="P375" i="1"/>
  <c r="Q375" i="1" s="1"/>
  <c r="I223" i="1"/>
  <c r="P223" i="1"/>
  <c r="R223" i="1"/>
  <c r="J223" i="1"/>
  <c r="N223" i="1"/>
  <c r="T223" i="1"/>
  <c r="L223" i="1"/>
  <c r="G14" i="1"/>
  <c r="U14" i="1" l="1"/>
  <c r="S14" i="1"/>
  <c r="Q14" i="1"/>
  <c r="O14" i="1"/>
  <c r="M14" i="1"/>
  <c r="K14" i="1"/>
  <c r="I14" i="1"/>
  <c r="T380" i="1" l="1"/>
  <c r="U380" i="1" s="1"/>
  <c r="R380" i="1"/>
  <c r="S380" i="1" s="1"/>
  <c r="P380" i="1"/>
  <c r="Q380" i="1" s="1"/>
  <c r="N380" i="1"/>
  <c r="O380" i="1" s="1"/>
  <c r="L380" i="1"/>
  <c r="M380" i="1" s="1"/>
  <c r="V380" i="1"/>
  <c r="W380" i="1" s="1"/>
  <c r="G29" i="1"/>
  <c r="F592" i="1"/>
  <c r="F537" i="1"/>
  <c r="F526" i="1"/>
  <c r="F525" i="1"/>
  <c r="L525" i="1" l="1"/>
  <c r="M525" i="1" s="1"/>
  <c r="J525" i="1"/>
  <c r="K525" i="1" s="1"/>
  <c r="H525" i="1"/>
  <c r="I525" i="1" s="1"/>
  <c r="V525" i="1"/>
  <c r="W525" i="1" s="1"/>
  <c r="R525" i="1"/>
  <c r="S525" i="1" s="1"/>
  <c r="P525" i="1"/>
  <c r="Q525" i="1" s="1"/>
  <c r="T525" i="1"/>
  <c r="U525" i="1" s="1"/>
  <c r="N525" i="1"/>
  <c r="O525" i="1" s="1"/>
  <c r="L526" i="1"/>
  <c r="M526" i="1" s="1"/>
  <c r="H526" i="1"/>
  <c r="I526" i="1" s="1"/>
  <c r="J526" i="1"/>
  <c r="K526" i="1" s="1"/>
  <c r="T592" i="1"/>
  <c r="U592" i="1" s="1"/>
  <c r="V592" i="1"/>
  <c r="W592" i="1" s="1"/>
  <c r="H592" i="1"/>
  <c r="I592" i="1" s="1"/>
  <c r="J592" i="1"/>
  <c r="K592" i="1" s="1"/>
  <c r="L592" i="1"/>
  <c r="M592" i="1" s="1"/>
  <c r="N592" i="1"/>
  <c r="O592" i="1" s="1"/>
  <c r="P592" i="1"/>
  <c r="Q592" i="1" s="1"/>
  <c r="R592" i="1"/>
  <c r="S592" i="1" s="1"/>
  <c r="R535" i="1"/>
  <c r="S535" i="1" s="1"/>
  <c r="P535" i="1"/>
  <c r="Q535" i="1" s="1"/>
  <c r="N535" i="1"/>
  <c r="O535" i="1" s="1"/>
  <c r="L535" i="1"/>
  <c r="M535" i="1" s="1"/>
  <c r="J535" i="1"/>
  <c r="K535" i="1" s="1"/>
  <c r="V535" i="1"/>
  <c r="W535" i="1" s="1"/>
  <c r="H535" i="1"/>
  <c r="I535" i="1" s="1"/>
  <c r="T535" i="1"/>
  <c r="U535" i="1" s="1"/>
  <c r="L537" i="1"/>
  <c r="M537" i="1" s="1"/>
  <c r="J537" i="1"/>
  <c r="K537" i="1" s="1"/>
  <c r="H537" i="1"/>
  <c r="I537" i="1" s="1"/>
  <c r="N550" i="1"/>
  <c r="O550" i="1" s="1"/>
  <c r="I550" i="1"/>
  <c r="V526" i="1"/>
  <c r="W526" i="1" s="1"/>
  <c r="T526" i="1"/>
  <c r="U526" i="1" s="1"/>
  <c r="N526" i="1"/>
  <c r="O526" i="1" s="1"/>
  <c r="R526" i="1"/>
  <c r="S526" i="1" s="1"/>
  <c r="P526" i="1"/>
  <c r="Q526" i="1" s="1"/>
  <c r="I531" i="1"/>
  <c r="N531" i="1"/>
  <c r="O531" i="1" s="1"/>
  <c r="R531" i="1"/>
  <c r="S531" i="1" s="1"/>
  <c r="V531" i="1"/>
  <c r="W531" i="1" s="1"/>
  <c r="T531" i="1"/>
  <c r="U531" i="1" s="1"/>
  <c r="P531" i="1"/>
  <c r="Q531" i="1" s="1"/>
  <c r="V537" i="1"/>
  <c r="W537" i="1" s="1"/>
  <c r="T537" i="1"/>
  <c r="U537" i="1" s="1"/>
  <c r="R537" i="1"/>
  <c r="S537" i="1" s="1"/>
  <c r="N537" i="1"/>
  <c r="O537" i="1" s="1"/>
  <c r="P537" i="1"/>
  <c r="Q537" i="1" s="1"/>
  <c r="G521" i="1"/>
  <c r="F471" i="1"/>
  <c r="F421" i="1"/>
  <c r="P421" i="1" l="1"/>
  <c r="Q421" i="1" s="1"/>
  <c r="N421" i="1"/>
  <c r="O421" i="1" s="1"/>
  <c r="L421" i="1"/>
  <c r="M421" i="1" s="1"/>
  <c r="J421" i="1"/>
  <c r="K421" i="1" s="1"/>
  <c r="H421" i="1"/>
  <c r="I421" i="1" s="1"/>
  <c r="V421" i="1"/>
  <c r="W421" i="1" s="1"/>
  <c r="T421" i="1"/>
  <c r="U421" i="1" s="1"/>
  <c r="R421" i="1"/>
  <c r="S421" i="1" s="1"/>
  <c r="T471" i="1"/>
  <c r="U471" i="1" s="1"/>
  <c r="R471" i="1"/>
  <c r="S471" i="1" s="1"/>
  <c r="P471" i="1"/>
  <c r="Q471" i="1" s="1"/>
  <c r="J471" i="1"/>
  <c r="K471" i="1" s="1"/>
  <c r="N471" i="1"/>
  <c r="O471" i="1" s="1"/>
  <c r="V471" i="1"/>
  <c r="W471" i="1" s="1"/>
  <c r="L471" i="1"/>
  <c r="M471" i="1" s="1"/>
  <c r="F396" i="1"/>
  <c r="F369" i="1"/>
  <c r="F348" i="1"/>
  <c r="F347" i="1"/>
  <c r="F345" i="1"/>
  <c r="F343" i="1"/>
  <c r="F341" i="1"/>
  <c r="F280" i="1"/>
  <c r="F278" i="1"/>
  <c r="F276" i="1"/>
  <c r="F232" i="1"/>
  <c r="F227" i="1"/>
  <c r="F226" i="1"/>
  <c r="F145" i="1"/>
  <c r="F96" i="1"/>
  <c r="N102" i="1" l="1"/>
  <c r="H102" i="1"/>
  <c r="N104" i="1"/>
  <c r="H104" i="1"/>
  <c r="I104" i="1" s="1"/>
  <c r="T96" i="1"/>
  <c r="U96" i="1" s="1"/>
  <c r="R96" i="1"/>
  <c r="S96" i="1" s="1"/>
  <c r="P96" i="1"/>
  <c r="Q96" i="1" s="1"/>
  <c r="N96" i="1"/>
  <c r="O96" i="1" s="1"/>
  <c r="L96" i="1"/>
  <c r="M96" i="1" s="1"/>
  <c r="J96" i="1"/>
  <c r="K96" i="1" s="1"/>
  <c r="V96" i="1"/>
  <c r="W96" i="1" s="1"/>
  <c r="O102" i="1"/>
  <c r="L102" i="1"/>
  <c r="M102" i="1" s="1"/>
  <c r="J102" i="1"/>
  <c r="K102" i="1" s="1"/>
  <c r="I102" i="1"/>
  <c r="P102" i="1"/>
  <c r="Q102" i="1" s="1"/>
  <c r="V102" i="1"/>
  <c r="W102" i="1" s="1"/>
  <c r="T102" i="1"/>
  <c r="U102" i="1" s="1"/>
  <c r="R102" i="1"/>
  <c r="S102" i="1" s="1"/>
  <c r="T99" i="1"/>
  <c r="U99" i="1" s="1"/>
  <c r="R99" i="1"/>
  <c r="S99" i="1" s="1"/>
  <c r="P99" i="1"/>
  <c r="Q99" i="1" s="1"/>
  <c r="O99" i="1"/>
  <c r="L99" i="1"/>
  <c r="M99" i="1" s="1"/>
  <c r="J99" i="1"/>
  <c r="K99" i="1" s="1"/>
  <c r="I99" i="1"/>
  <c r="V99" i="1"/>
  <c r="W99" i="1" s="1"/>
  <c r="T100" i="1"/>
  <c r="U100" i="1" s="1"/>
  <c r="R100" i="1"/>
  <c r="S100" i="1" s="1"/>
  <c r="P100" i="1"/>
  <c r="Q100" i="1" s="1"/>
  <c r="L100" i="1"/>
  <c r="M100" i="1" s="1"/>
  <c r="O100" i="1"/>
  <c r="I100" i="1"/>
  <c r="J100" i="1"/>
  <c r="K100" i="1" s="1"/>
  <c r="V100" i="1"/>
  <c r="W100" i="1" s="1"/>
  <c r="O104" i="1"/>
  <c r="L104" i="1"/>
  <c r="M104" i="1" s="1"/>
  <c r="J104" i="1"/>
  <c r="K104" i="1" s="1"/>
  <c r="V104" i="1"/>
  <c r="W104" i="1" s="1"/>
  <c r="T104" i="1"/>
  <c r="U104" i="1" s="1"/>
  <c r="R104" i="1"/>
  <c r="S104" i="1" s="1"/>
  <c r="P104" i="1"/>
  <c r="Q104" i="1" s="1"/>
  <c r="J155" i="1"/>
  <c r="V155" i="1"/>
  <c r="R155" i="1"/>
  <c r="T155" i="1"/>
  <c r="P155" i="1"/>
  <c r="N155" i="1"/>
  <c r="L155" i="1"/>
  <c r="H155" i="1"/>
  <c r="I316" i="1"/>
  <c r="V316" i="1"/>
  <c r="W316" i="1" s="1"/>
  <c r="T316" i="1"/>
  <c r="U316" i="1" s="1"/>
  <c r="J316" i="1"/>
  <c r="K316" i="1" s="1"/>
  <c r="R316" i="1"/>
  <c r="S316" i="1" s="1"/>
  <c r="P316" i="1"/>
  <c r="Q316" i="1" s="1"/>
  <c r="N316" i="1"/>
  <c r="O316" i="1" s="1"/>
  <c r="L316" i="1"/>
  <c r="M316" i="1" s="1"/>
  <c r="V226" i="1"/>
  <c r="W226" i="1" s="1"/>
  <c r="T226" i="1"/>
  <c r="U226" i="1" s="1"/>
  <c r="R226" i="1"/>
  <c r="S226" i="1" s="1"/>
  <c r="P226" i="1"/>
  <c r="Q226" i="1" s="1"/>
  <c r="J226" i="1"/>
  <c r="K226" i="1" s="1"/>
  <c r="N226" i="1"/>
  <c r="O226" i="1" s="1"/>
  <c r="L226" i="1"/>
  <c r="M226" i="1" s="1"/>
  <c r="N227" i="1"/>
  <c r="O227" i="1" s="1"/>
  <c r="L227" i="1"/>
  <c r="M227" i="1" s="1"/>
  <c r="J227" i="1"/>
  <c r="K227" i="1" s="1"/>
  <c r="P227" i="1"/>
  <c r="Q227" i="1" s="1"/>
  <c r="V227" i="1"/>
  <c r="W227" i="1" s="1"/>
  <c r="T227" i="1"/>
  <c r="U227" i="1" s="1"/>
  <c r="R227" i="1"/>
  <c r="S227" i="1" s="1"/>
  <c r="J276" i="1"/>
  <c r="K276" i="1" s="1"/>
  <c r="H276" i="1"/>
  <c r="I276" i="1" s="1"/>
  <c r="L276" i="1"/>
  <c r="M276" i="1" s="1"/>
  <c r="V276" i="1"/>
  <c r="W276" i="1" s="1"/>
  <c r="T276" i="1"/>
  <c r="U276" i="1" s="1"/>
  <c r="R276" i="1"/>
  <c r="S276" i="1" s="1"/>
  <c r="P276" i="1"/>
  <c r="Q276" i="1" s="1"/>
  <c r="N276" i="1"/>
  <c r="O276" i="1" s="1"/>
  <c r="R228" i="1"/>
  <c r="S228" i="1" s="1"/>
  <c r="P228" i="1"/>
  <c r="Q228" i="1" s="1"/>
  <c r="N228" i="1"/>
  <c r="O228" i="1" s="1"/>
  <c r="L228" i="1"/>
  <c r="M228" i="1" s="1"/>
  <c r="J228" i="1"/>
  <c r="K228" i="1" s="1"/>
  <c r="V228" i="1"/>
  <c r="W228" i="1" s="1"/>
  <c r="T228" i="1"/>
  <c r="U228" i="1" s="1"/>
  <c r="N232" i="1"/>
  <c r="O232" i="1" s="1"/>
  <c r="L232" i="1"/>
  <c r="M232" i="1" s="1"/>
  <c r="J232" i="1"/>
  <c r="K232" i="1" s="1"/>
  <c r="P232" i="1"/>
  <c r="Q232" i="1" s="1"/>
  <c r="V232" i="1"/>
  <c r="W232" i="1" s="1"/>
  <c r="T232" i="1"/>
  <c r="U232" i="1" s="1"/>
  <c r="R232" i="1"/>
  <c r="S232" i="1" s="1"/>
  <c r="P278" i="1"/>
  <c r="Q278" i="1" s="1"/>
  <c r="R278" i="1"/>
  <c r="S278" i="1" s="1"/>
  <c r="N278" i="1"/>
  <c r="O278" i="1" s="1"/>
  <c r="L278" i="1"/>
  <c r="M278" i="1" s="1"/>
  <c r="J278" i="1"/>
  <c r="K278" i="1" s="1"/>
  <c r="H278" i="1"/>
  <c r="I278" i="1" s="1"/>
  <c r="V278" i="1"/>
  <c r="W278" i="1" s="1"/>
  <c r="T278" i="1"/>
  <c r="U278" i="1" s="1"/>
  <c r="H280" i="1"/>
  <c r="I280" i="1" s="1"/>
  <c r="T154" i="1"/>
  <c r="U154" i="1" s="1"/>
  <c r="R154" i="1"/>
  <c r="S154" i="1" s="1"/>
  <c r="P154" i="1"/>
  <c r="Q154" i="1" s="1"/>
  <c r="N154" i="1"/>
  <c r="O154" i="1" s="1"/>
  <c r="L154" i="1"/>
  <c r="M154" i="1" s="1"/>
  <c r="J154" i="1"/>
  <c r="K154" i="1" s="1"/>
  <c r="V154" i="1"/>
  <c r="W154" i="1" s="1"/>
  <c r="R195" i="1"/>
  <c r="S195" i="1" s="1"/>
  <c r="P195" i="1"/>
  <c r="Q195" i="1" s="1"/>
  <c r="N195" i="1"/>
  <c r="O195" i="1" s="1"/>
  <c r="L195" i="1"/>
  <c r="M195" i="1" s="1"/>
  <c r="T195" i="1"/>
  <c r="U195" i="1" s="1"/>
  <c r="V195" i="1"/>
  <c r="W195" i="1" s="1"/>
  <c r="T279" i="1"/>
  <c r="U279" i="1" s="1"/>
  <c r="R279" i="1"/>
  <c r="S279" i="1" s="1"/>
  <c r="P279" i="1"/>
  <c r="Q279" i="1" s="1"/>
  <c r="N279" i="1"/>
  <c r="O279" i="1" s="1"/>
  <c r="L279" i="1"/>
  <c r="M279" i="1" s="1"/>
  <c r="J279" i="1"/>
  <c r="K279" i="1" s="1"/>
  <c r="H279" i="1"/>
  <c r="I279" i="1" s="1"/>
  <c r="V279" i="1"/>
  <c r="W279" i="1" s="1"/>
  <c r="N341" i="1"/>
  <c r="O341" i="1" s="1"/>
  <c r="L341" i="1"/>
  <c r="M341" i="1" s="1"/>
  <c r="L396" i="1"/>
  <c r="M396" i="1" s="1"/>
  <c r="N396" i="1"/>
  <c r="O396" i="1" s="1"/>
  <c r="P396" i="1"/>
  <c r="Q396" i="1" s="1"/>
  <c r="R396" i="1"/>
  <c r="S396" i="1" s="1"/>
  <c r="T396" i="1"/>
  <c r="U396" i="1" s="1"/>
  <c r="V396" i="1"/>
  <c r="W396" i="1" s="1"/>
  <c r="T343" i="1"/>
  <c r="U343" i="1" s="1"/>
  <c r="R343" i="1"/>
  <c r="S343" i="1" s="1"/>
  <c r="P343" i="1"/>
  <c r="Q343" i="1" s="1"/>
  <c r="N343" i="1"/>
  <c r="O343" i="1" s="1"/>
  <c r="L343" i="1"/>
  <c r="M343" i="1" s="1"/>
  <c r="V343" i="1"/>
  <c r="W343" i="1" s="1"/>
  <c r="N345" i="1"/>
  <c r="O345" i="1" s="1"/>
  <c r="L345" i="1"/>
  <c r="M345" i="1" s="1"/>
  <c r="V345" i="1"/>
  <c r="W345" i="1" s="1"/>
  <c r="T345" i="1"/>
  <c r="U345" i="1" s="1"/>
  <c r="R345" i="1"/>
  <c r="S345" i="1" s="1"/>
  <c r="P345" i="1"/>
  <c r="Q345" i="1" s="1"/>
  <c r="V347" i="1"/>
  <c r="W347" i="1" s="1"/>
  <c r="T347" i="1"/>
  <c r="U347" i="1" s="1"/>
  <c r="R347" i="1"/>
  <c r="S347" i="1" s="1"/>
  <c r="P347" i="1"/>
  <c r="Q347" i="1" s="1"/>
  <c r="N347" i="1"/>
  <c r="O347" i="1" s="1"/>
  <c r="L347" i="1"/>
  <c r="M347" i="1" s="1"/>
  <c r="R369" i="1"/>
  <c r="S369" i="1" s="1"/>
  <c r="P369" i="1"/>
  <c r="Q369" i="1" s="1"/>
  <c r="N369" i="1"/>
  <c r="O369" i="1" s="1"/>
  <c r="L369" i="1"/>
  <c r="M369" i="1" s="1"/>
  <c r="V369" i="1"/>
  <c r="W369" i="1" s="1"/>
  <c r="T369" i="1"/>
  <c r="U369" i="1" s="1"/>
  <c r="P348" i="1"/>
  <c r="Q348" i="1" s="1"/>
  <c r="N348" i="1"/>
  <c r="O348" i="1" s="1"/>
  <c r="L348" i="1"/>
  <c r="M348" i="1" s="1"/>
  <c r="L145" i="1"/>
  <c r="M145" i="1" s="1"/>
  <c r="J145" i="1"/>
  <c r="K145" i="1" s="1"/>
  <c r="H145" i="1"/>
  <c r="I145" i="1" s="1"/>
  <c r="W329" i="1"/>
  <c r="U329" i="1"/>
  <c r="S329" i="1"/>
  <c r="Q329" i="1"/>
  <c r="O329" i="1"/>
  <c r="M329" i="1"/>
  <c r="N145" i="1"/>
  <c r="O145" i="1" s="1"/>
  <c r="T145" i="1"/>
  <c r="U145" i="1" s="1"/>
  <c r="P145" i="1"/>
  <c r="Q145" i="1" s="1"/>
  <c r="V145" i="1"/>
  <c r="W145" i="1" s="1"/>
  <c r="R145" i="1"/>
  <c r="S145" i="1" s="1"/>
  <c r="G619" i="1" l="1"/>
  <c r="G363" i="1"/>
  <c r="G362" i="1" l="1"/>
  <c r="G433" i="1" l="1"/>
  <c r="G434" i="1"/>
  <c r="G430" i="1"/>
  <c r="G431" i="1"/>
  <c r="G243" i="1"/>
  <c r="J11" i="1" l="1"/>
  <c r="G11" i="1"/>
  <c r="I448" i="1" l="1"/>
  <c r="G248" i="1" l="1"/>
  <c r="G250" i="1" l="1"/>
  <c r="V361" i="1" l="1"/>
  <c r="W361" i="1" s="1"/>
  <c r="T361" i="1"/>
  <c r="U361" i="1" s="1"/>
  <c r="R361" i="1"/>
  <c r="S361" i="1" s="1"/>
  <c r="P361" i="1"/>
  <c r="Q361" i="1" s="1"/>
  <c r="N361" i="1"/>
  <c r="O361" i="1" s="1"/>
  <c r="L361" i="1"/>
  <c r="M361" i="1" s="1"/>
  <c r="G361" i="1"/>
  <c r="G409" i="1"/>
  <c r="G514" i="1" l="1"/>
  <c r="T694" i="1"/>
  <c r="U694" i="1" s="1"/>
  <c r="R694" i="1"/>
  <c r="S694" i="1" s="1"/>
  <c r="P694" i="1"/>
  <c r="Q694" i="1" s="1"/>
  <c r="N694" i="1"/>
  <c r="O694" i="1" s="1"/>
  <c r="L694" i="1"/>
  <c r="M694" i="1" s="1"/>
  <c r="J694" i="1"/>
  <c r="K694" i="1" s="1"/>
  <c r="T690" i="1"/>
  <c r="R690" i="1"/>
  <c r="P690" i="1"/>
  <c r="N690" i="1"/>
  <c r="L690" i="1"/>
  <c r="J690" i="1"/>
  <c r="W223" i="1" l="1"/>
  <c r="U223" i="1"/>
  <c r="S223" i="1"/>
  <c r="Q223" i="1"/>
  <c r="O223" i="1"/>
  <c r="M223" i="1"/>
  <c r="K223" i="1"/>
  <c r="U186" i="1"/>
  <c r="S186" i="1"/>
  <c r="Q186" i="1"/>
  <c r="O186" i="1"/>
  <c r="M186" i="1"/>
  <c r="J10" i="1"/>
  <c r="I69" i="1"/>
  <c r="W285" i="1"/>
  <c r="U285" i="1"/>
  <c r="S285" i="1"/>
  <c r="Q285" i="1"/>
  <c r="O285" i="1"/>
  <c r="V379" i="1" l="1"/>
  <c r="W379" i="1" s="1"/>
  <c r="T379" i="1"/>
  <c r="U379" i="1" s="1"/>
  <c r="R379" i="1"/>
  <c r="S379" i="1" s="1"/>
  <c r="P379" i="1"/>
  <c r="Q379" i="1" s="1"/>
  <c r="N379" i="1"/>
  <c r="O379" i="1" s="1"/>
  <c r="L379" i="1"/>
  <c r="M379" i="1" s="1"/>
  <c r="G437" i="1"/>
  <c r="L697" i="1" l="1"/>
  <c r="M697" i="1" s="1"/>
  <c r="J697" i="1"/>
  <c r="K697" i="1" s="1"/>
  <c r="T697" i="1"/>
  <c r="U697" i="1" s="1"/>
  <c r="R697" i="1"/>
  <c r="S697" i="1" s="1"/>
  <c r="P697" i="1"/>
  <c r="Q697" i="1" s="1"/>
  <c r="N697" i="1"/>
  <c r="O697" i="1" s="1"/>
  <c r="R698" i="1"/>
  <c r="S698" i="1" s="1"/>
  <c r="P698" i="1"/>
  <c r="Q698" i="1" s="1"/>
  <c r="N698" i="1"/>
  <c r="O698" i="1" s="1"/>
  <c r="L698" i="1"/>
  <c r="M698" i="1" s="1"/>
  <c r="J698" i="1"/>
  <c r="K698" i="1" s="1"/>
  <c r="T698" i="1"/>
  <c r="U698" i="1" s="1"/>
  <c r="P695" i="1"/>
  <c r="Q695" i="1" s="1"/>
  <c r="N695" i="1"/>
  <c r="O695" i="1" s="1"/>
  <c r="L695" i="1"/>
  <c r="M695" i="1" s="1"/>
  <c r="J695" i="1"/>
  <c r="K695" i="1" s="1"/>
  <c r="R695" i="1"/>
  <c r="S695" i="1" s="1"/>
  <c r="T695" i="1"/>
  <c r="U695" i="1" s="1"/>
  <c r="V593" i="1" l="1"/>
  <c r="W593" i="1" s="1"/>
  <c r="H593" i="1"/>
  <c r="I593" i="1" s="1"/>
  <c r="J593" i="1"/>
  <c r="K593" i="1" s="1"/>
  <c r="L593" i="1"/>
  <c r="M593" i="1" s="1"/>
  <c r="P593" i="1"/>
  <c r="Q593" i="1" s="1"/>
  <c r="R593" i="1"/>
  <c r="S593" i="1" s="1"/>
  <c r="N593" i="1"/>
  <c r="O593" i="1" s="1"/>
  <c r="T593" i="1"/>
  <c r="U593" i="1" s="1"/>
  <c r="U448" i="1"/>
  <c r="S448" i="1"/>
  <c r="Q448" i="1"/>
  <c r="O448" i="1"/>
  <c r="M448" i="1"/>
  <c r="K448" i="1"/>
  <c r="G448" i="1"/>
  <c r="G523" i="1" l="1"/>
  <c r="G522" i="1"/>
  <c r="U140" i="1"/>
  <c r="W140" i="1"/>
  <c r="S140" i="1"/>
  <c r="Q140" i="1"/>
  <c r="O140" i="1"/>
  <c r="M140" i="1"/>
  <c r="K140" i="1"/>
  <c r="W139" i="1"/>
  <c r="U139" i="1"/>
  <c r="S139" i="1"/>
  <c r="Q139" i="1"/>
  <c r="O139" i="1"/>
  <c r="M139" i="1"/>
  <c r="K139" i="1"/>
  <c r="G412" i="1" l="1"/>
  <c r="G536" i="1" l="1"/>
  <c r="U489" i="1" l="1"/>
  <c r="S489" i="1"/>
  <c r="Q489" i="1"/>
  <c r="M489" i="1"/>
  <c r="K503" i="1"/>
  <c r="I503" i="1"/>
  <c r="K502" i="1"/>
  <c r="I502" i="1"/>
  <c r="G496" i="1" l="1"/>
  <c r="Q496" i="1" l="1"/>
  <c r="O496" i="1"/>
  <c r="M496" i="1"/>
  <c r="W496" i="1"/>
  <c r="K496" i="1"/>
  <c r="U496" i="1"/>
  <c r="S496" i="1"/>
  <c r="I496" i="1"/>
  <c r="G425" i="1" l="1"/>
  <c r="F16" i="1" l="1"/>
  <c r="H16" i="1" s="1"/>
  <c r="F17" i="1"/>
  <c r="H17" i="1" s="1"/>
  <c r="N161" i="1" l="1"/>
  <c r="O161" i="1" s="1"/>
  <c r="J161" i="1"/>
  <c r="K161" i="1" s="1"/>
  <c r="L161" i="1"/>
  <c r="M161" i="1" s="1"/>
  <c r="V194" i="1"/>
  <c r="W194" i="1" s="1"/>
  <c r="T194" i="1"/>
  <c r="U194" i="1" s="1"/>
  <c r="R194" i="1"/>
  <c r="S194" i="1" s="1"/>
  <c r="P194" i="1"/>
  <c r="Q194" i="1" s="1"/>
  <c r="N194" i="1"/>
  <c r="O194" i="1" s="1"/>
  <c r="L194" i="1"/>
  <c r="M194" i="1" s="1"/>
  <c r="V229" i="1"/>
  <c r="W229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T233" i="1"/>
  <c r="U233" i="1" s="1"/>
  <c r="R233" i="1"/>
  <c r="S233" i="1" s="1"/>
  <c r="P233" i="1"/>
  <c r="Q233" i="1" s="1"/>
  <c r="V233" i="1"/>
  <c r="W233" i="1" s="1"/>
  <c r="N233" i="1"/>
  <c r="O233" i="1" s="1"/>
  <c r="H233" i="1"/>
  <c r="I233" i="1" s="1"/>
  <c r="L233" i="1"/>
  <c r="M233" i="1" s="1"/>
  <c r="J233" i="1"/>
  <c r="K233" i="1" s="1"/>
  <c r="I155" i="1"/>
  <c r="W155" i="1"/>
  <c r="U155" i="1"/>
  <c r="S155" i="1"/>
  <c r="Q155" i="1"/>
  <c r="O155" i="1"/>
  <c r="M155" i="1"/>
  <c r="K155" i="1"/>
  <c r="G595" i="1"/>
  <c r="G418" i="1" l="1"/>
  <c r="V524" i="1" l="1"/>
  <c r="W524" i="1" s="1"/>
  <c r="I524" i="1"/>
  <c r="T524" i="1"/>
  <c r="U524" i="1" s="1"/>
  <c r="P524" i="1"/>
  <c r="Q524" i="1" s="1"/>
  <c r="R524" i="1"/>
  <c r="S524" i="1" s="1"/>
  <c r="N524" i="1"/>
  <c r="O524" i="1" s="1"/>
  <c r="G524" i="1"/>
  <c r="G387" i="1" l="1"/>
  <c r="F547" i="1" l="1"/>
  <c r="P547" i="1" l="1"/>
  <c r="Q547" i="1" s="1"/>
  <c r="N547" i="1"/>
  <c r="O547" i="1" s="1"/>
  <c r="L547" i="1"/>
  <c r="M547" i="1" s="1"/>
  <c r="J547" i="1"/>
  <c r="K547" i="1" s="1"/>
  <c r="H547" i="1"/>
  <c r="I547" i="1" s="1"/>
  <c r="V547" i="1"/>
  <c r="W547" i="1" s="1"/>
  <c r="T547" i="1"/>
  <c r="U547" i="1" s="1"/>
  <c r="R547" i="1"/>
  <c r="S547" i="1" s="1"/>
  <c r="G547" i="1"/>
  <c r="G389" i="1" l="1"/>
  <c r="G385" i="1" l="1"/>
  <c r="G682" i="1" l="1"/>
  <c r="G576" i="1"/>
  <c r="G614" i="1"/>
  <c r="G100" i="1"/>
  <c r="G461" i="1" l="1"/>
  <c r="G681" i="1"/>
  <c r="F462" i="1"/>
  <c r="H464" i="1" l="1"/>
  <c r="I464" i="1" s="1"/>
  <c r="R464" i="1"/>
  <c r="S464" i="1" s="1"/>
  <c r="V464" i="1"/>
  <c r="W464" i="1" s="1"/>
  <c r="T464" i="1"/>
  <c r="U464" i="1" s="1"/>
  <c r="N464" i="1"/>
  <c r="O464" i="1" s="1"/>
  <c r="L464" i="1"/>
  <c r="M464" i="1" s="1"/>
  <c r="J464" i="1"/>
  <c r="K464" i="1" s="1"/>
  <c r="P464" i="1"/>
  <c r="Q464" i="1" s="1"/>
  <c r="H463" i="1"/>
  <c r="I463" i="1" s="1"/>
  <c r="R463" i="1"/>
  <c r="S463" i="1" s="1"/>
  <c r="V463" i="1"/>
  <c r="W463" i="1" s="1"/>
  <c r="T463" i="1"/>
  <c r="U463" i="1" s="1"/>
  <c r="N463" i="1"/>
  <c r="O463" i="1" s="1"/>
  <c r="L463" i="1"/>
  <c r="M463" i="1" s="1"/>
  <c r="J463" i="1"/>
  <c r="K463" i="1" s="1"/>
  <c r="P463" i="1"/>
  <c r="Q463" i="1" s="1"/>
  <c r="R462" i="1"/>
  <c r="S462" i="1" s="1"/>
  <c r="L462" i="1"/>
  <c r="M462" i="1" s="1"/>
  <c r="P462" i="1"/>
  <c r="Q462" i="1" s="1"/>
  <c r="N462" i="1"/>
  <c r="O462" i="1" s="1"/>
  <c r="H462" i="1"/>
  <c r="I462" i="1" s="1"/>
  <c r="V462" i="1"/>
  <c r="W462" i="1" s="1"/>
  <c r="J462" i="1"/>
  <c r="K462" i="1" s="1"/>
  <c r="T462" i="1"/>
  <c r="U462" i="1" s="1"/>
  <c r="G462" i="1"/>
  <c r="G463" i="1"/>
  <c r="G464" i="1"/>
  <c r="G386" i="1" l="1"/>
  <c r="W146" i="1" l="1"/>
  <c r="U146" i="1"/>
  <c r="S146" i="1"/>
  <c r="Q146" i="1"/>
  <c r="O146" i="1"/>
  <c r="M146" i="1"/>
  <c r="K146" i="1"/>
  <c r="W478" i="1"/>
  <c r="W474" i="1"/>
  <c r="W473" i="1"/>
  <c r="U478" i="1"/>
  <c r="U474" i="1"/>
  <c r="U473" i="1"/>
  <c r="S478" i="1"/>
  <c r="S474" i="1"/>
  <c r="S473" i="1"/>
  <c r="Q478" i="1"/>
  <c r="Q474" i="1"/>
  <c r="Q473" i="1"/>
  <c r="O478" i="1"/>
  <c r="O474" i="1"/>
  <c r="O473" i="1"/>
  <c r="G476" i="1"/>
  <c r="G477" i="1"/>
  <c r="G478" i="1"/>
  <c r="G475" i="1"/>
  <c r="G474" i="1"/>
  <c r="G473" i="1"/>
  <c r="G353" i="1" l="1"/>
  <c r="F513" i="1" l="1"/>
  <c r="N513" i="1" l="1"/>
  <c r="O513" i="1" s="1"/>
  <c r="L513" i="1"/>
  <c r="M513" i="1" s="1"/>
  <c r="J513" i="1"/>
  <c r="K513" i="1" s="1"/>
  <c r="H513" i="1"/>
  <c r="I513" i="1" s="1"/>
  <c r="T513" i="1"/>
  <c r="U513" i="1" s="1"/>
  <c r="R513" i="1"/>
  <c r="S513" i="1" s="1"/>
  <c r="P513" i="1"/>
  <c r="Q513" i="1" s="1"/>
  <c r="V513" i="1"/>
  <c r="W513" i="1" s="1"/>
  <c r="M126" i="1"/>
  <c r="F548" i="1" l="1"/>
  <c r="L548" i="1" l="1"/>
  <c r="M548" i="1" s="1"/>
  <c r="J548" i="1"/>
  <c r="K548" i="1" s="1"/>
  <c r="H548" i="1"/>
  <c r="I548" i="1" s="1"/>
  <c r="P548" i="1"/>
  <c r="Q548" i="1" s="1"/>
  <c r="N548" i="1"/>
  <c r="O548" i="1" s="1"/>
  <c r="V548" i="1"/>
  <c r="W548" i="1" s="1"/>
  <c r="R548" i="1"/>
  <c r="S548" i="1" s="1"/>
  <c r="T548" i="1"/>
  <c r="U548" i="1" s="1"/>
  <c r="G293" i="1" l="1"/>
  <c r="V540" i="1" l="1"/>
  <c r="W540" i="1" s="1"/>
  <c r="I540" i="1"/>
  <c r="T540" i="1"/>
  <c r="U540" i="1" s="1"/>
  <c r="N540" i="1"/>
  <c r="O540" i="1" s="1"/>
  <c r="R540" i="1"/>
  <c r="S540" i="1" s="1"/>
  <c r="P540" i="1"/>
  <c r="Q540" i="1" s="1"/>
  <c r="T538" i="1"/>
  <c r="U538" i="1" s="1"/>
  <c r="V538" i="1"/>
  <c r="W538" i="1" s="1"/>
  <c r="R538" i="1"/>
  <c r="S538" i="1" s="1"/>
  <c r="N538" i="1"/>
  <c r="O538" i="1" s="1"/>
  <c r="I538" i="1"/>
  <c r="P538" i="1"/>
  <c r="Q538" i="1" s="1"/>
  <c r="G538" i="1"/>
  <c r="G375" i="1"/>
  <c r="F364" i="1" l="1"/>
  <c r="F180" i="1"/>
  <c r="F179" i="1"/>
  <c r="F178" i="1"/>
  <c r="F177" i="1"/>
  <c r="H177" i="1" s="1"/>
  <c r="F176" i="1"/>
  <c r="F175" i="1"/>
  <c r="P175" i="1" l="1"/>
  <c r="Q175" i="1" s="1"/>
  <c r="N175" i="1"/>
  <c r="O175" i="1" s="1"/>
  <c r="L175" i="1"/>
  <c r="M175" i="1" s="1"/>
  <c r="J175" i="1"/>
  <c r="K175" i="1" s="1"/>
  <c r="T175" i="1"/>
  <c r="U175" i="1" s="1"/>
  <c r="R175" i="1"/>
  <c r="S175" i="1" s="1"/>
  <c r="H175" i="1"/>
  <c r="I175" i="1" s="1"/>
  <c r="V175" i="1"/>
  <c r="W175" i="1" s="1"/>
  <c r="R178" i="1"/>
  <c r="S178" i="1" s="1"/>
  <c r="P178" i="1"/>
  <c r="Q178" i="1" s="1"/>
  <c r="N178" i="1"/>
  <c r="O178" i="1" s="1"/>
  <c r="L178" i="1"/>
  <c r="M178" i="1" s="1"/>
  <c r="J178" i="1"/>
  <c r="K178" i="1" s="1"/>
  <c r="T178" i="1"/>
  <c r="U178" i="1" s="1"/>
  <c r="V176" i="1"/>
  <c r="W176" i="1" s="1"/>
  <c r="R176" i="1"/>
  <c r="S176" i="1" s="1"/>
  <c r="T176" i="1"/>
  <c r="U176" i="1" s="1"/>
  <c r="P176" i="1"/>
  <c r="Q176" i="1" s="1"/>
  <c r="N176" i="1"/>
  <c r="O176" i="1" s="1"/>
  <c r="L176" i="1"/>
  <c r="M176" i="1" s="1"/>
  <c r="J176" i="1"/>
  <c r="K176" i="1" s="1"/>
  <c r="H176" i="1"/>
  <c r="I176" i="1" s="1"/>
  <c r="N179" i="1"/>
  <c r="O179" i="1" s="1"/>
  <c r="L179" i="1"/>
  <c r="M179" i="1" s="1"/>
  <c r="J179" i="1"/>
  <c r="K179" i="1" s="1"/>
  <c r="V179" i="1"/>
  <c r="W179" i="1" s="1"/>
  <c r="T179" i="1"/>
  <c r="U179" i="1" s="1"/>
  <c r="P179" i="1"/>
  <c r="Q179" i="1" s="1"/>
  <c r="R179" i="1"/>
  <c r="S179" i="1" s="1"/>
  <c r="H179" i="1"/>
  <c r="I179" i="1" s="1"/>
  <c r="R180" i="1"/>
  <c r="S180" i="1" s="1"/>
  <c r="N180" i="1"/>
  <c r="O180" i="1" s="1"/>
  <c r="L180" i="1"/>
  <c r="M180" i="1" s="1"/>
  <c r="J180" i="1"/>
  <c r="K180" i="1" s="1"/>
  <c r="H180" i="1"/>
  <c r="I180" i="1" s="1"/>
  <c r="T180" i="1"/>
  <c r="U180" i="1" s="1"/>
  <c r="P180" i="1"/>
  <c r="Q180" i="1" s="1"/>
  <c r="V180" i="1"/>
  <c r="W180" i="1" s="1"/>
  <c r="T177" i="1"/>
  <c r="U177" i="1" s="1"/>
  <c r="R177" i="1"/>
  <c r="S177" i="1" s="1"/>
  <c r="P177" i="1"/>
  <c r="Q177" i="1" s="1"/>
  <c r="N177" i="1"/>
  <c r="O177" i="1" s="1"/>
  <c r="L177" i="1"/>
  <c r="M177" i="1" s="1"/>
  <c r="J177" i="1"/>
  <c r="K177" i="1" s="1"/>
  <c r="I177" i="1"/>
  <c r="R364" i="1"/>
  <c r="S364" i="1" s="1"/>
  <c r="P364" i="1"/>
  <c r="Q364" i="1" s="1"/>
  <c r="N364" i="1"/>
  <c r="O364" i="1" s="1"/>
  <c r="L364" i="1"/>
  <c r="M364" i="1" s="1"/>
  <c r="T364" i="1"/>
  <c r="U364" i="1" s="1"/>
  <c r="T129" i="1" l="1"/>
  <c r="U129" i="1" s="1"/>
  <c r="R129" i="1"/>
  <c r="S129" i="1" s="1"/>
  <c r="Q129" i="1"/>
  <c r="V129" i="1"/>
  <c r="W129" i="1" s="1"/>
  <c r="O129" i="1"/>
  <c r="L129" i="1"/>
  <c r="M129" i="1" s="1"/>
  <c r="J129" i="1"/>
  <c r="K129" i="1" s="1"/>
  <c r="T696" i="1"/>
  <c r="U696" i="1" s="1"/>
  <c r="R696" i="1"/>
  <c r="S696" i="1" s="1"/>
  <c r="P696" i="1"/>
  <c r="Q696" i="1" s="1"/>
  <c r="N696" i="1"/>
  <c r="O696" i="1" s="1"/>
  <c r="L696" i="1"/>
  <c r="M696" i="1" s="1"/>
  <c r="J696" i="1"/>
  <c r="K696" i="1" s="1"/>
  <c r="G408" i="1"/>
  <c r="O709" i="1" l="1"/>
  <c r="V446" i="1" l="1"/>
  <c r="W446" i="1" s="1"/>
  <c r="T446" i="1"/>
  <c r="U446" i="1" s="1"/>
  <c r="R446" i="1"/>
  <c r="S446" i="1" s="1"/>
  <c r="P446" i="1"/>
  <c r="Q446" i="1" s="1"/>
  <c r="N446" i="1"/>
  <c r="O446" i="1" s="1"/>
  <c r="L446" i="1"/>
  <c r="M446" i="1" s="1"/>
  <c r="J446" i="1"/>
  <c r="K446" i="1" s="1"/>
  <c r="G325" i="1" l="1"/>
  <c r="F358" i="1" l="1"/>
  <c r="T358" i="1" l="1"/>
  <c r="U358" i="1" s="1"/>
  <c r="R358" i="1"/>
  <c r="S358" i="1" s="1"/>
  <c r="P358" i="1"/>
  <c r="Q358" i="1" s="1"/>
  <c r="N358" i="1"/>
  <c r="O358" i="1" s="1"/>
  <c r="L358" i="1"/>
  <c r="M358" i="1" s="1"/>
  <c r="V358" i="1"/>
  <c r="W358" i="1" s="1"/>
  <c r="G697" i="1"/>
  <c r="G543" i="1" l="1"/>
  <c r="G542" i="1" l="1"/>
  <c r="G531" i="1" l="1"/>
  <c r="G526" i="1"/>
  <c r="G525" i="1" l="1"/>
  <c r="G276" i="1" l="1"/>
  <c r="G273" i="1"/>
  <c r="G256" i="1" l="1"/>
  <c r="G251" i="1"/>
  <c r="G617" i="1" l="1"/>
  <c r="G618" i="1"/>
  <c r="G512" i="1" l="1"/>
  <c r="G208" i="1" l="1"/>
  <c r="G207" i="1" l="1"/>
  <c r="G223" i="1"/>
  <c r="G589" i="1" l="1"/>
  <c r="G588" i="1"/>
  <c r="G374" i="1" l="1"/>
  <c r="G255" i="1" l="1"/>
  <c r="G388" i="1" l="1"/>
  <c r="G179" i="1" l="1"/>
  <c r="G180" i="1"/>
  <c r="G176" i="1" l="1"/>
  <c r="G178" i="1"/>
  <c r="G177" i="1"/>
  <c r="G175" i="1"/>
  <c r="G172" i="1"/>
  <c r="G169" i="1"/>
  <c r="I169" i="1"/>
  <c r="G443" i="1" l="1"/>
  <c r="G313" i="1" l="1"/>
  <c r="W623" i="1" l="1"/>
  <c r="U623" i="1"/>
  <c r="S623" i="1"/>
  <c r="Q623" i="1"/>
  <c r="O623" i="1"/>
  <c r="M623" i="1"/>
  <c r="K623" i="1"/>
  <c r="I623" i="1"/>
  <c r="W552" i="1" l="1"/>
  <c r="U552" i="1"/>
  <c r="S552" i="1"/>
  <c r="Q552" i="1"/>
  <c r="O552" i="1"/>
  <c r="M552" i="1"/>
  <c r="K552" i="1"/>
  <c r="I552" i="1"/>
  <c r="W36" i="1" l="1"/>
  <c r="U36" i="1"/>
  <c r="S36" i="1"/>
  <c r="Q36" i="1"/>
  <c r="O36" i="1"/>
  <c r="G61" i="1"/>
  <c r="U13" i="1"/>
  <c r="S13" i="1"/>
  <c r="Q13" i="1"/>
  <c r="O13" i="1"/>
  <c r="M13" i="1"/>
  <c r="K13" i="1"/>
  <c r="G436" i="1" l="1"/>
  <c r="G281" i="1"/>
  <c r="G275" i="1" l="1"/>
  <c r="G530" i="1" l="1"/>
  <c r="G529" i="1" l="1"/>
  <c r="G190" i="1"/>
  <c r="G189" i="1"/>
  <c r="G186" i="1"/>
  <c r="W181" i="1"/>
  <c r="U181" i="1"/>
  <c r="S181" i="1"/>
  <c r="Q181" i="1"/>
  <c r="O181" i="1"/>
  <c r="K678" i="1"/>
  <c r="G188" i="1" l="1"/>
  <c r="G187" i="1"/>
  <c r="W186" i="1"/>
  <c r="G191" i="1"/>
  <c r="G599" i="1"/>
  <c r="I712" i="1" l="1"/>
  <c r="I711" i="1"/>
  <c r="I709" i="1"/>
  <c r="I710" i="1"/>
  <c r="W709" i="1"/>
  <c r="U709" i="1"/>
  <c r="S709" i="1"/>
  <c r="Q709" i="1"/>
  <c r="M709" i="1"/>
  <c r="K709" i="1"/>
  <c r="W551" i="1" l="1"/>
  <c r="U551" i="1" l="1"/>
  <c r="I551" i="1"/>
  <c r="M551" i="1"/>
  <c r="Q551" i="1"/>
  <c r="K551" i="1"/>
  <c r="O551" i="1"/>
  <c r="S551" i="1"/>
  <c r="G528" i="1" l="1"/>
  <c r="G527" i="1"/>
  <c r="K331" i="1" l="1"/>
  <c r="I511" i="1" l="1"/>
  <c r="G254" i="1" l="1"/>
  <c r="G594" i="1" l="1"/>
  <c r="G609" i="1" l="1"/>
  <c r="G603" i="1"/>
  <c r="G608" i="1"/>
  <c r="G581" i="1" l="1"/>
  <c r="K570" i="1" l="1"/>
  <c r="G574" i="1"/>
  <c r="G586" i="1"/>
  <c r="G575" i="1" l="1"/>
  <c r="G585" i="1"/>
  <c r="G578" i="1"/>
  <c r="I570" i="1"/>
  <c r="G607" i="1"/>
  <c r="G601" i="1"/>
  <c r="G600" i="1"/>
  <c r="G593" i="1"/>
  <c r="G592" i="1"/>
  <c r="G591" i="1"/>
  <c r="G590" i="1"/>
  <c r="G577" i="1"/>
  <c r="G570" i="1"/>
  <c r="G296" i="1" l="1"/>
  <c r="G413" i="1" l="1"/>
  <c r="G295" i="1" l="1"/>
  <c r="G326" i="1"/>
  <c r="G308" i="1"/>
  <c r="G306" i="1"/>
  <c r="G307" i="1"/>
  <c r="I16" i="1"/>
  <c r="I17" i="1"/>
  <c r="G17" i="1"/>
  <c r="G16" i="1"/>
  <c r="N17" i="1"/>
  <c r="G46" i="1"/>
  <c r="G45" i="1"/>
  <c r="W44" i="1"/>
  <c r="U44" i="1"/>
  <c r="S44" i="1"/>
  <c r="Q44" i="1"/>
  <c r="O44" i="1"/>
  <c r="G44" i="1"/>
  <c r="G126" i="1"/>
  <c r="G230" i="1" l="1"/>
  <c r="G416" i="1" l="1"/>
  <c r="G695" i="1" l="1"/>
  <c r="U690" i="1" l="1"/>
  <c r="K690" i="1"/>
  <c r="S690" i="1"/>
  <c r="Q690" i="1"/>
  <c r="O690" i="1"/>
  <c r="M690" i="1"/>
  <c r="G690" i="1"/>
  <c r="K692" i="1"/>
  <c r="G692" i="1"/>
  <c r="G452" i="1" l="1"/>
  <c r="G451" i="1"/>
  <c r="Q58" i="1" l="1"/>
  <c r="M58" i="1"/>
  <c r="K58" i="1"/>
  <c r="W58" i="1"/>
  <c r="U58" i="1"/>
  <c r="S58" i="1"/>
  <c r="O58" i="1"/>
  <c r="G58" i="1"/>
  <c r="G354" i="1" l="1"/>
  <c r="G377" i="1" l="1"/>
  <c r="G303" i="1"/>
  <c r="G234" i="1" l="1"/>
  <c r="G242" i="1"/>
  <c r="G245" i="1" l="1"/>
  <c r="I705" i="1" l="1"/>
  <c r="K705" i="1"/>
  <c r="W705" i="1"/>
  <c r="U705" i="1"/>
  <c r="S705" i="1"/>
  <c r="Q705" i="1"/>
  <c r="O705" i="1"/>
  <c r="M705" i="1"/>
  <c r="W704" i="1"/>
  <c r="U704" i="1"/>
  <c r="S704" i="1"/>
  <c r="Q704" i="1"/>
  <c r="O704" i="1"/>
  <c r="M704" i="1"/>
  <c r="S710" i="1"/>
  <c r="U710" i="1"/>
  <c r="W710" i="1"/>
  <c r="S711" i="1"/>
  <c r="U711" i="1"/>
  <c r="W711" i="1"/>
  <c r="S712" i="1"/>
  <c r="U712" i="1"/>
  <c r="W712" i="1"/>
  <c r="Q712" i="1"/>
  <c r="O712" i="1"/>
  <c r="M712" i="1"/>
  <c r="K712" i="1"/>
  <c r="M122" i="1" l="1"/>
  <c r="M118" i="1"/>
  <c r="M117" i="1"/>
  <c r="M113" i="1"/>
  <c r="M112" i="1"/>
  <c r="O109" i="1"/>
  <c r="O108" i="1"/>
  <c r="Q75" i="1" l="1"/>
  <c r="Q74" i="1"/>
  <c r="Q72" i="1"/>
  <c r="Q70" i="1"/>
  <c r="Q71" i="1"/>
  <c r="W683" i="1" l="1"/>
  <c r="U683" i="1"/>
  <c r="S683" i="1"/>
  <c r="Q683" i="1"/>
  <c r="O683" i="1"/>
  <c r="M683" i="1"/>
  <c r="W511" i="1"/>
  <c r="U511" i="1"/>
  <c r="S511" i="1"/>
  <c r="Q511" i="1"/>
  <c r="O511" i="1"/>
  <c r="M511" i="1"/>
  <c r="K511" i="1"/>
  <c r="Q468" i="1"/>
  <c r="Q449" i="1"/>
  <c r="Q447" i="1"/>
  <c r="G679" i="1" l="1"/>
  <c r="G678" i="1"/>
  <c r="Q185" i="1" l="1"/>
  <c r="Q122" i="1" l="1"/>
  <c r="Q118" i="1"/>
  <c r="Q117" i="1"/>
  <c r="Q113" i="1"/>
  <c r="Q112" i="1"/>
  <c r="Q109" i="1"/>
  <c r="Q108" i="1"/>
  <c r="Q107" i="1"/>
  <c r="Q106" i="1"/>
  <c r="K54" i="1"/>
  <c r="Q54" i="1"/>
  <c r="Q125" i="1" l="1"/>
  <c r="Q47" i="1" l="1"/>
  <c r="Q41" i="1"/>
  <c r="Q39" i="1"/>
  <c r="Q38" i="1"/>
  <c r="Q35" i="1"/>
  <c r="Q30" i="1"/>
  <c r="G548" i="1" l="1"/>
  <c r="G232" i="1"/>
  <c r="G261" i="1" l="1"/>
  <c r="G218" i="1"/>
  <c r="G459" i="1" l="1"/>
  <c r="G411" i="1" l="1"/>
  <c r="G446" i="1"/>
  <c r="G300" i="1"/>
  <c r="G382" i="1"/>
  <c r="Q142" i="1"/>
  <c r="Q141" i="1"/>
  <c r="W39" i="1"/>
  <c r="G129" i="1" l="1"/>
  <c r="G279" i="1" l="1"/>
  <c r="G195" i="1"/>
  <c r="G410" i="1" l="1"/>
  <c r="O72" i="1" l="1"/>
  <c r="G213" i="1"/>
  <c r="G301" i="1" l="1"/>
  <c r="W70" i="1" l="1"/>
  <c r="U70" i="1"/>
  <c r="S70" i="1"/>
  <c r="O70" i="1"/>
  <c r="G298" i="1"/>
  <c r="G395" i="1" l="1"/>
  <c r="G161" i="1" l="1"/>
  <c r="G358" i="1" l="1"/>
  <c r="G696" i="1"/>
  <c r="G698" i="1"/>
  <c r="G456" i="1" l="1"/>
  <c r="G532" i="1" l="1"/>
  <c r="G40" i="1" l="1"/>
  <c r="U39" i="1"/>
  <c r="S39" i="1"/>
  <c r="O39" i="1"/>
  <c r="G39" i="1"/>
  <c r="I630" i="1" l="1"/>
  <c r="G264" i="1" l="1"/>
  <c r="G272" i="1" l="1"/>
  <c r="G265" i="1"/>
  <c r="G164" i="1" l="1"/>
  <c r="V98" i="1" l="1"/>
  <c r="T98" i="1"/>
  <c r="R98" i="1"/>
  <c r="N98" i="1"/>
  <c r="K98" i="1"/>
  <c r="G424" i="1" l="1"/>
  <c r="G540" i="1" l="1"/>
  <c r="G214" i="1" l="1"/>
  <c r="G497" i="1" l="1"/>
  <c r="G427" i="1"/>
  <c r="I738" i="1" l="1"/>
  <c r="M125" i="1"/>
  <c r="W122" i="1"/>
  <c r="W118" i="1"/>
  <c r="W117" i="1"/>
  <c r="W113" i="1"/>
  <c r="W112" i="1"/>
  <c r="U122" i="1"/>
  <c r="U118" i="1"/>
  <c r="U117" i="1"/>
  <c r="U113" i="1"/>
  <c r="U112" i="1"/>
  <c r="S122" i="1"/>
  <c r="S118" i="1"/>
  <c r="S113" i="1"/>
  <c r="S112" i="1"/>
  <c r="O113" i="1"/>
  <c r="O117" i="1"/>
  <c r="O118" i="1"/>
  <c r="O122" i="1"/>
  <c r="O112" i="1"/>
  <c r="W106" i="1"/>
  <c r="W107" i="1"/>
  <c r="W108" i="1"/>
  <c r="W109" i="1"/>
  <c r="U106" i="1"/>
  <c r="U107" i="1"/>
  <c r="U108" i="1"/>
  <c r="U109" i="1"/>
  <c r="S106" i="1"/>
  <c r="S107" i="1"/>
  <c r="S108" i="1"/>
  <c r="S109" i="1"/>
  <c r="W125" i="1" l="1"/>
  <c r="G550" i="1" l="1"/>
  <c r="G549" i="1"/>
  <c r="G535" i="1"/>
  <c r="G537" i="1"/>
  <c r="G546" i="1"/>
  <c r="G545" i="1"/>
  <c r="G489" i="1" l="1"/>
  <c r="G299" i="1" l="1"/>
  <c r="G324" i="1"/>
  <c r="G302" i="1"/>
  <c r="G323" i="1" l="1"/>
  <c r="G229" i="1" l="1"/>
  <c r="G10" i="1"/>
  <c r="G220" i="1" l="1"/>
  <c r="G683" i="1" l="1"/>
  <c r="G221" i="1" l="1"/>
  <c r="O35" i="1"/>
  <c r="G194" i="1" l="1"/>
  <c r="G285" i="1" l="1"/>
  <c r="G287" i="1"/>
  <c r="G286" i="1"/>
  <c r="G414" i="1" l="1"/>
  <c r="G415" i="1"/>
  <c r="S41" i="1" l="1"/>
  <c r="G487" i="1" l="1"/>
  <c r="G694" i="1" l="1"/>
  <c r="G691" i="1"/>
  <c r="G284" i="1"/>
  <c r="G222" i="1"/>
  <c r="G219" i="1"/>
  <c r="G217" i="1"/>
  <c r="G211" i="1"/>
  <c r="G212" i="1"/>
  <c r="G210" i="1"/>
  <c r="G105" i="1"/>
  <c r="G65" i="1"/>
  <c r="G23" i="1"/>
  <c r="G21" i="1"/>
  <c r="G22" i="1"/>
  <c r="G407" i="1" l="1"/>
  <c r="U447" i="1" l="1"/>
  <c r="S447" i="1"/>
  <c r="M447" i="1"/>
  <c r="O447" i="1"/>
  <c r="G447" i="1"/>
  <c r="J495" i="1" l="1"/>
  <c r="J492" i="1"/>
  <c r="J491" i="1"/>
  <c r="J490" i="1"/>
  <c r="J494" i="1"/>
  <c r="J489" i="1"/>
  <c r="G20" i="1" l="1"/>
  <c r="G449" i="1"/>
  <c r="M449" i="1"/>
  <c r="O449" i="1"/>
  <c r="S449" i="1"/>
  <c r="U449" i="1"/>
  <c r="G152" i="1"/>
  <c r="G25" i="1" l="1"/>
  <c r="G539" i="1" l="1"/>
  <c r="G55" i="1" l="1"/>
  <c r="G57" i="1"/>
  <c r="O30" i="1"/>
  <c r="G59" i="1"/>
  <c r="U30" i="1" l="1"/>
  <c r="G205" i="1"/>
  <c r="G28" i="1" l="1"/>
  <c r="G328" i="1"/>
  <c r="O125" i="1"/>
  <c r="S125" i="1"/>
  <c r="U125" i="1"/>
  <c r="G316" i="1" l="1"/>
  <c r="G13" i="1" l="1"/>
  <c r="G513" i="1" l="1"/>
  <c r="G145" i="1" l="1"/>
  <c r="G12" i="1"/>
  <c r="G19" i="1"/>
  <c r="G30" i="1"/>
  <c r="S30" i="1"/>
  <c r="W30" i="1"/>
  <c r="G31" i="1"/>
  <c r="G32" i="1"/>
  <c r="G33" i="1"/>
  <c r="G34" i="1"/>
  <c r="G35" i="1"/>
  <c r="S35" i="1"/>
  <c r="U35" i="1"/>
  <c r="W35" i="1"/>
  <c r="G36" i="1"/>
  <c r="G37" i="1"/>
  <c r="G38" i="1"/>
  <c r="O38" i="1"/>
  <c r="S38" i="1"/>
  <c r="U38" i="1"/>
  <c r="W38" i="1"/>
  <c r="G41" i="1"/>
  <c r="O41" i="1"/>
  <c r="U41" i="1"/>
  <c r="W41" i="1"/>
  <c r="G42" i="1"/>
  <c r="G43" i="1"/>
  <c r="G47" i="1"/>
  <c r="O47" i="1"/>
  <c r="S47" i="1"/>
  <c r="U47" i="1"/>
  <c r="W47" i="1"/>
  <c r="G48" i="1"/>
  <c r="G49" i="1"/>
  <c r="G54" i="1"/>
  <c r="M54" i="1"/>
  <c r="O54" i="1"/>
  <c r="S54" i="1"/>
  <c r="U54" i="1"/>
  <c r="W54" i="1"/>
  <c r="G56" i="1"/>
  <c r="G60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99" i="1"/>
  <c r="G101" i="1"/>
  <c r="G102" i="1"/>
  <c r="G104" i="1"/>
  <c r="G125" i="1"/>
  <c r="G137" i="1"/>
  <c r="Q137" i="1"/>
  <c r="G138" i="1"/>
  <c r="Q138" i="1"/>
  <c r="G141" i="1"/>
  <c r="G142" i="1"/>
  <c r="G146" i="1"/>
  <c r="G154" i="1"/>
  <c r="G155" i="1"/>
  <c r="G185" i="1"/>
  <c r="M185" i="1"/>
  <c r="O185" i="1"/>
  <c r="S185" i="1"/>
  <c r="U185" i="1"/>
  <c r="W185" i="1"/>
  <c r="G192" i="1"/>
  <c r="G198" i="1"/>
  <c r="G216" i="1"/>
  <c r="G224" i="1"/>
  <c r="G225" i="1"/>
  <c r="M225" i="1"/>
  <c r="P225" i="1"/>
  <c r="G226" i="1"/>
  <c r="G227" i="1"/>
  <c r="G228" i="1"/>
  <c r="G233" i="1"/>
  <c r="G263" i="1"/>
  <c r="G278" i="1"/>
  <c r="G280" i="1"/>
  <c r="G288" i="1"/>
  <c r="G289" i="1"/>
  <c r="G329" i="1"/>
  <c r="G331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5" i="1"/>
  <c r="G356" i="1"/>
  <c r="G357" i="1"/>
  <c r="G359" i="1"/>
  <c r="G360" i="1"/>
  <c r="G364" i="1"/>
  <c r="G365" i="1"/>
  <c r="G368" i="1"/>
  <c r="G369" i="1"/>
  <c r="G379" i="1"/>
  <c r="G380" i="1"/>
  <c r="G381" i="1"/>
  <c r="G383" i="1"/>
  <c r="G390" i="1"/>
  <c r="G391" i="1"/>
  <c r="G394" i="1"/>
  <c r="G396" i="1"/>
  <c r="G397" i="1"/>
  <c r="G405" i="1"/>
  <c r="G406" i="1"/>
  <c r="G421" i="1"/>
  <c r="G426" i="1"/>
  <c r="G428" i="1"/>
  <c r="G450" i="1"/>
  <c r="G457" i="1"/>
  <c r="G468" i="1"/>
  <c r="O468" i="1"/>
  <c r="S468" i="1"/>
  <c r="U468" i="1"/>
  <c r="W468" i="1"/>
  <c r="G469" i="1"/>
  <c r="G470" i="1"/>
  <c r="G471" i="1"/>
  <c r="G472" i="1"/>
  <c r="G484" i="1"/>
  <c r="G485" i="1"/>
  <c r="G490" i="1"/>
  <c r="G491" i="1"/>
  <c r="G492" i="1"/>
  <c r="G494" i="1"/>
  <c r="G495" i="1"/>
  <c r="G498" i="1"/>
  <c r="G499" i="1"/>
  <c r="G500" i="1"/>
  <c r="G502" i="1"/>
  <c r="G503" i="1"/>
  <c r="G506" i="1"/>
  <c r="G507" i="1"/>
  <c r="G511" i="1"/>
  <c r="G544" i="1"/>
  <c r="G686" i="1"/>
  <c r="M686" i="1"/>
  <c r="O686" i="1"/>
  <c r="Q686" i="1"/>
  <c r="S686" i="1"/>
  <c r="U686" i="1"/>
  <c r="M702" i="1"/>
  <c r="O702" i="1"/>
  <c r="Q702" i="1"/>
  <c r="S702" i="1"/>
  <c r="U702" i="1"/>
  <c r="W702" i="1"/>
  <c r="K703" i="1"/>
  <c r="M703" i="1"/>
  <c r="O703" i="1"/>
  <c r="Q703" i="1"/>
  <c r="S703" i="1"/>
  <c r="U703" i="1"/>
  <c r="W703" i="1"/>
  <c r="K710" i="1"/>
  <c r="M710" i="1"/>
  <c r="O710" i="1"/>
  <c r="Q710" i="1"/>
  <c r="K711" i="1"/>
  <c r="M711" i="1"/>
  <c r="O711" i="1"/>
  <c r="Q711" i="1"/>
  <c r="M714" i="1"/>
  <c r="Q714" i="1"/>
  <c r="I737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19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2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8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2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0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5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4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<sst xmlns="http://schemas.openxmlformats.org/spreadsheetml/2006/main" count="1192" uniqueCount="986">
  <si>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</si>
  <si>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</si>
  <si>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</si>
  <si>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</si>
  <si>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</si>
  <si>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</si>
  <si>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</si>
  <si>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</si>
  <si>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</si>
  <si>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</si>
  <si>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</si>
  <si>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</si>
  <si>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</si>
  <si>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</si>
  <si>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</si>
  <si>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</si>
  <si>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</si>
  <si>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</si>
  <si>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</si>
  <si>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</si>
  <si>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</si>
  <si>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</si>
  <si>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</si>
  <si>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</si>
  <si>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</si>
  <si>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</si>
  <si>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</si>
  <si>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</si>
  <si>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</si>
  <si>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</si>
  <si>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</si>
  <si>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</si>
  <si>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</si>
  <si>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</si>
  <si>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</si>
  <si>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</si>
  <si>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</si>
  <si>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</si>
  <si>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</si>
  <si>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</si>
  <si>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</si>
  <si>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</si>
  <si>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</si>
  <si>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</si>
  <si>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</si>
  <si>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</si>
  <si>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</si>
  <si>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</si>
  <si>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</si>
  <si>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</si>
  <si>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</si>
  <si>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</si>
  <si>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</si>
  <si>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</si>
  <si>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</si>
  <si>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</si>
  <si>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</si>
  <si>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</si>
  <si>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</si>
  <si>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</si>
  <si>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</si>
  <si>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</si>
  <si>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</si>
  <si>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</si>
  <si>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</si>
  <si>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</si>
  <si>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</si>
  <si>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</si>
  <si>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</si>
  <si>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</si>
  <si>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</si>
  <si>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</si>
  <si>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</si>
  <si>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</si>
  <si>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</si>
  <si>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</si>
  <si>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</si>
  <si>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</si>
  <si>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</si>
  <si>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</si>
  <si>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</si>
  <si>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</si>
  <si>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</si>
  <si>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</si>
  <si>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</si>
  <si>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</si>
  <si>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</si>
  <si>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</si>
  <si>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</si>
  <si>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</si>
  <si>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</si>
  <si>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</si>
  <si>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</si>
  <si>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</si>
  <si>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</si>
  <si>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</si>
  <si>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</si>
  <si>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</si>
  <si>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</si>
  <si>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</si>
  <si>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</si>
  <si>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</si>
  <si>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</si>
  <si>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</si>
  <si>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</si>
  <si>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</si>
  <si>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</si>
  <si>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</si>
  <si>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</si>
  <si>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</si>
  <si>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</si>
  <si>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</si>
  <si>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</si>
  <si>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</si>
  <si>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</si>
  <si>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</si>
  <si>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</si>
  <si>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</si>
  <si>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</si>
  <si>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</si>
  <si>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</si>
  <si>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</si>
  <si>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</si>
  <si>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</si>
  <si>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</si>
  <si>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</si>
  <si>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</si>
  <si>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</si>
  <si>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</si>
  <si>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</si>
  <si>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</si>
  <si>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</si>
  <si>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</si>
  <si>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</si>
  <si>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</si>
  <si>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</si>
  <si>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</si>
  <si>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</si>
  <si>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</si>
  <si>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</si>
  <si>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</si>
  <si>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</si>
  <si>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</si>
  <si>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</si>
  <si>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</si>
  <si>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</si>
  <si>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</si>
  <si>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</si>
  <si>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</si>
  <si>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</si>
  <si>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</si>
  <si>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</si>
  <si>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</si>
  <si>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</si>
  <si>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</si>
  <si>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</si>
  <si>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</si>
  <si>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</si>
  <si>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</si>
  <si>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</si>
  <si>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</si>
  <si>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</si>
  <si>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</si>
  <si>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</si>
  <si>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</si>
  <si>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</si>
  <si>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</si>
  <si>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</si>
  <si>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</si>
  <si>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</si>
  <si>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</si>
  <si>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</si>
  <si>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</si>
  <si>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</si>
  <si>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</si>
  <si>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</si>
  <si>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</si>
  <si>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</si>
  <si>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</si>
  <si>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</si>
  <si>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</si>
  <si>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</si>
  <si>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</si>
  <si>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</si>
  <si>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</si>
  <si>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</si>
  <si>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</si>
  <si>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</si>
  <si>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</si>
  <si>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</si>
  <si>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</si>
  <si>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</si>
  <si>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</si>
  <si>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</si>
  <si>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</si>
  <si>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</si>
  <si>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</si>
  <si>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</si>
  <si>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</si>
  <si>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</si>
  <si>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</si>
  <si>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</si>
  <si>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</si>
  <si>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</si>
  <si>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</si>
  <si>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</si>
  <si>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</si>
  <si>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</si>
  <si>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</si>
  <si>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</si>
  <si>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</si>
  <si>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</si>
  <si>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</si>
  <si>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</si>
  <si>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</si>
  <si>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</si>
  <si>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</si>
  <si>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</si>
  <si>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</si>
  <si>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</si>
  <si>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</si>
  <si>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</si>
  <si>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</si>
  <si>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</si>
  <si>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</si>
  <si>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</si>
  <si>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</si>
  <si>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</si>
  <si>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</si>
  <si>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</si>
  <si>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</si>
  <si>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</si>
  <si>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</si>
  <si>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</si>
  <si>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</si>
  <si>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</si>
  <si>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</si>
  <si>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</si>
  <si>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</si>
  <si>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</si>
  <si>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</si>
  <si>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</si>
  <si>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</si>
  <si>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</si>
  <si>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</si>
  <si>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</si>
  <si>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</si>
  <si>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</si>
  <si>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</si>
  <si>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</si>
  <si>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</si>
  <si>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</si>
  <si>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</si>
  <si>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</si>
  <si>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</si>
  <si>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</si>
  <si>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</si>
  <si>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</si>
  <si>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</si>
  <si>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</si>
  <si>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</si>
  <si>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</si>
  <si>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</si>
  <si>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</si>
  <si>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</si>
  <si>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</si>
  <si>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</si>
  <si>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</si>
  <si>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</si>
  <si>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</si>
  <si>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</si>
  <si>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</si>
  <si>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</si>
  <si>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</si>
  <si>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</si>
  <si>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</si>
  <si>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</si>
  <si>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</si>
  <si>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</si>
  <si>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</si>
  <si>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</si>
  <si>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</si>
  <si>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</si>
  <si>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</si>
  <si>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</si>
  <si>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</si>
  <si>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</si>
  <si>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</si>
  <si>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</si>
  <si>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</si>
  <si>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</si>
  <si>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</si>
  <si>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</si>
  <si>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</si>
  <si>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</si>
  <si>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</si>
  <si>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</si>
  <si>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</si>
  <si>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</si>
  <si>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</si>
  <si>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</si>
  <si>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</si>
  <si>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</si>
  <si>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</si>
  <si>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</si>
  <si>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</si>
  <si>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</si>
  <si>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</si>
  <si>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</si>
  <si>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</si>
  <si>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</si>
  <si>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</si>
  <si>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</si>
  <si>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</si>
  <si>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</si>
  <si>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</si>
  <si>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</si>
  <si>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</si>
  <si>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</si>
  <si>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</si>
  <si>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</si>
  <si>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</si>
  <si>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</si>
  <si>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</si>
  <si>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</si>
  <si>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</si>
  <si>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</si>
  <si>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</si>
  <si>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</si>
  <si>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</si>
  <si>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</si>
  <si>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</si>
  <si>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</si>
  <si>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</si>
  <si>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</si>
  <si>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</si>
  <si>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</si>
  <si>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</si>
  <si>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</si>
  <si>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</si>
  <si>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</si>
  <si>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</si>
  <si>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</si>
  <si>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</si>
  <si>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</si>
  <si>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</si>
  <si>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</si>
  <si>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</si>
  <si>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</si>
  <si>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</si>
  <si>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</si>
  <si>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</si>
  <si>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</si>
  <si>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</si>
  <si>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</si>
  <si>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</si>
  <si>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</si>
  <si>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</si>
  <si>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</si>
  <si>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</si>
  <si>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</si>
  <si>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</si>
  <si>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</si>
  <si>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</si>
  <si>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</si>
  <si>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</si>
  <si>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</si>
  <si>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</si>
  <si>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</si>
  <si>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</si>
  <si>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</si>
  <si>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</si>
  <si>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</si>
  <si>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</si>
  <si>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</si>
  <si>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</si>
  <si>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</si>
  <si>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</si>
  <si>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</si>
  <si>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</si>
  <si>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</si>
  <si>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</si>
  <si>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</si>
  <si>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</si>
  <si>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</si>
  <si>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</si>
  <si>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</si>
  <si>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</si>
  <si>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</si>
  <si>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</si>
  <si>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</si>
  <si>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</si>
  <si>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</si>
  <si>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</si>
  <si>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</si>
  <si>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</si>
  <si>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</si>
  <si>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</si>
  <si>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</si>
  <si>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</si>
  <si>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</si>
  <si>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</si>
  <si>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</si>
  <si>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</si>
  <si>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</si>
  <si>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</si>
  <si>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</si>
  <si>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</si>
  <si>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</si>
  <si>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</si>
  <si>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</si>
  <si>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</si>
  <si>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</si>
  <si>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</si>
  <si>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</si>
  <si>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</si>
  <si>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</si>
  <si>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</si>
  <si>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</si>
  <si>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</si>
  <si>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</si>
  <si>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</si>
  <si>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</si>
  <si>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</si>
  <si>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</si>
  <si>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</si>
  <si>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</si>
  <si>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</si>
  <si>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</si>
  <si>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</si>
  <si>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</si>
  <si>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</si>
  <si>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</si>
  <si>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</si>
  <si>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</si>
  <si>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</si>
  <si>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</si>
  <si>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</si>
  <si>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</si>
  <si>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</si>
  <si>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</si>
  <si>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</si>
  <si>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</si>
  <si>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</si>
  <si>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</si>
  <si>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</si>
  <si>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</si>
  <si>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</si>
  <si>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</si>
  <si>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</si>
  <si>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</si>
  <si>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</si>
  <si>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</si>
  <si>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</si>
  <si>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</si>
  <si>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</si>
  <si>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</si>
  <si>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</si>
  <si>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</si>
  <si>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</si>
  <si>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</si>
  <si>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</si>
  <si>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</si>
  <si>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</si>
  <si>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</si>
  <si>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</si>
  <si>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</si>
  <si>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</si>
  <si>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</si>
  <si>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</si>
  <si>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</si>
  <si>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</si>
  <si>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</si>
  <si>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</si>
  <si>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</si>
  <si>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</si>
  <si>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</si>
  <si>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</si>
  <si>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</si>
  <si>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</si>
  <si>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</si>
  <si>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</si>
  <si>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</si>
  <si>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</si>
  <si>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</si>
  <si>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</si>
  <si>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</si>
  <si>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</si>
  <si>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</si>
  <si>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</si>
  <si>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</si>
  <si>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</si>
  <si>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</si>
  <si>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</si>
  <si>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</si>
  <si>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</si>
  <si>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</si>
  <si>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</si>
  <si>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</si>
  <si>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</si>
  <si>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</si>
  <si>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</si>
  <si>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</si>
  <si>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</si>
  <si>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</si>
  <si>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</si>
  <si>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</si>
  <si>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</si>
  <si>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</si>
  <si>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</si>
  <si>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</si>
  <si>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</si>
  <si>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</si>
  <si>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</si>
  <si>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</si>
  <si>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</si>
  <si>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</si>
  <si>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</si>
  <si>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</si>
  <si>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</si>
  <si>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</si>
  <si>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</si>
  <si>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</si>
  <si>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</si>
  <si>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</si>
  <si>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</si>
  <si>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</si>
  <si>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</si>
  <si>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</si>
  <si>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</si>
  <si>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</si>
  <si>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</si>
  <si>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</si>
  <si>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</si>
  <si>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</si>
  <si>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</si>
  <si>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</si>
  <si>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</si>
  <si>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</si>
  <si>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</si>
  <si>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</si>
  <si>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</si>
  <si>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</si>
  <si>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</si>
  <si>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</si>
  <si>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</si>
  <si>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</si>
  <si>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</si>
  <si>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</si>
  <si>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</si>
  <si>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</si>
  <si>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</si>
  <si>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</si>
  <si>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</si>
  <si>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</si>
  <si>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</si>
  <si>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</si>
  <si>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</si>
  <si>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</si>
  <si>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</si>
  <si>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</si>
  <si>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</si>
  <si>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</si>
  <si>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</si>
  <si>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</si>
  <si>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</si>
  <si>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</si>
  <si>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</si>
  <si>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</si>
  <si>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</si>
  <si>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</si>
  <si>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</si>
  <si>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</si>
  <si>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</si>
  <si>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</si>
  <si>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</si>
  <si>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</si>
  <si>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</si>
  <si>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</si>
  <si>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</si>
  <si>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</si>
  <si>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</si>
  <si>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</si>
  <si>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</si>
  <si>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</si>
  <si>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</si>
  <si>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</si>
  <si>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</si>
  <si>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</si>
  <si>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</si>
  <si>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</si>
  <si>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</si>
  <si>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</si>
  <si>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</si>
  <si>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</si>
  <si>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</si>
  <si>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</si>
  <si>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</si>
  <si>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</si>
  <si>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</si>
  <si>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</si>
  <si>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</si>
  <si>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</si>
  <si>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</si>
  <si>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</si>
  <si>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</si>
  <si>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</si>
  <si>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</si>
  <si>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</si>
  <si>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</si>
  <si>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</si>
  <si>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</si>
  <si>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</si>
  <si>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</si>
  <si>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</si>
  <si>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</si>
  <si>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</si>
  <si>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</si>
  <si>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</si>
  <si>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</si>
  <si>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</si>
  <si>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</si>
  <si>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</si>
  <si>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</si>
  <si>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</si>
  <si>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</si>
  <si>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</si>
  <si>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</si>
  <si>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</si>
  <si>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</si>
  <si>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</si>
  <si>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</si>
  <si>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</si>
  <si>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</si>
  <si>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</si>
  <si>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</si>
  <si>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</si>
  <si>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</si>
  <si>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</si>
  <si>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</si>
  <si>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</si>
  <si>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</si>
  <si>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</si>
  <si>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</si>
  <si>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</si>
  <si>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</si>
  <si>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</si>
  <si>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</si>
  <si>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</si>
  <si>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</si>
  <si>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</si>
  <si>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</si>
  <si>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</si>
  <si>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</si>
  <si>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</si>
  <si>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</si>
  <si>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</si>
  <si>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</si>
  <si>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</si>
  <si>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</si>
  <si>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</si>
  <si>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</si>
  <si>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</si>
  <si>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</si>
  <si>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</si>
  <si>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</si>
  <si>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</si>
  <si>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</si>
  <si>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</si>
  <si>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</si>
  <si>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</si>
  <si>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</si>
  <si>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</si>
  <si>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</si>
  <si>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</si>
  <si>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</si>
  <si>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</si>
  <si>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</si>
  <si>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</si>
  <si>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</si>
  <si>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</si>
  <si>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</si>
  <si>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</si>
  <si>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</si>
  <si>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</si>
  <si>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</si>
  <si>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</si>
  <si>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</si>
  <si>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</si>
  <si>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</si>
  <si>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</si>
  <si>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</si>
  <si>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</si>
  <si>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</si>
  <si>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</si>
  <si>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</si>
  <si>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</si>
  <si>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</si>
  <si>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</si>
  <si>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</si>
  <si>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</si>
  <si>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</si>
  <si>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</si>
  <si>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</si>
  <si>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</si>
  <si>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</si>
  <si>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</si>
  <si>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</si>
  <si>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</si>
  <si>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</si>
  <si>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</si>
  <si>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</si>
  <si>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</si>
  <si>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</si>
  <si>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</si>
  <si>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</si>
  <si>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</si>
  <si>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</si>
  <si>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</si>
  <si>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</si>
  <si>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</si>
  <si>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</si>
  <si>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</si>
  <si>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</si>
  <si>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</si>
  <si>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</si>
  <si>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</si>
  <si>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</si>
  <si>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</si>
  <si>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</si>
  <si>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</si>
  <si>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</si>
  <si>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</si>
  <si>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</si>
  <si>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</si>
  <si>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</si>
  <si>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</si>
  <si>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</si>
  <si>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</si>
  <si>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</si>
  <si>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</si>
  <si>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</si>
  <si>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</si>
  <si>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</si>
  <si>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</si>
  <si>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</si>
  <si>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</si>
  <si>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</si>
  <si>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</si>
  <si>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</si>
  <si>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</si>
  <si>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</si>
  <si>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</si>
  <si>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</si>
  <si>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</si>
  <si>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</si>
  <si>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</si>
  <si>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</si>
  <si>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</si>
  <si>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</si>
  <si>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</si>
  <si>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</si>
  <si>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</si>
  <si>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</si>
  <si>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</si>
  <si>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</si>
  <si>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</si>
  <si>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</si>
  <si>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</si>
  <si>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</si>
  <si>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</si>
  <si>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</si>
  <si>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</si>
  <si>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</si>
  <si>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</si>
  <si>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</si>
  <si>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</si>
  <si>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</si>
  <si>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</si>
  <si>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</si>
  <si>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</si>
  <si>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</si>
  <si>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</si>
  <si>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</si>
  <si>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</si>
  <si>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</si>
  <si>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</si>
  <si>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</si>
  <si>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</si>
  <si>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</si>
  <si>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</si>
  <si>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</si>
  <si>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</si>
  <si>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</si>
  <si>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</si>
  <si>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</si>
  <si>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</si>
  <si>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</si>
  <si>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</si>
  <si>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</si>
  <si>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</si>
  <si>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</si>
  <si>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</si>
  <si>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</si>
  <si>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</si>
  <si>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</si>
  <si>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</si>
  <si>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</si>
  <si>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</si>
  <si>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</si>
  <si>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</si>
  <si>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</si>
  <si>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</si>
  <si>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</si>
  <si>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</si>
  <si>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</si>
  <si>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</si>
  <si>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</si>
  <si>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</si>
  <si>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</si>
  <si>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</si>
  <si>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</si>
  <si>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</si>
  <si>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</si>
  <si>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</si>
  <si>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</si>
  <si>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</si>
  <si>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</si>
  <si>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</si>
  <si>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</si>
  <si>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</si>
  <si>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</si>
  <si>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</si>
  <si>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</si>
  <si>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</si>
  <si>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</si>
  <si>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</si>
  <si>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</si>
  <si>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</si>
  <si>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</si>
  <si>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</si>
  <si>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</si>
  <si>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</si>
  <si>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</si>
  <si>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</si>
  <si>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</si>
  <si>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</si>
  <si>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</si>
  <si>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</si>
  <si>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</si>
  <si>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</si>
  <si>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</si>
  <si>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</si>
  <si>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</si>
  <si>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</si>
  <si>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</si>
  <si>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t>M043 - Cuchillo premium hoja 12 cm con tenedor funda cuero</t>
  </si>
  <si>
    <t>M110 - Cuchillo premium hoja 12 cm con funda de cuero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</si>
  <si>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</si>
  <si>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</si>
  <si>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</si>
  <si>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</si>
  <si>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</si>
  <si>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</si>
  <si>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</si>
  <si>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</si>
  <si>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</si>
  <si>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</si>
  <si>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</si>
  <si>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</si>
  <si>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</si>
  <si>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</si>
  <si>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00994 - Set parrillero 4 piezas en estuche</t>
  </si>
  <si>
    <t>00994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</si>
  <si>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</si>
  <si>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</si>
  <si>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</si>
  <si>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</si>
  <si>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</si>
  <si>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</si>
  <si>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</si>
  <si>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</si>
  <si>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</si>
  <si>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</si>
  <si>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</si>
  <si>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</si>
  <si>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</si>
  <si>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47/01</t>
  </si>
  <si>
    <t>02258 - Lápiz negro larga duracion realizado en bambú</t>
  </si>
  <si>
    <t>00966 - Cuaderno con set de notas y bolígrafo touch</t>
  </si>
  <si>
    <t>00682 - Neceser microfibra con gancho</t>
  </si>
  <si>
    <t>00613 - Mochila NOMAWALK® Dynamic 14 litros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</si>
  <si>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</si>
  <si>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</si>
  <si>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</si>
  <si>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</si>
  <si>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</si>
  <si>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</si>
  <si>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00832 - Cuaderno Eco tapas flexibles A4 hojas rayadas</t>
  </si>
  <si>
    <t>00392 - Power Bank Flat 4000 mAh</t>
  </si>
  <si>
    <t>M-51 - Llavero metálico mate con cinta webbing</t>
  </si>
  <si>
    <t>LL-126 - Llavero metálico mate con cinta webbing</t>
  </si>
  <si>
    <t>LL-126</t>
  </si>
  <si>
    <t>LL-107 - Llavero de bambu rectangular</t>
  </si>
  <si>
    <t>LL-107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</si>
  <si>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</si>
  <si>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</si>
  <si>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</si>
  <si>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</si>
  <si>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</si>
  <si>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</si>
  <si>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</si>
  <si>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</si>
  <si>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</si>
  <si>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</si>
  <si>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</si>
  <si>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</si>
  <si>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</si>
  <si>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CON LOGO IMPRESO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</si>
  <si>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</si>
  <si>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</si>
  <si>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</si>
  <si>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</si>
  <si>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</si>
  <si>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</si>
  <si>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</si>
  <si>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</si>
  <si>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</si>
  <si>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</si>
  <si>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</si>
  <si>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</si>
  <si>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</si>
  <si>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</si>
  <si>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</si>
  <si>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</si>
  <si>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</si>
  <si>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</si>
  <si>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</si>
  <si>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</si>
  <si>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</si>
  <si>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</si>
  <si>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</si>
  <si>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</si>
  <si>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</si>
  <si>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</si>
  <si>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</si>
  <si>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</si>
  <si>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00380 - Soporte de bambú de escritorio para celular</t>
  </si>
  <si>
    <t>00838 - Cuaderno bambu hojas rayadas 21x14cm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</si>
  <si>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</si>
  <si>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</si>
  <si>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</si>
  <si>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</si>
  <si>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</si>
  <si>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</si>
  <si>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00922 - Cuaderno PROMO Eco cuero 21x14 cm hoja rayada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</si>
  <si>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</si>
  <si>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</si>
  <si>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</si>
  <si>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</si>
  <si>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</si>
  <si>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</si>
  <si>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</si>
  <si>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</si>
  <si>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</si>
  <si>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>01046 - Vaso térmico acero PAMPERO® PUELO 590 ml</t>
  </si>
  <si>
    <t xml:space="preserve">00556 - Riñonera deportiva impermeable reflectiva 23x5cm 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</si>
  <si>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</si>
  <si>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</si>
  <si>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</si>
  <si>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</si>
  <si>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</si>
  <si>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</si>
  <si>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</si>
  <si>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02506 - Set de 6 crayones en cajita</t>
  </si>
  <si>
    <t>02240 - Lápiz All Black con punta con goma</t>
  </si>
  <si>
    <t>02507 - Tubo 12  lápices de colores all black con saca puntas</t>
  </si>
  <si>
    <t>P5551 - Gorro Campeer Trucker esctructurado 100% algodón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</si>
  <si>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</si>
  <si>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</si>
  <si>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</si>
  <si>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</si>
  <si>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</si>
  <si>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</si>
  <si>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</si>
  <si>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LISTA DE PRECIOS Nº 2 / 2025 (En Pesos) - NO INCLUYE I.V.A. - FEBRERO 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</si>
</sst>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0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51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5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7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8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6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8" fillId="2" borderId="0" xfId="0" applyFont="1" applyFill="1"/>
    <xf numFmtId="0" fontId="69" fillId="2" borderId="0" xfId="0" applyFont="1" applyFill="1"/>
    <xf numFmtId="2" fontId="68" fillId="2" borderId="0" xfId="0" applyNumberFormat="1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top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0" fontId="42" fillId="6" borderId="12" xfId="0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70" fillId="2" borderId="0" xfId="0" applyFont="1" applyFill="1"/>
    <xf numFmtId="2" fontId="65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65" fillId="4" borderId="3" xfId="0" applyNumberFormat="1" applyFont="1" applyFill="1" applyBorder="1" applyAlignment="1">
      <alignment horizontal="center" vertical="center"/>
    </xf>
    <xf numFmtId="2" fontId="60" fillId="7" borderId="3" xfId="0" applyNumberFormat="1" applyFont="1" applyFill="1" applyBorder="1" applyAlignment="1">
      <alignment horizontal="center" vertical="center"/>
    </xf>
    <xf numFmtId="2" fontId="60" fillId="7" borderId="8" xfId="0" applyNumberFormat="1" applyFont="1" applyFill="1" applyBorder="1" applyAlignment="1">
      <alignment horizontal="center" vertical="center"/>
    </xf>
    <xf numFmtId="2" fontId="60" fillId="7" borderId="7" xfId="0" applyNumberFormat="1" applyFont="1" applyFill="1" applyBorder="1" applyAlignment="1">
      <alignment horizontal="center" vertical="center"/>
    </xf>
    <xf numFmtId="2" fontId="60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8" fillId="4" borderId="0" xfId="0" applyFont="1" applyFill="1" applyAlignment="1"/>
    <xf numFmtId="0" fontId="66" fillId="2" borderId="0" xfId="0" applyFont="1" applyFill="1" applyBorder="1"/>
    <xf numFmtId="2" fontId="71" fillId="7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/>
    <xf numFmtId="2" fontId="60" fillId="7" borderId="5" xfId="0" applyNumberFormat="1" applyFont="1" applyFill="1" applyBorder="1" applyAlignment="1">
      <alignment horizontal="center" vertical="center"/>
    </xf>
    <xf numFmtId="2" fontId="60" fillId="4" borderId="5" xfId="0" applyNumberFormat="1" applyFont="1" applyFill="1" applyBorder="1" applyAlignment="1">
      <alignment horizontal="center" vertical="center"/>
    </xf>
    <xf numFmtId="0" fontId="62" fillId="4" borderId="0" xfId="0" applyFont="1" applyFill="1" applyAlignment="1">
      <alignment horizontal="center" vertical="center"/>
    </xf>
    <xf numFmtId="0" fontId="61" fillId="7" borderId="3" xfId="0" applyFont="1" applyFill="1" applyBorder="1"/>
    <xf numFmtId="2" fontId="59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3" fillId="4" borderId="0" xfId="0" applyFont="1" applyFill="1" applyBorder="1" applyAlignment="1">
      <alignment horizontal="center" vertical="center" wrapText="1"/>
    </xf>
    <xf numFmtId="2" fontId="60" fillId="4" borderId="7" xfId="0" applyNumberFormat="1" applyFont="1" applyFill="1" applyBorder="1" applyAlignment="1">
      <alignment horizontal="center" vertical="center"/>
    </xf>
    <xf numFmtId="2" fontId="4" fillId="7" borderId="9" xfId="0" applyNumberFormat="1" applyFont="1" applyFill="1" applyBorder="1" applyAlignment="1">
      <alignment horizontal="center" vertical="center"/>
    </xf>
    <xf numFmtId="2" fontId="60" fillId="4" borderId="3" xfId="3" applyNumberFormat="1" applyFont="1" applyFill="1" applyBorder="1" applyAlignment="1">
      <alignment horizontal="center" vertical="center"/>
    </xf>
    <xf numFmtId="2" fontId="60" fillId="7" borderId="3" xfId="3" applyNumberFormat="1" applyFont="1" applyFill="1" applyBorder="1" applyAlignment="1">
      <alignment horizontal="center" vertical="center"/>
    </xf>
    <xf numFmtId="2" fontId="60" fillId="4" borderId="11" xfId="0" applyNumberFormat="1" applyFont="1" applyFill="1" applyBorder="1" applyAlignment="1">
      <alignment horizontal="center" vertical="center"/>
    </xf>
    <xf numFmtId="2" fontId="60" fillId="4" borderId="0" xfId="0" applyNumberFormat="1" applyFont="1" applyFill="1" applyBorder="1" applyAlignment="1">
      <alignment horizontal="center" vertical="center"/>
    </xf>
    <xf numFmtId="2" fontId="60" fillId="4" borderId="15" xfId="0" applyNumberFormat="1" applyFont="1" applyFill="1" applyBorder="1" applyAlignment="1">
      <alignment horizontal="center" vertical="center"/>
    </xf>
    <xf numFmtId="2" fontId="60" fillId="7" borderId="15" xfId="0" applyNumberFormat="1" applyFont="1" applyFill="1" applyBorder="1" applyAlignment="1">
      <alignment horizontal="center" vertical="center"/>
    </xf>
    <xf numFmtId="2" fontId="63" fillId="7" borderId="3" xfId="0" applyNumberFormat="1" applyFont="1" applyFill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2" fontId="41" fillId="4" borderId="3" xfId="0" applyNumberFormat="1" applyFont="1" applyFill="1" applyBorder="1" applyAlignment="1">
      <alignment horizontal="center" vertical="center"/>
    </xf>
    <xf numFmtId="2" fontId="41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6" fillId="4" borderId="0" xfId="0" applyFont="1" applyFill="1" applyAlignment="1">
      <alignment horizontal="right"/>
    </xf>
    <xf numFmtId="0" fontId="66" fillId="2" borderId="0" xfId="0" applyFont="1" applyFill="1" applyAlignment="1">
      <alignment horizontal="right"/>
    </xf>
    <xf numFmtId="2" fontId="4" fillId="4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1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7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4" fillId="9" borderId="0" xfId="0" applyFont="1" applyFill="1"/>
    <xf numFmtId="0" fontId="74" fillId="9" borderId="0" xfId="0" applyFont="1" applyFill="1" applyBorder="1"/>
    <xf numFmtId="0" fontId="66" fillId="9" borderId="0" xfId="0" applyFont="1" applyFill="1"/>
    <xf numFmtId="0" fontId="66" fillId="9" borderId="0" xfId="0" applyFont="1" applyFill="1" applyBorder="1"/>
    <xf numFmtId="0" fontId="66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50" fillId="9" borderId="0" xfId="0" applyFont="1" applyFill="1"/>
    <xf numFmtId="0" fontId="75" fillId="9" borderId="1" xfId="0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horizontal="center" vertical="center"/>
    </xf>
    <xf numFmtId="0" fontId="66" fillId="9" borderId="22" xfId="0" applyFont="1" applyFill="1" applyBorder="1" applyAlignment="1">
      <alignment horizontal="center" vertical="center"/>
    </xf>
    <xf numFmtId="2" fontId="66" fillId="9" borderId="0" xfId="0" applyNumberFormat="1" applyFont="1" applyFill="1"/>
    <xf numFmtId="0" fontId="75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2" fillId="9" borderId="0" xfId="0" applyFont="1" applyFill="1"/>
    <xf numFmtId="0" fontId="42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1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Alignment="1">
      <alignment vertical="center"/>
    </xf>
    <xf numFmtId="0" fontId="10" fillId="9" borderId="0" xfId="0" applyFont="1" applyFill="1" applyBorder="1" applyAlignment="1"/>
    <xf numFmtId="0" fontId="10" fillId="9" borderId="0" xfId="0" applyFont="1" applyFill="1" applyAlignment="1"/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7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80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0" fontId="42" fillId="6" borderId="18" xfId="0" applyFont="1" applyFill="1" applyBorder="1" applyAlignment="1">
      <alignment horizontal="center" vertical="center"/>
    </xf>
    <xf numFmtId="2" fontId="60" fillId="6" borderId="4" xfId="0" applyNumberFormat="1" applyFont="1" applyFill="1" applyBorder="1" applyAlignment="1">
      <alignment horizontal="center" vertical="center"/>
    </xf>
    <xf numFmtId="0" fontId="42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7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3" fillId="4" borderId="0" xfId="0" applyFont="1" applyFill="1" applyBorder="1" applyAlignment="1">
      <alignment horizontal="center" vertical="center" wrapText="1"/>
    </xf>
    <xf numFmtId="0" fontId="77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2" fontId="63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2" fontId="60" fillId="4" borderId="4" xfId="0" applyNumberFormat="1" applyFont="1" applyFill="1" applyBorder="1" applyAlignment="1">
      <alignment horizontal="center" vertical="center"/>
    </xf>
    <xf numFmtId="0" fontId="67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6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6" fillId="4" borderId="0" xfId="0" applyFont="1" applyFill="1"/>
    <xf numFmtId="0" fontId="2" fillId="9" borderId="0" xfId="0" applyFont="1" applyFill="1" applyBorder="1" applyAlignment="1"/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9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60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60" fillId="4" borderId="3" xfId="0" applyNumberFormat="1" applyFont="1" applyFill="1" applyBorder="1" applyAlignment="1">
      <alignment horizontal="center" vertical="center"/>
    </xf>
    <xf numFmtId="0" fontId="0" fillId="7" borderId="0" xfId="0" applyFill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2" fontId="60" fillId="4" borderId="3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42" fillId="6" borderId="16" xfId="0" applyFont="1" applyFill="1" applyBorder="1" applyAlignment="1">
      <alignment horizontal="center" vertical="center"/>
    </xf>
    <xf numFmtId="0" fontId="42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60" fillId="6" borderId="19" xfId="0" applyNumberFormat="1" applyFont="1" applyFill="1" applyBorder="1" applyAlignment="1">
      <alignment horizontal="center" vertical="center"/>
    </xf>
    <xf numFmtId="2" fontId="60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42" fillId="7" borderId="3" xfId="0" applyFont="1" applyFill="1" applyBorder="1" applyAlignment="1">
      <alignment horizontal="center" vertical="center"/>
    </xf>
    <xf numFmtId="0" fontId="42" fillId="4" borderId="3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center" vertical="center"/>
    </xf>
    <xf numFmtId="2" fontId="7" fillId="4" borderId="0" xfId="0" applyNumberFormat="1" applyFont="1" applyFill="1" applyBorder="1" applyAlignment="1">
      <alignment horizontal="center"/>
    </xf>
    <xf numFmtId="0" fontId="39" fillId="4" borderId="0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5" fillId="0" borderId="3" xfId="0" applyFont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60" fillId="4" borderId="3" xfId="0" applyNumberFormat="1" applyFont="1" applyFill="1" applyBorder="1" applyAlignment="1">
      <alignment horizontal="center" vertical="center"/>
    </xf>
    <xf numFmtId="1" fontId="60" fillId="7" borderId="3" xfId="0" applyNumberFormat="1" applyFont="1" applyFill="1" applyBorder="1" applyAlignment="1">
      <alignment horizontal="center" vertical="center"/>
    </xf>
    <xf numFmtId="1" fontId="60" fillId="4" borderId="7" xfId="0" applyNumberFormat="1" applyFont="1" applyFill="1" applyBorder="1" applyAlignment="1">
      <alignment horizontal="center" vertical="center"/>
    </xf>
    <xf numFmtId="1" fontId="60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60" fillId="14" borderId="3" xfId="0" applyNumberFormat="1" applyFont="1" applyFill="1" applyBorder="1" applyAlignment="1">
      <alignment horizontal="center" vertical="center"/>
    </xf>
    <xf numFmtId="0" fontId="0" fillId="7" borderId="0" xfId="0" applyFill="1" applyBorder="1"/>
    <xf numFmtId="2" fontId="65" fillId="7" borderId="3" xfId="0" applyNumberFormat="1" applyFont="1" applyFill="1" applyBorder="1" applyAlignment="1">
      <alignment horizontal="center" vertical="center"/>
    </xf>
    <xf numFmtId="0" fontId="63" fillId="7" borderId="3" xfId="0" applyFont="1" applyFill="1" applyBorder="1"/>
    <xf numFmtId="0" fontId="63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0" fillId="7" borderId="19" xfId="0" applyNumberFormat="1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0" fillId="7" borderId="8" xfId="0" applyNumberFormat="1" applyFont="1" applyFill="1" applyBorder="1" applyAlignment="1">
      <alignment horizontal="center" vertical="center"/>
    </xf>
    <xf numFmtId="1" fontId="60" fillId="4" borderId="5" xfId="0" applyNumberFormat="1" applyFont="1" applyFill="1" applyBorder="1" applyAlignment="1">
      <alignment horizontal="center" vertical="center"/>
    </xf>
    <xf numFmtId="1" fontId="60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60" fillId="7" borderId="14" xfId="0" applyNumberFormat="1" applyFont="1" applyFill="1" applyBorder="1" applyAlignment="1">
      <alignment horizontal="center" vertical="center"/>
    </xf>
    <xf numFmtId="1" fontId="60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4" borderId="0" xfId="0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0" xfId="0" applyFont="1" applyFill="1"/>
    <xf numFmtId="1" fontId="60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60" fillId="7" borderId="4" xfId="0" applyNumberFormat="1" applyFont="1" applyFill="1" applyBorder="1" applyAlignment="1">
      <alignment horizontal="center" vertical="center"/>
    </xf>
    <xf numFmtId="1" fontId="60" fillId="4" borderId="4" xfId="0" applyNumberFormat="1" applyFont="1" applyFill="1" applyBorder="1" applyAlignment="1">
      <alignment horizontal="center"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1" fillId="7" borderId="3" xfId="0" applyNumberFormat="1" applyFont="1" applyFill="1" applyBorder="1" applyAlignment="1">
      <alignment horizontal="center" vertical="center"/>
    </xf>
    <xf numFmtId="1" fontId="71" fillId="4" borderId="3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1" fontId="60" fillId="4" borderId="0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1" fontId="60" fillId="4" borderId="18" xfId="0" applyNumberFormat="1" applyFont="1" applyFill="1" applyBorder="1" applyAlignment="1">
      <alignment horizontal="center" vertical="center"/>
    </xf>
    <xf numFmtId="1" fontId="60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0" fillId="7" borderId="3" xfId="0" applyNumberFormat="1" applyFill="1" applyBorder="1"/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0" fillId="7" borderId="10" xfId="0" applyNumberFormat="1" applyFont="1" applyFill="1" applyBorder="1" applyAlignment="1">
      <alignment horizontal="center" vertical="center"/>
    </xf>
    <xf numFmtId="1" fontId="0" fillId="4" borderId="3" xfId="0" applyNumberFormat="1" applyFill="1" applyBorder="1"/>
    <xf numFmtId="1" fontId="1" fillId="4" borderId="7" xfId="0" applyNumberFormat="1" applyFont="1" applyFill="1" applyBorder="1"/>
    <xf numFmtId="1" fontId="1" fillId="7" borderId="7" xfId="0" applyNumberFormat="1" applyFont="1" applyFill="1" applyBorder="1"/>
    <xf numFmtId="1" fontId="60" fillId="4" borderId="17" xfId="0" applyNumberFormat="1" applyFont="1" applyFill="1" applyBorder="1" applyAlignment="1">
      <alignment horizontal="center" vertical="center"/>
    </xf>
    <xf numFmtId="1" fontId="60" fillId="7" borderId="17" xfId="0" applyNumberFormat="1" applyFon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7" borderId="3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vertical="center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0" fillId="7" borderId="9" xfId="0" applyNumberFormat="1" applyFont="1" applyFill="1" applyBorder="1" applyAlignment="1">
      <alignment horizontal="center" vertical="center"/>
    </xf>
    <xf numFmtId="168" fontId="72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60" fillId="7" borderId="3" xfId="0" applyNumberFormat="1" applyFont="1" applyFill="1" applyBorder="1" applyAlignment="1">
      <alignment horizontal="center" vertical="center"/>
    </xf>
    <xf numFmtId="168" fontId="60" fillId="7" borderId="7" xfId="0" applyNumberFormat="1" applyFont="1" applyFill="1" applyBorder="1" applyAlignment="1">
      <alignment horizontal="center" vertical="center"/>
    </xf>
    <xf numFmtId="168" fontId="60" fillId="4" borderId="3" xfId="0" applyNumberFormat="1" applyFont="1" applyFill="1" applyBorder="1" applyAlignment="1">
      <alignment horizontal="center" vertical="center"/>
    </xf>
    <xf numFmtId="168" fontId="60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 vertical="center"/>
    </xf>
    <xf numFmtId="2" fontId="4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60" fillId="7" borderId="35" xfId="0" applyNumberFormat="1" applyFont="1" applyFill="1" applyBorder="1" applyAlignment="1">
      <alignment horizontal="center" vertical="center"/>
    </xf>
    <xf numFmtId="1" fontId="107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1" fontId="107" fillId="7" borderId="4" xfId="0" applyNumberFormat="1" applyFont="1" applyFill="1" applyBorder="1" applyAlignment="1">
      <alignment horizontal="center" vertical="center"/>
    </xf>
    <xf numFmtId="1" fontId="107" fillId="4" borderId="4" xfId="0" applyNumberFormat="1" applyFont="1" applyFill="1" applyBorder="1" applyAlignment="1">
      <alignment horizontal="center" vertical="center"/>
    </xf>
    <xf numFmtId="1" fontId="107" fillId="7" borderId="5" xfId="0" applyNumberFormat="1" applyFont="1" applyFill="1" applyBorder="1" applyAlignment="1">
      <alignment horizontal="center" vertical="center"/>
    </xf>
    <xf numFmtId="1" fontId="107" fillId="4" borderId="5" xfId="0" applyNumberFormat="1" applyFont="1" applyFill="1" applyBorder="1" applyAlignment="1">
      <alignment horizontal="center" vertical="center"/>
    </xf>
    <xf numFmtId="0" fontId="66" fillId="7" borderId="3" xfId="0" applyFont="1" applyFill="1" applyBorder="1"/>
    <xf numFmtId="0" fontId="73" fillId="7" borderId="11" xfId="0" applyFont="1" applyFill="1" applyBorder="1" applyAlignment="1">
      <alignment horizontal="center" vertical="center"/>
    </xf>
    <xf numFmtId="2" fontId="60" fillId="7" borderId="9" xfId="0" applyNumberFormat="1" applyFont="1" applyFill="1" applyBorder="1" applyAlignment="1">
      <alignment horizontal="center" vertical="center"/>
    </xf>
    <xf numFmtId="0" fontId="63" fillId="4" borderId="3" xfId="0" applyFont="1" applyFill="1" applyBorder="1" applyAlignment="1">
      <alignment vertical="center"/>
    </xf>
    <xf numFmtId="0" fontId="63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60" fillId="17" borderId="3" xfId="0" applyNumberFormat="1" applyFont="1" applyFill="1" applyBorder="1" applyAlignment="1">
      <alignment horizontal="center" vertical="center"/>
    </xf>
    <xf numFmtId="2" fontId="71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60" fillId="18" borderId="7" xfId="0" applyNumberFormat="1" applyFont="1" applyFill="1" applyBorder="1" applyAlignment="1">
      <alignment horizontal="center" vertical="center"/>
    </xf>
    <xf numFmtId="168" fontId="60" fillId="4" borderId="7" xfId="0" applyNumberFormat="1" applyFont="1" applyFill="1" applyBorder="1" applyAlignment="1">
      <alignment horizontal="center" vertical="center"/>
    </xf>
    <xf numFmtId="2" fontId="60" fillId="18" borderId="3" xfId="0" applyNumberFormat="1" applyFont="1" applyFill="1" applyBorder="1" applyAlignment="1">
      <alignment horizontal="center" vertical="center"/>
    </xf>
    <xf numFmtId="168" fontId="60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80" fillId="2" borderId="3" xfId="2" applyNumberFormat="1" applyFont="1" applyFill="1" applyBorder="1" applyAlignment="1" applyProtection="1">
      <alignment horizontal="center" vertical="center"/>
    </xf>
    <xf numFmtId="166" fontId="80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166" fontId="110" fillId="2" borderId="5" xfId="2" applyNumberFormat="1" applyFont="1" applyFill="1" applyBorder="1" applyAlignment="1" applyProtection="1">
      <alignment horizontal="center"/>
    </xf>
    <xf numFmtId="0" fontId="80" fillId="2" borderId="3" xfId="2" applyFont="1" applyFill="1" applyBorder="1" applyAlignment="1" applyProtection="1">
      <alignment horizontal="center"/>
    </xf>
    <xf numFmtId="166" fontId="80" fillId="2" borderId="19" xfId="2" applyNumberFormat="1" applyFont="1" applyFill="1" applyBorder="1" applyAlignment="1" applyProtection="1">
      <alignment horizontal="center"/>
    </xf>
    <xf numFmtId="0" fontId="80" fillId="0" borderId="3" xfId="2" applyNumberFormat="1" applyFont="1" applyBorder="1" applyAlignment="1" applyProtection="1">
      <alignment horizontal="center"/>
    </xf>
    <xf numFmtId="0" fontId="66" fillId="2" borderId="3" xfId="0" applyFont="1" applyFill="1" applyBorder="1" applyAlignment="1">
      <alignment horizontal="center"/>
    </xf>
    <xf numFmtId="0" fontId="66" fillId="0" borderId="3" xfId="0" applyNumberFormat="1" applyFont="1" applyBorder="1" applyAlignment="1">
      <alignment horizontal="center"/>
    </xf>
    <xf numFmtId="0" fontId="80" fillId="0" borderId="3" xfId="2" applyFont="1" applyBorder="1" applyAlignment="1" applyProtection="1">
      <alignment horizontal="center"/>
    </xf>
    <xf numFmtId="0" fontId="80" fillId="2" borderId="7" xfId="2" applyFont="1" applyFill="1" applyBorder="1" applyAlignment="1" applyProtection="1">
      <alignment horizontal="center"/>
    </xf>
    <xf numFmtId="166" fontId="80" fillId="2" borderId="4" xfId="2" applyNumberFormat="1" applyFont="1" applyFill="1" applyBorder="1" applyAlignment="1" applyProtection="1">
      <alignment horizontal="center" vertical="center"/>
    </xf>
    <xf numFmtId="166" fontId="80" fillId="2" borderId="4" xfId="2" applyNumberFormat="1" applyFont="1" applyFill="1" applyBorder="1" applyAlignment="1" applyProtection="1">
      <alignment horizontal="center"/>
    </xf>
    <xf numFmtId="166" fontId="80" fillId="0" borderId="3" xfId="2" applyNumberFormat="1" applyFont="1" applyBorder="1" applyAlignment="1" applyProtection="1">
      <alignment horizontal="center"/>
    </xf>
    <xf numFmtId="166" fontId="80" fillId="2" borderId="5" xfId="2" applyNumberFormat="1" applyFont="1" applyFill="1" applyBorder="1" applyAlignment="1" applyProtection="1">
      <alignment horizontal="center" vertical="center"/>
    </xf>
    <xf numFmtId="166" fontId="66" fillId="2" borderId="4" xfId="0" applyNumberFormat="1" applyFont="1" applyFill="1" applyBorder="1" applyAlignment="1">
      <alignment horizontal="center"/>
    </xf>
    <xf numFmtId="166" fontId="66" fillId="2" borderId="3" xfId="0" applyNumberFormat="1" applyFont="1" applyFill="1" applyBorder="1" applyAlignment="1">
      <alignment horizontal="center"/>
    </xf>
    <xf numFmtId="166" fontId="80" fillId="4" borderId="3" xfId="2" applyNumberFormat="1" applyFont="1" applyFill="1" applyBorder="1" applyAlignment="1" applyProtection="1">
      <alignment horizontal="center"/>
    </xf>
    <xf numFmtId="166" fontId="66" fillId="4" borderId="3" xfId="0" applyNumberFormat="1" applyFont="1" applyFill="1" applyBorder="1" applyAlignment="1">
      <alignment horizontal="center"/>
    </xf>
    <xf numFmtId="49" fontId="80" fillId="2" borderId="3" xfId="2" applyNumberFormat="1" applyFont="1" applyFill="1" applyBorder="1" applyAlignment="1" applyProtection="1">
      <alignment horizontal="center"/>
    </xf>
    <xf numFmtId="49" fontId="80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8" fontId="72" fillId="4" borderId="3" xfId="0" applyNumberFormat="1" applyFont="1" applyFill="1" applyBorder="1" applyAlignment="1">
      <alignment horizontal="center" vertical="center" wrapText="1"/>
    </xf>
    <xf numFmtId="1" fontId="107" fillId="4" borderId="0" xfId="0" applyNumberFormat="1" applyFont="1" applyFill="1" applyBorder="1" applyAlignment="1">
      <alignment horizontal="center" vertical="center"/>
    </xf>
    <xf numFmtId="49" fontId="80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2" fillId="4" borderId="3" xfId="0" applyNumberFormat="1" applyFont="1" applyFill="1" applyBorder="1" applyAlignment="1">
      <alignment horizontal="center" vertical="center"/>
    </xf>
    <xf numFmtId="2" fontId="41" fillId="7" borderId="7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80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60" fillId="7" borderId="11" xfId="0" applyNumberFormat="1" applyFont="1" applyFill="1" applyBorder="1" applyAlignment="1">
      <alignment horizontal="center" vertical="center"/>
    </xf>
    <xf numFmtId="1" fontId="107" fillId="4" borderId="11" xfId="0" applyNumberFormat="1" applyFont="1" applyFill="1" applyBorder="1" applyAlignment="1">
      <alignment horizontal="center" vertical="center"/>
    </xf>
    <xf numFmtId="1" fontId="107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60" fillId="7" borderId="3" xfId="0" applyNumberFormat="1" applyFont="1" applyFill="1" applyBorder="1" applyAlignment="1">
      <alignment horizontal="center" vertical="center"/>
    </xf>
    <xf numFmtId="1" fontId="60" fillId="4" borderId="38" xfId="0" applyNumberFormat="1" applyFont="1" applyFill="1" applyBorder="1" applyAlignment="1">
      <alignment horizontal="center" vertical="center"/>
    </xf>
    <xf numFmtId="1" fontId="60" fillId="4" borderId="21" xfId="0" applyNumberFormat="1" applyFont="1" applyFill="1" applyBorder="1" applyAlignment="1">
      <alignment horizontal="center" vertical="center"/>
    </xf>
    <xf numFmtId="2" fontId="60" fillId="4" borderId="2" xfId="0" applyNumberFormat="1" applyFont="1" applyFill="1" applyBorder="1" applyAlignment="1">
      <alignment horizontal="center" vertical="center"/>
    </xf>
    <xf numFmtId="2" fontId="60" fillId="7" borderId="12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77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60" fillId="4" borderId="3" xfId="0" applyNumberFormat="1" applyFont="1" applyFill="1" applyBorder="1" applyAlignment="1">
      <alignment horizontal="center" vertical="center"/>
    </xf>
    <xf numFmtId="0" fontId="79" fillId="13" borderId="12" xfId="0" applyFont="1" applyFill="1" applyBorder="1"/>
    <xf numFmtId="0" fontId="77" fillId="13" borderId="3" xfId="0" applyFont="1" applyFill="1" applyBorder="1" applyAlignment="1">
      <alignment horizontal="center" vertical="center"/>
    </xf>
    <xf numFmtId="0" fontId="67" fillId="13" borderId="3" xfId="0" applyFont="1" applyFill="1" applyBorder="1" applyAlignment="1">
      <alignment horizontal="center" vertical="center"/>
    </xf>
    <xf numFmtId="2" fontId="44" fillId="13" borderId="3" xfId="0" applyNumberFormat="1" applyFont="1" applyFill="1" applyBorder="1" applyAlignment="1">
      <alignment horizontal="center" vertical="center"/>
    </xf>
    <xf numFmtId="2" fontId="77" fillId="13" borderId="3" xfId="0" applyNumberFormat="1" applyFont="1" applyFill="1" applyBorder="1" applyAlignment="1">
      <alignment horizontal="center" vertical="center"/>
    </xf>
    <xf numFmtId="2" fontId="56" fillId="10" borderId="7" xfId="0" applyNumberFormat="1" applyFont="1" applyFill="1" applyBorder="1" applyAlignment="1">
      <alignment horizontal="center" vertical="center" wrapText="1"/>
    </xf>
    <xf numFmtId="0" fontId="75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7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7" fillId="13" borderId="12" xfId="0" applyFont="1" applyFill="1" applyBorder="1" applyAlignment="1">
      <alignment horizontal="center" vertical="center"/>
    </xf>
    <xf numFmtId="0" fontId="77" fillId="13" borderId="12" xfId="0" applyFont="1" applyFill="1" applyBorder="1" applyAlignment="1">
      <alignment horizontal="center" vertical="center"/>
    </xf>
    <xf numFmtId="0" fontId="77" fillId="13" borderId="9" xfId="0" applyFont="1" applyFill="1" applyBorder="1" applyAlignment="1">
      <alignment horizontal="center" vertical="center"/>
    </xf>
    <xf numFmtId="168" fontId="60" fillId="4" borderId="38" xfId="0" applyNumberFormat="1" applyFont="1" applyFill="1" applyBorder="1" applyAlignment="1">
      <alignment horizontal="center" vertical="center"/>
    </xf>
    <xf numFmtId="168" fontId="60" fillId="4" borderId="41" xfId="0" applyNumberFormat="1" applyFont="1" applyFill="1" applyBorder="1" applyAlignment="1">
      <alignment horizontal="center" vertical="center"/>
    </xf>
    <xf numFmtId="2" fontId="78" fillId="15" borderId="5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1" fontId="108" fillId="4" borderId="3" xfId="0" applyNumberFormat="1" applyFont="1" applyFill="1" applyBorder="1" applyAlignment="1">
      <alignment horizontal="center"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0" fillId="4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/>
    <xf numFmtId="2" fontId="66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1" fontId="107" fillId="4" borderId="15" xfId="0" applyNumberFormat="1" applyFont="1" applyFill="1" applyBorder="1" applyAlignment="1">
      <alignment horizontal="center" vertical="center"/>
    </xf>
    <xf numFmtId="1" fontId="71" fillId="7" borderId="15" xfId="0" applyNumberFormat="1" applyFont="1" applyFill="1" applyBorder="1" applyAlignment="1">
      <alignment horizontal="center" vertical="center"/>
    </xf>
    <xf numFmtId="1" fontId="117" fillId="7" borderId="8" xfId="0" applyNumberFormat="1" applyFont="1" applyFill="1" applyBorder="1" applyAlignment="1">
      <alignment horizontal="center" vertical="center"/>
    </xf>
    <xf numFmtId="1" fontId="60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1" fontId="71" fillId="7" borderId="5" xfId="0" applyNumberFormat="1" applyFont="1" applyFill="1" applyBorder="1" applyAlignment="1">
      <alignment horizontal="center" vertical="center"/>
    </xf>
    <xf numFmtId="1" fontId="71" fillId="4" borderId="5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166" fontId="110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2" fontId="60" fillId="4" borderId="18" xfId="3" applyNumberFormat="1" applyFont="1" applyFill="1" applyBorder="1" applyAlignment="1">
      <alignment horizontal="center" vertical="center"/>
    </xf>
    <xf numFmtId="1" fontId="107" fillId="4" borderId="18" xfId="0" applyNumberFormat="1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1" fontId="42" fillId="4" borderId="3" xfId="0" applyNumberFormat="1" applyFont="1" applyFill="1" applyBorder="1" applyAlignment="1">
      <alignment horizontal="center" vertical="center" wrapText="1"/>
    </xf>
    <xf numFmtId="1" fontId="60" fillId="4" borderId="37" xfId="0" applyNumberFormat="1" applyFont="1" applyFill="1" applyBorder="1" applyAlignment="1">
      <alignment horizontal="center" vertical="center"/>
    </xf>
    <xf numFmtId="1" fontId="60" fillId="7" borderId="33" xfId="0" applyNumberFormat="1" applyFont="1" applyFill="1" applyBorder="1" applyAlignment="1">
      <alignment horizontal="center" vertical="center"/>
    </xf>
    <xf numFmtId="2" fontId="60" fillId="7" borderId="34" xfId="0" applyNumberFormat="1" applyFont="1" applyFill="1" applyBorder="1" applyAlignment="1">
      <alignment horizontal="center" vertical="center"/>
    </xf>
    <xf numFmtId="1" fontId="60" fillId="7" borderId="34" xfId="0" applyNumberFormat="1" applyFont="1" applyFill="1" applyBorder="1" applyAlignment="1">
      <alignment horizontal="center" vertical="center"/>
    </xf>
    <xf numFmtId="1" fontId="42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2" fillId="7" borderId="25" xfId="0" applyFont="1" applyFill="1" applyBorder="1" applyAlignment="1">
      <alignment horizontal="center" vertical="center"/>
    </xf>
    <xf numFmtId="1" fontId="107" fillId="4" borderId="7" xfId="0" applyNumberFormat="1" applyFont="1" applyFill="1" applyBorder="1" applyAlignment="1">
      <alignment horizontal="center" vertical="center"/>
    </xf>
    <xf numFmtId="1" fontId="71" fillId="7" borderId="4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60" fillId="4" borderId="3" xfId="0" applyNumberFormat="1" applyFont="1" applyFill="1" applyBorder="1" applyAlignment="1">
      <alignment horizontal="center" vertical="center"/>
    </xf>
    <xf numFmtId="0" fontId="118" fillId="2" borderId="0" xfId="0" applyFont="1" applyFill="1"/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1" fontId="60" fillId="21" borderId="5" xfId="0" applyNumberFormat="1" applyFont="1" applyFill="1" applyBorder="1" applyAlignment="1">
      <alignment horizontal="center" vertical="center"/>
    </xf>
    <xf numFmtId="1" fontId="60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60" fillId="21" borderId="3" xfId="0" applyNumberFormat="1" applyFont="1" applyFill="1" applyBorder="1" applyAlignment="1">
      <alignment horizontal="center" vertical="center"/>
    </xf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7" fillId="21" borderId="3" xfId="0" applyNumberFormat="1" applyFont="1" applyFill="1" applyBorder="1" applyAlignment="1">
      <alignment horizontal="center" vertical="center"/>
    </xf>
    <xf numFmtId="1" fontId="60" fillId="21" borderId="17" xfId="0" applyNumberFormat="1" applyFont="1" applyFill="1" applyBorder="1" applyAlignment="1">
      <alignment horizontal="center" vertical="center"/>
    </xf>
    <xf numFmtId="0" fontId="1" fillId="21" borderId="7" xfId="0" applyFont="1" applyFill="1" applyBorder="1"/>
    <xf numFmtId="1" fontId="60" fillId="21" borderId="14" xfId="0" applyNumberFormat="1" applyFont="1" applyFill="1" applyBorder="1" applyAlignment="1">
      <alignment horizontal="center" vertical="center"/>
    </xf>
    <xf numFmtId="0" fontId="0" fillId="21" borderId="3" xfId="0" applyFill="1" applyBorder="1"/>
    <xf numFmtId="2" fontId="60" fillId="21" borderId="5" xfId="3" applyNumberFormat="1" applyFont="1" applyFill="1" applyBorder="1" applyAlignment="1">
      <alignment horizontal="center" vertical="center"/>
    </xf>
    <xf numFmtId="1" fontId="60" fillId="21" borderId="8" xfId="0" applyNumberFormat="1" applyFont="1" applyFill="1" applyBorder="1" applyAlignment="1">
      <alignment horizontal="center" vertical="center"/>
    </xf>
    <xf numFmtId="2" fontId="60" fillId="21" borderId="5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7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2" fontId="60" fillId="4" borderId="3" xfId="0" applyNumberFormat="1" applyFont="1" applyFill="1" applyBorder="1" applyAlignment="1">
      <alignment horizontal="center" vertical="center"/>
    </xf>
    <xf numFmtId="2" fontId="60" fillId="7" borderId="18" xfId="3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0" fillId="21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3" fillId="7" borderId="3" xfId="0" applyNumberFormat="1" applyFont="1" applyFill="1" applyBorder="1"/>
    <xf numFmtId="2" fontId="60" fillId="7" borderId="3" xfId="0" applyNumberFormat="1" applyFont="1" applyFill="1" applyBorder="1" applyAlignment="1">
      <alignment horizontal="center"/>
    </xf>
    <xf numFmtId="1" fontId="60" fillId="7" borderId="3" xfId="0" applyNumberFormat="1" applyFont="1" applyFill="1" applyBorder="1" applyAlignment="1">
      <alignment horizontal="center"/>
    </xf>
    <xf numFmtId="0" fontId="0" fillId="4" borderId="0" xfId="0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21" borderId="3" xfId="0" applyNumberFormat="1" applyFont="1" applyFill="1" applyBorder="1" applyAlignment="1">
      <alignment horizontal="center" vertical="center"/>
    </xf>
    <xf numFmtId="0" fontId="1" fillId="21" borderId="0" xfId="0" applyFont="1" applyFill="1"/>
    <xf numFmtId="1" fontId="1" fillId="21" borderId="7" xfId="0" applyNumberFormat="1" applyFont="1" applyFill="1" applyBorder="1"/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7" fillId="9" borderId="0" xfId="0" applyFont="1" applyFill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7" fillId="9" borderId="0" xfId="0" applyFont="1" applyFill="1" applyBorder="1" applyAlignment="1"/>
    <xf numFmtId="2" fontId="41" fillId="7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60" fillId="4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5" fillId="4" borderId="11" xfId="0" applyFont="1" applyFill="1" applyBorder="1"/>
    <xf numFmtId="2" fontId="60" fillId="4" borderId="3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 wrapText="1"/>
    </xf>
    <xf numFmtId="2" fontId="60" fillId="21" borderId="3" xfId="0" applyNumberFormat="1" applyFont="1" applyFill="1" applyBorder="1" applyAlignment="1">
      <alignment horizontal="center" vertical="center"/>
    </xf>
    <xf numFmtId="0" fontId="1" fillId="7" borderId="5" xfId="0" applyFont="1" applyFill="1" applyBorder="1"/>
    <xf numFmtId="1" fontId="1" fillId="7" borderId="5" xfId="0" applyNumberFormat="1" applyFont="1" applyFill="1" applyBorder="1"/>
    <xf numFmtId="0" fontId="1" fillId="4" borderId="11" xfId="0" applyFont="1" applyFill="1" applyBorder="1"/>
    <xf numFmtId="2" fontId="6" fillId="7" borderId="12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0" fillId="7" borderId="5" xfId="0" applyFill="1" applyBorder="1"/>
    <xf numFmtId="2" fontId="60" fillId="4" borderId="38" xfId="0" applyNumberFormat="1" applyFont="1" applyFill="1" applyBorder="1" applyAlignment="1">
      <alignment horizontal="center" vertical="center"/>
    </xf>
    <xf numFmtId="1" fontId="107" fillId="0" borderId="3" xfId="0" applyNumberFormat="1" applyFont="1" applyFill="1" applyBorder="1" applyAlignment="1">
      <alignment horizontal="center" vertical="center"/>
    </xf>
    <xf numFmtId="2" fontId="71" fillId="0" borderId="3" xfId="0" applyNumberFormat="1" applyFont="1" applyFill="1" applyBorder="1" applyAlignment="1">
      <alignment horizontal="center" vertical="center"/>
    </xf>
    <xf numFmtId="1" fontId="60" fillId="0" borderId="3" xfId="0" applyNumberFormat="1" applyFont="1" applyFill="1" applyBorder="1" applyAlignment="1">
      <alignment horizontal="center" vertical="center"/>
    </xf>
    <xf numFmtId="2" fontId="60" fillId="0" borderId="3" xfId="0" applyNumberFormat="1" applyFont="1" applyFill="1" applyBorder="1" applyAlignment="1">
      <alignment horizontal="center" vertical="center"/>
    </xf>
    <xf numFmtId="1" fontId="107" fillId="0" borderId="5" xfId="0" applyNumberFormat="1" applyFont="1" applyFill="1" applyBorder="1" applyAlignment="1">
      <alignment horizontal="center" vertical="center"/>
    </xf>
    <xf numFmtId="1" fontId="60" fillId="0" borderId="8" xfId="0" applyNumberFormat="1" applyFont="1" applyFill="1" applyBorder="1" applyAlignment="1">
      <alignment horizontal="center" vertical="center"/>
    </xf>
    <xf numFmtId="1" fontId="107" fillId="7" borderId="7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166" fontId="80" fillId="4" borderId="0" xfId="2" applyNumberFormat="1" applyFont="1" applyFill="1" applyBorder="1" applyAlignment="1" applyProtection="1">
      <alignment horizontal="center"/>
    </xf>
    <xf numFmtId="0" fontId="74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1" fillId="2" borderId="3" xfId="0" applyFont="1" applyFill="1" applyBorder="1"/>
    <xf numFmtId="0" fontId="4" fillId="4" borderId="3" xfId="0" applyFont="1" applyFill="1" applyBorder="1" applyAlignment="1"/>
    <xf numFmtId="1" fontId="60" fillId="0" borderId="5" xfId="0" applyNumberFormat="1" applyFont="1" applyFill="1" applyBorder="1" applyAlignment="1">
      <alignment horizontal="center" vertical="center"/>
    </xf>
    <xf numFmtId="1" fontId="60" fillId="21" borderId="7" xfId="0" applyNumberFormat="1" applyFont="1" applyFill="1" applyBorder="1" applyAlignment="1">
      <alignment horizontal="center" vertical="center"/>
    </xf>
    <xf numFmtId="1" fontId="60" fillId="4" borderId="10" xfId="0" applyNumberFormat="1" applyFont="1" applyFill="1" applyBorder="1" applyAlignment="1">
      <alignment horizontal="center" vertical="center"/>
    </xf>
    <xf numFmtId="1" fontId="60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1" fontId="60" fillId="7" borderId="36" xfId="0" applyNumberFormat="1" applyFont="1" applyFill="1" applyBorder="1" applyAlignment="1">
      <alignment horizontal="center" vertical="center"/>
    </xf>
    <xf numFmtId="1" fontId="60" fillId="4" borderId="36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5" fillId="7" borderId="3" xfId="0" applyFont="1" applyFill="1" applyBorder="1"/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2" fontId="60" fillId="21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7" fillId="9" borderId="1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3" fillId="4" borderId="3" xfId="0" applyNumberFormat="1" applyFont="1" applyFill="1" applyBorder="1"/>
    <xf numFmtId="2" fontId="60" fillId="4" borderId="3" xfId="0" applyNumberFormat="1" applyFont="1" applyFill="1" applyBorder="1" applyAlignment="1">
      <alignment horizontal="center"/>
    </xf>
    <xf numFmtId="1" fontId="60" fillId="4" borderId="3" xfId="0" applyNumberFormat="1" applyFont="1" applyFill="1" applyBorder="1" applyAlignment="1">
      <alignment horizont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21" borderId="3" xfId="0" applyNumberFormat="1" applyFont="1" applyFill="1" applyBorder="1" applyAlignment="1">
      <alignment horizontal="center" vertical="center"/>
    </xf>
    <xf numFmtId="1" fontId="107" fillId="21" borderId="4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21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2" fontId="5" fillId="6" borderId="3" xfId="0" applyNumberFormat="1" applyFont="1" applyFill="1" applyBorder="1" applyAlignment="1"/>
    <xf numFmtId="0" fontId="0" fillId="6" borderId="3" xfId="0" applyFill="1" applyBorder="1" applyAlignment="1"/>
    <xf numFmtId="2" fontId="60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2" fontId="5" fillId="6" borderId="11" xfId="0" applyNumberFormat="1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67" fillId="9" borderId="1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2" fontId="5" fillId="21" borderId="3" xfId="0" applyNumberFormat="1" applyFont="1" applyFill="1" applyBorder="1" applyAlignment="1">
      <alignment wrapText="1"/>
    </xf>
    <xf numFmtId="0" fontId="0" fillId="21" borderId="3" xfId="0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62" fillId="19" borderId="15" xfId="0" applyFont="1" applyFill="1" applyBorder="1" applyAlignment="1">
      <alignment horizontal="center" vertical="center" wrapText="1"/>
    </xf>
    <xf numFmtId="0" fontId="62" fillId="19" borderId="5" xfId="0" applyFont="1" applyFill="1" applyBorder="1" applyAlignment="1">
      <alignment horizontal="center" vertical="center" wrapText="1"/>
    </xf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4" borderId="5" xfId="0" applyNumberFormat="1" applyFont="1" applyFill="1" applyBorder="1" applyAlignment="1"/>
    <xf numFmtId="0" fontId="18" fillId="4" borderId="5" xfId="0" applyFont="1" applyFill="1" applyBorder="1" applyAlignment="1"/>
    <xf numFmtId="0" fontId="1" fillId="6" borderId="3" xfId="0" applyFont="1" applyFill="1" applyBorder="1" applyAlignment="1"/>
    <xf numFmtId="2" fontId="5" fillId="7" borderId="11" xfId="0" applyNumberFormat="1" applyFont="1" applyFill="1" applyBorder="1" applyAlignment="1"/>
    <xf numFmtId="0" fontId="1" fillId="7" borderId="2" xfId="0" applyFont="1" applyFill="1" applyBorder="1" applyAlignment="1"/>
    <xf numFmtId="0" fontId="1" fillId="7" borderId="4" xfId="0" applyFont="1" applyFill="1" applyBorder="1" applyAlignment="1"/>
    <xf numFmtId="0" fontId="18" fillId="4" borderId="3" xfId="0" applyFont="1" applyFill="1" applyBorder="1" applyAlignment="1"/>
    <xf numFmtId="0" fontId="51" fillId="2" borderId="0" xfId="2" applyFont="1" applyFill="1" applyAlignment="1" applyProtection="1"/>
    <xf numFmtId="0" fontId="51" fillId="0" borderId="0" xfId="2" applyFont="1" applyAlignment="1" applyProtection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62" fillId="11" borderId="7" xfId="0" applyFont="1" applyFill="1" applyBorder="1" applyAlignment="1">
      <alignment horizontal="center" vertical="center" wrapText="1"/>
    </xf>
    <xf numFmtId="0" fontId="61" fillId="11" borderId="5" xfId="0" applyFont="1" applyFill="1" applyBorder="1" applyAlignment="1">
      <alignment horizontal="center" vertical="center" wrapText="1"/>
    </xf>
    <xf numFmtId="2" fontId="105" fillId="13" borderId="25" xfId="0" applyNumberFormat="1" applyFont="1" applyFill="1" applyBorder="1" applyAlignment="1">
      <alignment horizontal="center" vertical="center" wrapText="1"/>
    </xf>
    <xf numFmtId="0" fontId="79" fillId="13" borderId="25" xfId="0" applyFont="1" applyFill="1" applyBorder="1" applyAlignment="1">
      <alignment horizontal="center" vertical="center" wrapText="1"/>
    </xf>
    <xf numFmtId="0" fontId="79" fillId="13" borderId="19" xfId="0" applyFont="1" applyFill="1" applyBorder="1" applyAlignment="1">
      <alignment horizontal="center" vertical="center" wrapText="1"/>
    </xf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0" fontId="62" fillId="19" borderId="7" xfId="0" applyFont="1" applyFill="1" applyBorder="1" applyAlignment="1">
      <alignment horizontal="center" vertical="center" wrapText="1"/>
    </xf>
    <xf numFmtId="0" fontId="4" fillId="19" borderId="22" xfId="2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67" fillId="9" borderId="1" xfId="0" applyFont="1" applyFill="1" applyBorder="1" applyAlignment="1">
      <alignment vertical="center"/>
    </xf>
    <xf numFmtId="0" fontId="67" fillId="9" borderId="0" xfId="0" applyFont="1" applyFill="1" applyBorder="1" applyAlignment="1">
      <alignment vertical="center"/>
    </xf>
    <xf numFmtId="0" fontId="67" fillId="9" borderId="22" xfId="0" applyFont="1" applyFill="1" applyBorder="1" applyAlignment="1">
      <alignment vertical="center"/>
    </xf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2" fontId="5" fillId="4" borderId="11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2" fontId="5" fillId="6" borderId="3" xfId="0" applyNumberFormat="1" applyFont="1" applyFill="1" applyBorder="1" applyAlignment="1">
      <alignment wrapText="1"/>
    </xf>
    <xf numFmtId="0" fontId="5" fillId="4" borderId="3" xfId="0" applyFont="1" applyFill="1" applyBorder="1" applyAlignment="1"/>
    <xf numFmtId="0" fontId="1" fillId="4" borderId="3" xfId="0" applyFont="1" applyFill="1" applyBorder="1" applyAlignment="1"/>
    <xf numFmtId="2" fontId="105" fillId="13" borderId="3" xfId="0" applyNumberFormat="1" applyFont="1" applyFill="1" applyBorder="1" applyAlignment="1">
      <alignment horizontal="center" vertical="center" wrapText="1"/>
    </xf>
    <xf numFmtId="0" fontId="79" fillId="13" borderId="3" xfId="0" applyFont="1" applyFill="1" applyBorder="1" applyAlignment="1">
      <alignment horizontal="center" vertical="center" wrapText="1"/>
    </xf>
    <xf numFmtId="0" fontId="0" fillId="7" borderId="2" xfId="0" applyFill="1" applyBorder="1" applyAlignment="1"/>
    <xf numFmtId="0" fontId="0" fillId="7" borderId="4" xfId="0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2" fontId="17" fillId="7" borderId="11" xfId="0" applyNumberFormat="1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7" borderId="3" xfId="0" applyFont="1" applyFill="1" applyBorder="1" applyAlignment="1"/>
    <xf numFmtId="0" fontId="5" fillId="7" borderId="3" xfId="0" applyFont="1" applyFill="1" applyBorder="1" applyAlignment="1"/>
    <xf numFmtId="0" fontId="5" fillId="4" borderId="18" xfId="0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0" fontId="62" fillId="11" borderId="3" xfId="0" applyFont="1" applyFill="1" applyBorder="1" applyAlignment="1">
      <alignment horizontal="center" vertical="center" wrapText="1"/>
    </xf>
    <xf numFmtId="0" fontId="61" fillId="11" borderId="3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2" fontId="0" fillId="6" borderId="3" xfId="0" applyNumberFormat="1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2" fontId="5" fillId="4" borderId="3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74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67" fillId="12" borderId="16" xfId="0" applyNumberFormat="1" applyFont="1" applyFill="1" applyBorder="1" applyAlignment="1">
      <alignment horizontal="center" vertical="center" wrapText="1"/>
    </xf>
    <xf numFmtId="0" fontId="73" fillId="12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3" fillId="12" borderId="1" xfId="0" applyFont="1" applyFill="1" applyBorder="1" applyAlignment="1">
      <alignment horizontal="center" vertical="center" wrapText="1"/>
    </xf>
    <xf numFmtId="0" fontId="73" fillId="1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3" fillId="12" borderId="18" xfId="0" applyFont="1" applyFill="1" applyBorder="1" applyAlignment="1">
      <alignment horizontal="center" vertical="center" wrapText="1"/>
    </xf>
    <xf numFmtId="0" fontId="73" fillId="1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4" fillId="9" borderId="1" xfId="0" applyFont="1" applyFill="1" applyBorder="1" applyAlignment="1">
      <alignment vertical="center"/>
    </xf>
    <xf numFmtId="0" fontId="76" fillId="9" borderId="0" xfId="0" applyFont="1" applyFill="1" applyBorder="1" applyAlignment="1">
      <alignment vertical="center"/>
    </xf>
    <xf numFmtId="0" fontId="76" fillId="9" borderId="22" xfId="0" applyFont="1" applyFill="1" applyBorder="1" applyAlignment="1">
      <alignment vertical="center"/>
    </xf>
    <xf numFmtId="2" fontId="5" fillId="4" borderId="18" xfId="0" applyNumberFormat="1" applyFont="1" applyFill="1" applyBorder="1" applyAlignment="1"/>
    <xf numFmtId="2" fontId="5" fillId="21" borderId="5" xfId="0" applyNumberFormat="1" applyFont="1" applyFill="1" applyBorder="1" applyAlignment="1"/>
    <xf numFmtId="2" fontId="1" fillId="21" borderId="5" xfId="0" applyNumberFormat="1" applyFont="1" applyFill="1" applyBorder="1" applyAlignment="1"/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0" fontId="2" fillId="0" borderId="3" xfId="0" applyFont="1" applyBorder="1" applyAlignment="1">
      <alignment horizontal="left" vertical="center" wrapText="1"/>
    </xf>
    <xf numFmtId="0" fontId="67" fillId="9" borderId="0" xfId="0" applyFont="1" applyFill="1" applyAlignment="1">
      <alignment vertical="center"/>
    </xf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4" borderId="5" xfId="0" applyFill="1" applyBorder="1" applyAlignment="1"/>
    <xf numFmtId="2" fontId="4" fillId="21" borderId="2" xfId="0" applyNumberFormat="1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center" vertical="center" wrapText="1"/>
    </xf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7" fillId="9" borderId="0" xfId="0" applyFont="1" applyFill="1" applyBorder="1" applyAlignment="1"/>
    <xf numFmtId="0" fontId="74" fillId="9" borderId="0" xfId="0" applyFont="1" applyFill="1" applyBorder="1" applyAlignment="1"/>
    <xf numFmtId="0" fontId="74" fillId="9" borderId="22" xfId="0" applyFont="1" applyFill="1" applyBorder="1" applyAlignment="1"/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0" fontId="74" fillId="4" borderId="1" xfId="0" applyFont="1" applyFill="1" applyBorder="1" applyAlignment="1"/>
    <xf numFmtId="0" fontId="0" fillId="4" borderId="0" xfId="0" applyFill="1" applyBorder="1" applyAlignment="1"/>
    <xf numFmtId="0" fontId="0" fillId="0" borderId="0" xfId="0" applyAlignment="1"/>
    <xf numFmtId="2" fontId="59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7" borderId="11" xfId="0" applyFill="1" applyBorder="1" applyAlignment="1"/>
    <xf numFmtId="0" fontId="0" fillId="4" borderId="11" xfId="0" applyFill="1" applyBorder="1" applyAlignment="1"/>
    <xf numFmtId="0" fontId="1" fillId="4" borderId="7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36" fillId="9" borderId="0" xfId="0" applyFont="1" applyFill="1" applyBorder="1" applyAlignment="1"/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2" fontId="60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7" borderId="7" xfId="0" applyFont="1" applyFill="1" applyBorder="1" applyAlignment="1"/>
    <xf numFmtId="0" fontId="18" fillId="7" borderId="7" xfId="0" applyFont="1" applyFill="1" applyBorder="1" applyAlignment="1"/>
    <xf numFmtId="2" fontId="60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95" fillId="9" borderId="0" xfId="0" applyFont="1" applyFill="1" applyBorder="1" applyAlignment="1"/>
    <xf numFmtId="0" fontId="66" fillId="9" borderId="0" xfId="0" applyFont="1" applyFill="1" applyBorder="1" applyAlignment="1"/>
    <xf numFmtId="0" fontId="53" fillId="4" borderId="0" xfId="2" applyFont="1" applyFill="1" applyAlignment="1" applyProtection="1"/>
    <xf numFmtId="0" fontId="53" fillId="0" borderId="0" xfId="2" applyFont="1" applyAlignment="1" applyProtection="1"/>
    <xf numFmtId="0" fontId="0" fillId="21" borderId="5" xfId="0" applyFill="1" applyBorder="1" applyAlignment="1"/>
    <xf numFmtId="2" fontId="59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/>
    <xf numFmtId="0" fontId="0" fillId="6" borderId="5" xfId="0" applyFill="1" applyBorder="1" applyAlignment="1"/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5" fillId="21" borderId="5" xfId="0" applyFont="1" applyFill="1" applyBorder="1" applyAlignment="1"/>
    <xf numFmtId="2" fontId="59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/>
    <xf numFmtId="0" fontId="2" fillId="9" borderId="0" xfId="0" applyFont="1" applyFill="1" applyAlignment="1"/>
    <xf numFmtId="0" fontId="5" fillId="7" borderId="16" xfId="0" applyFont="1" applyFill="1" applyBorder="1" applyAlignment="1"/>
    <xf numFmtId="0" fontId="0" fillId="7" borderId="25" xfId="0" applyFill="1" applyBorder="1" applyAlignment="1"/>
    <xf numFmtId="0" fontId="0" fillId="7" borderId="19" xfId="0" applyFill="1" applyBorder="1" applyAlignment="1"/>
    <xf numFmtId="0" fontId="53" fillId="2" borderId="0" xfId="2" applyFont="1" applyFill="1" applyAlignment="1" applyProtection="1"/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64" fillId="2" borderId="7" xfId="2" applyFont="1" applyFill="1" applyBorder="1" applyAlignment="1" applyProtection="1">
      <alignment horizontal="center" vertical="center"/>
    </xf>
    <xf numFmtId="0" fontId="64" fillId="0" borderId="5" xfId="2" applyFont="1" applyBorder="1" applyAlignment="1" applyProtection="1">
      <alignment horizontal="center" vertical="center"/>
    </xf>
    <xf numFmtId="0" fontId="46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5" fillId="19" borderId="25" xfId="0" applyFont="1" applyFill="1" applyBorder="1" applyAlignment="1">
      <alignment horizontal="center" vertical="center" wrapText="1"/>
    </xf>
    <xf numFmtId="0" fontId="45" fillId="19" borderId="19" xfId="0" applyFont="1" applyFill="1" applyBorder="1" applyAlignment="1">
      <alignment horizontal="center" vertical="center" wrapText="1"/>
    </xf>
    <xf numFmtId="0" fontId="88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16" fillId="19" borderId="18" xfId="2" applyFont="1" applyFill="1" applyBorder="1" applyAlignment="1" applyProtection="1">
      <alignment horizontal="left" vertical="center"/>
    </xf>
    <xf numFmtId="0" fontId="116" fillId="19" borderId="12" xfId="2" applyFont="1" applyFill="1" applyBorder="1" applyAlignment="1" applyProtection="1">
      <alignment horizontal="left" vertical="center"/>
    </xf>
    <xf numFmtId="0" fontId="91" fillId="20" borderId="11" xfId="0" applyFont="1" applyFill="1" applyBorder="1" applyAlignment="1">
      <alignment horizontal="center" vertical="center"/>
    </xf>
    <xf numFmtId="0" fontId="92" fillId="20" borderId="2" xfId="0" applyFont="1" applyFill="1" applyBorder="1" applyAlignment="1">
      <alignment horizontal="center" vertical="center"/>
    </xf>
    <xf numFmtId="0" fontId="92" fillId="20" borderId="4" xfId="0" applyFont="1" applyFill="1" applyBorder="1" applyAlignment="1">
      <alignment horizontal="center" vertical="center"/>
    </xf>
    <xf numFmtId="0" fontId="119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5" fillId="19" borderId="16" xfId="2" applyFont="1" applyFill="1" applyBorder="1" applyAlignment="1" applyProtection="1">
      <alignment horizontal="center" vertical="center" wrapText="1"/>
    </xf>
    <xf numFmtId="0" fontId="115" fillId="19" borderId="25" xfId="2" applyFont="1" applyFill="1" applyBorder="1" applyAlignment="1" applyProtection="1">
      <alignment horizontal="center" vertical="center" wrapText="1"/>
    </xf>
    <xf numFmtId="0" fontId="115" fillId="19" borderId="19" xfId="2" applyFont="1" applyFill="1" applyBorder="1" applyAlignment="1" applyProtection="1">
      <alignment horizontal="center" vertical="center" wrapText="1"/>
    </xf>
    <xf numFmtId="0" fontId="115" fillId="19" borderId="18" xfId="2" applyFont="1" applyFill="1" applyBorder="1" applyAlignment="1" applyProtection="1">
      <alignment horizontal="center" vertical="center" wrapText="1"/>
    </xf>
    <xf numFmtId="0" fontId="115" fillId="19" borderId="12" xfId="2" applyFont="1" applyFill="1" applyBorder="1" applyAlignment="1" applyProtection="1">
      <alignment horizontal="center" vertical="center" wrapText="1"/>
    </xf>
    <xf numFmtId="0" fontId="115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3" fillId="8" borderId="11" xfId="0" applyFont="1" applyFill="1" applyBorder="1" applyAlignment="1">
      <alignment horizontal="center" vertical="center" wrapText="1"/>
    </xf>
    <xf numFmtId="0" fontId="113" fillId="8" borderId="2" xfId="0" applyFont="1" applyFill="1" applyBorder="1" applyAlignment="1">
      <alignment horizontal="center" vertical="center" wrapText="1"/>
    </xf>
    <xf numFmtId="0" fontId="114" fillId="8" borderId="4" xfId="0" applyFont="1" applyFill="1" applyBorder="1" applyAlignment="1">
      <alignment horizontal="center" vertical="center" wrapText="1"/>
    </xf>
    <xf numFmtId="0" fontId="54" fillId="3" borderId="11" xfId="0" applyFont="1" applyFill="1" applyBorder="1" applyAlignment="1">
      <alignment horizontal="center" wrapText="1"/>
    </xf>
    <xf numFmtId="0" fontId="54" fillId="3" borderId="2" xfId="0" applyFont="1" applyFill="1" applyBorder="1" applyAlignment="1">
      <alignment horizontal="center" wrapText="1"/>
    </xf>
    <xf numFmtId="0" fontId="48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4" fillId="4" borderId="11" xfId="0" applyFont="1" applyFill="1" applyBorder="1" applyAlignment="1">
      <alignment horizontal="center" vertical="center"/>
    </xf>
    <xf numFmtId="0" fontId="92" fillId="4" borderId="2" xfId="0" applyFont="1" applyFill="1" applyBorder="1" applyAlignment="1">
      <alignment horizontal="center" vertical="center"/>
    </xf>
    <xf numFmtId="0" fontId="92" fillId="4" borderId="2" xfId="0" applyFont="1" applyFill="1" applyBorder="1" applyAlignment="1"/>
    <xf numFmtId="0" fontId="92" fillId="4" borderId="4" xfId="0" applyFont="1" applyFill="1" applyBorder="1" applyAlignment="1"/>
    <xf numFmtId="0" fontId="111" fillId="19" borderId="11" xfId="0" applyFont="1" applyFill="1" applyBorder="1" applyAlignment="1">
      <alignment horizontal="center" vertical="center" wrapText="1"/>
    </xf>
    <xf numFmtId="0" fontId="112" fillId="19" borderId="2" xfId="0" applyFont="1" applyFill="1" applyBorder="1" applyAlignment="1">
      <alignment horizontal="center" vertical="center" wrapText="1"/>
    </xf>
    <xf numFmtId="0" fontId="112" fillId="19" borderId="4" xfId="0" applyFont="1" applyFill="1" applyBorder="1" applyAlignment="1">
      <alignment horizontal="center" vertical="center" wrapText="1"/>
    </xf>
    <xf numFmtId="0" fontId="89" fillId="13" borderId="11" xfId="0" applyFont="1" applyFill="1" applyBorder="1" applyAlignment="1">
      <alignment horizontal="center" vertical="center"/>
    </xf>
    <xf numFmtId="0" fontId="79" fillId="13" borderId="2" xfId="0" applyFont="1" applyFill="1" applyBorder="1" applyAlignment="1">
      <alignment horizontal="center" vertical="center"/>
    </xf>
    <xf numFmtId="0" fontId="79" fillId="13" borderId="2" xfId="0" applyFont="1" applyFill="1" applyBorder="1" applyAlignment="1">
      <alignment horizontal="center"/>
    </xf>
    <xf numFmtId="0" fontId="79" fillId="13" borderId="4" xfId="0" applyFont="1" applyFill="1" applyBorder="1" applyAlignment="1">
      <alignment horizontal="center"/>
    </xf>
    <xf numFmtId="0" fontId="12" fillId="19" borderId="11" xfId="2" applyFill="1" applyBorder="1" applyAlignment="1" applyProtection="1">
      <alignment horizontal="center" vertical="center" wrapText="1"/>
    </xf>
    <xf numFmtId="0" fontId="12" fillId="19" borderId="2" xfId="2" applyFill="1" applyBorder="1" applyAlignment="1" applyProtection="1">
      <alignment horizontal="center" vertical="center" wrapText="1"/>
    </xf>
    <xf numFmtId="0" fontId="12" fillId="19" borderId="4" xfId="2" applyFill="1" applyBorder="1" applyAlignment="1" applyProtection="1">
      <alignment horizontal="center" vertical="center" wrapText="1"/>
    </xf>
    <xf numFmtId="0" fontId="90" fillId="4" borderId="0" xfId="2" applyFont="1" applyFill="1" applyBorder="1" applyAlignment="1" applyProtection="1">
      <alignment horizontal="center" vertical="center" wrapText="1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left"/>
    </xf>
    <xf numFmtId="2" fontId="60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0" fontId="67" fillId="9" borderId="22" xfId="0" applyFont="1" applyFill="1" applyBorder="1" applyAlignment="1"/>
    <xf numFmtId="2" fontId="5" fillId="21" borderId="3" xfId="0" applyNumberFormat="1" applyFont="1" applyFill="1" applyBorder="1" applyAlignment="1"/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0" fontId="39" fillId="4" borderId="4" xfId="0" applyFont="1" applyFill="1" applyBorder="1" applyAlignment="1"/>
    <xf numFmtId="0" fontId="73" fillId="12" borderId="19" xfId="0" applyFont="1" applyFill="1" applyBorder="1" applyAlignment="1">
      <alignment horizontal="center" vertical="center" wrapText="1"/>
    </xf>
    <xf numFmtId="0" fontId="73" fillId="12" borderId="9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/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0" fillId="7" borderId="18" xfId="0" applyFill="1" applyBorder="1" applyAlignment="1"/>
    <xf numFmtId="2" fontId="5" fillId="7" borderId="7" xfId="0" applyNumberFormat="1" applyFont="1" applyFill="1" applyBorder="1" applyAlignment="1"/>
    <xf numFmtId="0" fontId="0" fillId="7" borderId="7" xfId="0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2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66" fillId="0" borderId="0" xfId="0" applyFont="1" applyAlignment="1"/>
    <xf numFmtId="0" fontId="66" fillId="0" borderId="22" xfId="0" applyFont="1" applyBorder="1" applyAlignment="1"/>
    <xf numFmtId="0" fontId="67" fillId="9" borderId="0" xfId="0" applyFont="1" applyFill="1" applyAlignment="1"/>
    <xf numFmtId="0" fontId="67" fillId="12" borderId="16" xfId="0" applyFont="1" applyFill="1" applyBorder="1" applyAlignment="1">
      <alignment horizontal="center" vertical="center" wrapText="1"/>
    </xf>
    <xf numFmtId="0" fontId="67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7" fillId="12" borderId="1" xfId="0" applyFont="1" applyFill="1" applyBorder="1" applyAlignment="1">
      <alignment horizontal="center" vertical="center" wrapText="1"/>
    </xf>
    <xf numFmtId="0" fontId="67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2" fontId="60" fillId="1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21" borderId="3" xfId="0" applyFont="1" applyFill="1" applyBorder="1" applyAlignment="1"/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2" fontId="73" fillId="21" borderId="3" xfId="0" applyNumberFormat="1" applyFont="1" applyFill="1" applyBorder="1" applyAlignment="1"/>
    <xf numFmtId="0" fontId="66" fillId="21" borderId="3" xfId="0" applyFont="1" applyFill="1" applyBorder="1" applyAlignment="1"/>
    <xf numFmtId="0" fontId="106" fillId="12" borderId="16" xfId="0" applyFont="1" applyFill="1" applyBorder="1" applyAlignment="1">
      <alignment horizontal="center" vertical="center" wrapText="1"/>
    </xf>
    <xf numFmtId="0" fontId="106" fillId="12" borderId="25" xfId="0" applyFont="1" applyFill="1" applyBorder="1" applyAlignment="1">
      <alignment horizontal="center" vertical="center" wrapText="1"/>
    </xf>
    <xf numFmtId="0" fontId="106" fillId="12" borderId="19" xfId="0" applyFont="1" applyFill="1" applyBorder="1" applyAlignment="1">
      <alignment horizontal="center" vertical="center" wrapText="1"/>
    </xf>
    <xf numFmtId="0" fontId="106" fillId="12" borderId="1" xfId="0" applyFont="1" applyFill="1" applyBorder="1" applyAlignment="1">
      <alignment horizontal="center" vertical="center" wrapText="1"/>
    </xf>
    <xf numFmtId="0" fontId="106" fillId="12" borderId="0" xfId="0" applyFont="1" applyFill="1" applyBorder="1" applyAlignment="1">
      <alignment horizontal="center" vertical="center" wrapText="1"/>
    </xf>
    <xf numFmtId="0" fontId="106" fillId="12" borderId="22" xfId="0" applyFont="1" applyFill="1" applyBorder="1" applyAlignment="1">
      <alignment horizontal="center" vertical="center" wrapText="1"/>
    </xf>
    <xf numFmtId="0" fontId="106" fillId="12" borderId="18" xfId="0" applyFont="1" applyFill="1" applyBorder="1" applyAlignment="1">
      <alignment horizontal="center" vertical="center" wrapText="1"/>
    </xf>
    <xf numFmtId="0" fontId="106" fillId="12" borderId="12" xfId="0" applyFont="1" applyFill="1" applyBorder="1" applyAlignment="1">
      <alignment horizontal="center" vertical="center" wrapText="1"/>
    </xf>
    <xf numFmtId="0" fontId="106" fillId="12" borderId="9" xfId="0" applyFont="1" applyFill="1" applyBorder="1" applyAlignment="1">
      <alignment horizontal="center" vertical="center" wrapText="1"/>
    </xf>
    <xf numFmtId="2" fontId="41" fillId="7" borderId="3" xfId="0" applyNumberFormat="1" applyFont="1" applyFill="1" applyBorder="1" applyAlignment="1">
      <alignment horizontal="center" vertical="center" wrapText="1"/>
    </xf>
    <xf numFmtId="2" fontId="46" fillId="7" borderId="3" xfId="0" applyNumberFormat="1" applyFont="1" applyFill="1" applyBorder="1" applyAlignment="1">
      <alignment horizontal="center" vertical="center" wrapText="1"/>
    </xf>
    <xf numFmtId="0" fontId="61" fillId="7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73" fillId="4" borderId="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2" fontId="5" fillId="0" borderId="18" xfId="0" applyNumberFormat="1" applyFont="1" applyFill="1" applyBorder="1" applyAlignment="1"/>
    <xf numFmtId="0" fontId="0" fillId="0" borderId="12" xfId="0" applyFill="1" applyBorder="1" applyAlignment="1"/>
    <xf numFmtId="0" fontId="0" fillId="0" borderId="9" xfId="0" applyFill="1" applyBorder="1" applyAlignment="1"/>
    <xf numFmtId="0" fontId="1" fillId="7" borderId="3" xfId="0" applyFont="1" applyFill="1" applyBorder="1" applyAlignment="1">
      <alignment wrapText="1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2" fontId="0" fillId="7" borderId="3" xfId="0" applyNumberFormat="1" applyFill="1" applyBorder="1" applyAlignment="1"/>
    <xf numFmtId="2" fontId="0" fillId="4" borderId="3" xfId="0" applyNumberFormat="1" applyFill="1" applyBorder="1" applyAlignment="1"/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0" fontId="18" fillId="6" borderId="3" xfId="0" applyFont="1" applyFill="1" applyBorder="1" applyAlignment="1">
      <alignment wrapText="1"/>
    </xf>
    <xf numFmtId="0" fontId="1" fillId="4" borderId="5" xfId="0" applyFont="1" applyFill="1" applyBorder="1" applyAlignment="1"/>
    <xf numFmtId="2" fontId="78" fillId="15" borderId="15" xfId="0" applyNumberFormat="1" applyFont="1" applyFill="1" applyBorder="1" applyAlignment="1">
      <alignment horizontal="center" vertical="center" wrapText="1"/>
    </xf>
    <xf numFmtId="0" fontId="79" fillId="15" borderId="15" xfId="0" applyFont="1" applyFill="1" applyBorder="1" applyAlignment="1">
      <alignment horizontal="center" vertical="center" wrapText="1"/>
    </xf>
    <xf numFmtId="0" fontId="74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" fillId="6" borderId="3" xfId="0" applyFont="1" applyFill="1" applyBorder="1" applyAlignment="1">
      <alignment wrapText="1"/>
    </xf>
    <xf numFmtId="0" fontId="85" fillId="7" borderId="3" xfId="0" applyFont="1" applyFill="1" applyBorder="1" applyAlignment="1">
      <alignment horizontal="left" wrapText="1"/>
    </xf>
    <xf numFmtId="0" fontId="101" fillId="13" borderId="11" xfId="2" applyFont="1" applyFill="1" applyBorder="1" applyAlignment="1" applyProtection="1">
      <alignment horizontal="center" vertical="center" wrapText="1"/>
    </xf>
    <xf numFmtId="0" fontId="101" fillId="13" borderId="2" xfId="2" applyFont="1" applyFill="1" applyBorder="1" applyAlignment="1" applyProtection="1">
      <alignment horizontal="center" vertical="center" wrapText="1"/>
    </xf>
    <xf numFmtId="0" fontId="101" fillId="13" borderId="4" xfId="2" applyFont="1" applyFill="1" applyBorder="1" applyAlignment="1" applyProtection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0" fontId="87" fillId="13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37" fillId="9" borderId="40" xfId="0" applyFont="1" applyFill="1" applyBorder="1" applyAlignment="1">
      <alignment horizontal="center" vertical="center" wrapText="1"/>
    </xf>
    <xf numFmtId="0" fontId="37" fillId="9" borderId="31" xfId="0" applyFont="1" applyFill="1" applyBorder="1" applyAlignment="1">
      <alignment horizontal="center" vertical="center" wrapText="1"/>
    </xf>
    <xf numFmtId="0" fontId="0" fillId="9" borderId="31" xfId="0" applyFill="1" applyBorder="1" applyAlignment="1">
      <alignment horizontal="center" vertical="center" wrapText="1"/>
    </xf>
    <xf numFmtId="0" fontId="0" fillId="9" borderId="32" xfId="0" applyFill="1" applyBorder="1" applyAlignment="1">
      <alignment horizontal="center" vertical="center" wrapText="1"/>
    </xf>
    <xf numFmtId="0" fontId="100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3" fillId="13" borderId="39" xfId="0" applyFont="1" applyFill="1" applyBorder="1" applyAlignment="1">
      <alignment horizontal="center" vertical="center" wrapText="1"/>
    </xf>
    <xf numFmtId="0" fontId="79" fillId="13" borderId="29" xfId="0" applyFont="1" applyFill="1" applyBorder="1" applyAlignment="1">
      <alignment horizontal="center" vertical="center" wrapText="1"/>
    </xf>
    <xf numFmtId="0" fontId="79" fillId="13" borderId="30" xfId="0" applyFont="1" applyFill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105" fillId="15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8" fillId="13" borderId="11" xfId="0" applyFont="1" applyFill="1" applyBorder="1" applyAlignment="1">
      <alignment horizontal="center" vertical="center" wrapText="1"/>
    </xf>
    <xf numFmtId="0" fontId="98" fillId="13" borderId="2" xfId="0" applyFont="1" applyFill="1" applyBorder="1" applyAlignment="1">
      <alignment horizontal="center" vertical="center" wrapText="1"/>
    </xf>
    <xf numFmtId="0" fontId="99" fillId="13" borderId="4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85" fillId="7" borderId="3" xfId="0" applyNumberFormat="1" applyFont="1" applyFill="1" applyBorder="1" applyAlignment="1"/>
    <xf numFmtId="0" fontId="84" fillId="7" borderId="3" xfId="0" applyFont="1" applyFill="1" applyBorder="1" applyAlignment="1"/>
    <xf numFmtId="0" fontId="36" fillId="9" borderId="0" xfId="0" applyFont="1" applyFill="1" applyAlignment="1"/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2" fontId="85" fillId="4" borderId="11" xfId="0" applyNumberFormat="1" applyFont="1" applyFill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78" fillId="16" borderId="5" xfId="0" applyFont="1" applyFill="1" applyBorder="1" applyAlignment="1"/>
    <xf numFmtId="0" fontId="79" fillId="16" borderId="5" xfId="0" applyFont="1" applyFill="1" applyBorder="1" applyAlignment="1"/>
    <xf numFmtId="0" fontId="78" fillId="13" borderId="5" xfId="0" applyFont="1" applyFill="1" applyBorder="1" applyAlignment="1"/>
    <xf numFmtId="0" fontId="79" fillId="13" borderId="5" xfId="0" applyFont="1" applyFill="1" applyBorder="1" applyAlignment="1"/>
    <xf numFmtId="0" fontId="89" fillId="15" borderId="0" xfId="0" applyFont="1" applyFill="1" applyBorder="1" applyAlignment="1">
      <alignment horizontal="center" vertical="center" wrapText="1"/>
    </xf>
    <xf numFmtId="0" fontId="81" fillId="15" borderId="0" xfId="0" applyFont="1" applyFill="1" applyBorder="1" applyAlignment="1">
      <alignment horizontal="center" vertical="center" wrapText="1"/>
    </xf>
    <xf numFmtId="0" fontId="86" fillId="13" borderId="16" xfId="0" applyFont="1" applyFill="1" applyBorder="1" applyAlignment="1">
      <alignment horizontal="center" vertical="center" wrapText="1"/>
    </xf>
    <xf numFmtId="0" fontId="87" fillId="13" borderId="25" xfId="0" applyFont="1" applyFill="1" applyBorder="1" applyAlignment="1">
      <alignment horizontal="center" vertical="center" wrapText="1"/>
    </xf>
    <xf numFmtId="0" fontId="87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7" fillId="13" borderId="11" xfId="0" applyNumberFormat="1" applyFont="1" applyFill="1" applyBorder="1" applyAlignment="1">
      <alignment horizontal="center" vertical="center"/>
    </xf>
    <xf numFmtId="0" fontId="77" fillId="13" borderId="2" xfId="0" applyFont="1" applyFill="1" applyBorder="1" applyAlignment="1">
      <alignment horizontal="center" vertical="center"/>
    </xf>
    <xf numFmtId="0" fontId="79" fillId="13" borderId="4" xfId="0" applyFont="1" applyFill="1" applyBorder="1" applyAlignment="1">
      <alignment horizontal="center" vertical="center"/>
    </xf>
    <xf numFmtId="0" fontId="79" fillId="15" borderId="0" xfId="0" applyFont="1" applyFill="1" applyBorder="1" applyAlignment="1">
      <alignment horizontal="center" vertical="center" wrapText="1"/>
    </xf>
    <xf numFmtId="0" fontId="0" fillId="15" borderId="0" xfId="0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5" fillId="15" borderId="5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78" fillId="13" borderId="23" xfId="0" applyFont="1" applyFill="1" applyBorder="1" applyAlignment="1">
      <alignment horizontal="center" vertical="center" wrapText="1"/>
    </xf>
    <xf numFmtId="0" fontId="78" fillId="13" borderId="26" xfId="0" applyFont="1" applyFill="1" applyBorder="1" applyAlignment="1">
      <alignment horizontal="center" vertical="center" wrapText="1"/>
    </xf>
    <xf numFmtId="0" fontId="78" fillId="13" borderId="27" xfId="0" applyFont="1" applyFill="1" applyBorder="1" applyAlignment="1">
      <alignment horizontal="center" vertical="center" wrapText="1"/>
    </xf>
    <xf numFmtId="0" fontId="78" fillId="13" borderId="6" xfId="0" applyFont="1" applyFill="1" applyBorder="1" applyAlignment="1">
      <alignment horizontal="center" vertical="center" wrapText="1"/>
    </xf>
    <xf numFmtId="0" fontId="78" fillId="13" borderId="0" xfId="0" applyFont="1" applyFill="1" applyBorder="1" applyAlignment="1">
      <alignment horizontal="center" vertical="center" wrapText="1"/>
    </xf>
    <xf numFmtId="0" fontId="78" fillId="13" borderId="13" xfId="0" applyFont="1" applyFill="1" applyBorder="1" applyAlignment="1">
      <alignment horizontal="center" vertical="center" wrapText="1"/>
    </xf>
    <xf numFmtId="0" fontId="78" fillId="13" borderId="24" xfId="0" applyFont="1" applyFill="1" applyBorder="1" applyAlignment="1">
      <alignment horizontal="center" vertical="center" wrapText="1"/>
    </xf>
    <xf numFmtId="0" fontId="78" fillId="13" borderId="20" xfId="0" applyFont="1" applyFill="1" applyBorder="1" applyAlignment="1">
      <alignment horizontal="center" vertical="center" wrapText="1"/>
    </xf>
    <xf numFmtId="0" fontId="78" fillId="13" borderId="28" xfId="0" applyFont="1" applyFill="1" applyBorder="1" applyAlignment="1">
      <alignment horizontal="center" vertical="center" wrapText="1"/>
    </xf>
    <xf numFmtId="0" fontId="77" fillId="17" borderId="5" xfId="0" applyFont="1" applyFill="1" applyBorder="1" applyAlignment="1"/>
    <xf numFmtId="0" fontId="105" fillId="17" borderId="5" xfId="0" applyFont="1" applyFill="1" applyBorder="1" applyAlignment="1"/>
    <xf numFmtId="0" fontId="85" fillId="4" borderId="3" xfId="0" applyFont="1" applyFill="1" applyBorder="1" applyAlignment="1">
      <alignment horizontal="left" wrapText="1"/>
    </xf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/>
    <xf numFmtId="0" fontId="0" fillId="6" borderId="3" xfId="0" applyFill="1" applyBorder="1" applyAlignment="1">
      <alignment wrapText="1"/>
    </xf>
    <xf numFmtId="0" fontId="66" fillId="12" borderId="25" xfId="0" applyFont="1" applyFill="1" applyBorder="1" applyAlignment="1">
      <alignment horizontal="center" vertical="center" wrapText="1"/>
    </xf>
    <xf numFmtId="0" fontId="66" fillId="12" borderId="19" xfId="0" applyFont="1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Alignment="1">
      <alignment horizontal="center" vertical="center" wrapText="1"/>
    </xf>
    <xf numFmtId="0" fontId="66" fillId="12" borderId="22" xfId="0" applyFont="1" applyFill="1" applyBorder="1" applyAlignment="1">
      <alignment horizontal="center" vertical="center" wrapText="1"/>
    </xf>
    <xf numFmtId="0" fontId="66" fillId="12" borderId="18" xfId="0" applyFont="1" applyFill="1" applyBorder="1" applyAlignment="1">
      <alignment horizontal="center" vertical="center" wrapText="1"/>
    </xf>
    <xf numFmtId="0" fontId="66" fillId="12" borderId="12" xfId="0" applyFont="1" applyFill="1" applyBorder="1" applyAlignment="1">
      <alignment horizontal="center" vertical="center" wrapText="1"/>
    </xf>
    <xf numFmtId="0" fontId="66" fillId="12" borderId="9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0" fontId="18" fillId="4" borderId="7" xfId="0" applyFont="1" applyFill="1" applyBorder="1" applyAlignment="1"/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0" fontId="18" fillId="21" borderId="3" xfId="0" applyFont="1" applyFill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2" fontId="17" fillId="4" borderId="11" xfId="0" applyNumberFormat="1" applyFont="1" applyFill="1" applyBorder="1" applyAlignment="1"/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0" fontId="1" fillId="4" borderId="3" xfId="0" applyFont="1" applyFill="1" applyBorder="1" applyAlignment="1">
      <alignment wrapText="1"/>
    </xf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2" fontId="85" fillId="4" borderId="3" xfId="0" applyNumberFormat="1" applyFont="1" applyFill="1" applyBorder="1" applyAlignment="1">
      <alignment wrapText="1"/>
    </xf>
    <xf numFmtId="0" fontId="84" fillId="4" borderId="3" xfId="0" applyFont="1" applyFill="1" applyBorder="1" applyAlignment="1">
      <alignment wrapText="1"/>
    </xf>
    <xf numFmtId="0" fontId="18" fillId="0" borderId="2" xfId="0" applyFont="1" applyFill="1" applyBorder="1" applyAlignment="1"/>
    <xf numFmtId="0" fontId="18" fillId="0" borderId="4" xfId="0" applyFont="1" applyFill="1" applyBorder="1" applyAlignment="1"/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2" fontId="5" fillId="4" borderId="7" xfId="0" applyNumberFormat="1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61" Type="http://schemas.openxmlformats.org/officeDocument/2006/relationships/image" Target="../media/image60.jpe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jpe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741</xdr:row>
      <xdr:rowOff>28575</xdr:rowOff>
    </xdr:from>
    <xdr:to>
      <xdr:col>1</xdr:col>
      <xdr:colOff>295275</xdr:colOff>
      <xdr:row>741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19050</xdr:rowOff>
    </xdr:from>
    <xdr:to>
      <xdr:col>0</xdr:col>
      <xdr:colOff>295275</xdr:colOff>
      <xdr:row>104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739</xdr:row>
      <xdr:rowOff>19050</xdr:rowOff>
    </xdr:from>
    <xdr:to>
      <xdr:col>1</xdr:col>
      <xdr:colOff>180975</xdr:colOff>
      <xdr:row>739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116</xdr:row>
      <xdr:rowOff>0</xdr:rowOff>
    </xdr:from>
    <xdr:to>
      <xdr:col>38</xdr:col>
      <xdr:colOff>371475</xdr:colOff>
      <xdr:row>119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729</xdr:row>
      <xdr:rowOff>76200</xdr:rowOff>
    </xdr:from>
    <xdr:to>
      <xdr:col>8</xdr:col>
      <xdr:colOff>353861</xdr:colOff>
      <xdr:row>735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743</xdr:row>
      <xdr:rowOff>38100</xdr:rowOff>
    </xdr:from>
    <xdr:to>
      <xdr:col>1</xdr:col>
      <xdr:colOff>295275</xdr:colOff>
      <xdr:row>743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111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742</xdr:row>
      <xdr:rowOff>38100</xdr:rowOff>
    </xdr:from>
    <xdr:to>
      <xdr:col>1</xdr:col>
      <xdr:colOff>295275</xdr:colOff>
      <xdr:row>742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654</xdr:row>
      <xdr:rowOff>19050</xdr:rowOff>
    </xdr:from>
    <xdr:to>
      <xdr:col>1</xdr:col>
      <xdr:colOff>0</xdr:colOff>
      <xdr:row>654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655</xdr:row>
      <xdr:rowOff>19050</xdr:rowOff>
    </xdr:from>
    <xdr:to>
      <xdr:col>1</xdr:col>
      <xdr:colOff>0</xdr:colOff>
      <xdr:row>655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656</xdr:row>
      <xdr:rowOff>19050</xdr:rowOff>
    </xdr:from>
    <xdr:to>
      <xdr:col>1</xdr:col>
      <xdr:colOff>0</xdr:colOff>
      <xdr:row>656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758</xdr:row>
      <xdr:rowOff>36168</xdr:rowOff>
    </xdr:from>
    <xdr:to>
      <xdr:col>22</xdr:col>
      <xdr:colOff>273705</xdr:colOff>
      <xdr:row>758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28575</xdr:rowOff>
    </xdr:from>
    <xdr:to>
      <xdr:col>1</xdr:col>
      <xdr:colOff>0</xdr:colOff>
      <xdr:row>359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224</xdr:row>
      <xdr:rowOff>28575</xdr:rowOff>
    </xdr:from>
    <xdr:to>
      <xdr:col>1</xdr:col>
      <xdr:colOff>0</xdr:colOff>
      <xdr:row>224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456</xdr:row>
      <xdr:rowOff>28575</xdr:rowOff>
    </xdr:from>
    <xdr:to>
      <xdr:col>1</xdr:col>
      <xdr:colOff>0</xdr:colOff>
      <xdr:row>456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455</xdr:row>
      <xdr:rowOff>19050</xdr:rowOff>
    </xdr:from>
    <xdr:to>
      <xdr:col>24</xdr:col>
      <xdr:colOff>47625</xdr:colOff>
      <xdr:row>455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452</xdr:row>
      <xdr:rowOff>19050</xdr:rowOff>
    </xdr:from>
    <xdr:to>
      <xdr:col>24</xdr:col>
      <xdr:colOff>47625</xdr:colOff>
      <xdr:row>452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449</xdr:row>
      <xdr:rowOff>19050</xdr:rowOff>
    </xdr:from>
    <xdr:to>
      <xdr:col>24</xdr:col>
      <xdr:colOff>47625</xdr:colOff>
      <xdr:row>449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448</xdr:row>
      <xdr:rowOff>19050</xdr:rowOff>
    </xdr:from>
    <xdr:to>
      <xdr:col>24</xdr:col>
      <xdr:colOff>47625</xdr:colOff>
      <xdr:row>448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474</xdr:row>
      <xdr:rowOff>19050</xdr:rowOff>
    </xdr:from>
    <xdr:to>
      <xdr:col>24</xdr:col>
      <xdr:colOff>47625</xdr:colOff>
      <xdr:row>474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475</xdr:row>
      <xdr:rowOff>19050</xdr:rowOff>
    </xdr:from>
    <xdr:to>
      <xdr:col>24</xdr:col>
      <xdr:colOff>47625</xdr:colOff>
      <xdr:row>475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476</xdr:row>
      <xdr:rowOff>19050</xdr:rowOff>
    </xdr:from>
    <xdr:to>
      <xdr:col>24</xdr:col>
      <xdr:colOff>47625</xdr:colOff>
      <xdr:row>476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477</xdr:row>
      <xdr:rowOff>19050</xdr:rowOff>
    </xdr:from>
    <xdr:to>
      <xdr:col>24</xdr:col>
      <xdr:colOff>47625</xdr:colOff>
      <xdr:row>477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473</xdr:row>
      <xdr:rowOff>19050</xdr:rowOff>
    </xdr:from>
    <xdr:to>
      <xdr:col>24</xdr:col>
      <xdr:colOff>47625</xdr:colOff>
      <xdr:row>473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630</xdr:row>
      <xdr:rowOff>19050</xdr:rowOff>
    </xdr:from>
    <xdr:to>
      <xdr:col>24</xdr:col>
      <xdr:colOff>47625</xdr:colOff>
      <xdr:row>630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631</xdr:row>
      <xdr:rowOff>19050</xdr:rowOff>
    </xdr:from>
    <xdr:to>
      <xdr:col>24</xdr:col>
      <xdr:colOff>47625</xdr:colOff>
      <xdr:row>631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632</xdr:row>
      <xdr:rowOff>19050</xdr:rowOff>
    </xdr:from>
    <xdr:to>
      <xdr:col>24</xdr:col>
      <xdr:colOff>47625</xdr:colOff>
      <xdr:row>632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639</xdr:row>
      <xdr:rowOff>19050</xdr:rowOff>
    </xdr:from>
    <xdr:to>
      <xdr:col>24</xdr:col>
      <xdr:colOff>47625</xdr:colOff>
      <xdr:row>639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640</xdr:row>
      <xdr:rowOff>19050</xdr:rowOff>
    </xdr:from>
    <xdr:to>
      <xdr:col>24</xdr:col>
      <xdr:colOff>47625</xdr:colOff>
      <xdr:row>640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47625</xdr:colOff>
      <xdr:row>285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286</xdr:row>
      <xdr:rowOff>19050</xdr:rowOff>
    </xdr:from>
    <xdr:to>
      <xdr:col>24</xdr:col>
      <xdr:colOff>47625</xdr:colOff>
      <xdr:row>286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287</xdr:row>
      <xdr:rowOff>19050</xdr:rowOff>
    </xdr:from>
    <xdr:to>
      <xdr:col>24</xdr:col>
      <xdr:colOff>47625</xdr:colOff>
      <xdr:row>287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288</xdr:row>
      <xdr:rowOff>19050</xdr:rowOff>
    </xdr:from>
    <xdr:to>
      <xdr:col>24</xdr:col>
      <xdr:colOff>47625</xdr:colOff>
      <xdr:row>288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289</xdr:row>
      <xdr:rowOff>19050</xdr:rowOff>
    </xdr:from>
    <xdr:to>
      <xdr:col>24</xdr:col>
      <xdr:colOff>47625</xdr:colOff>
      <xdr:row>289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668</xdr:row>
      <xdr:rowOff>19050</xdr:rowOff>
    </xdr:from>
    <xdr:to>
      <xdr:col>24</xdr:col>
      <xdr:colOff>47625</xdr:colOff>
      <xdr:row>668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669</xdr:row>
      <xdr:rowOff>19050</xdr:rowOff>
    </xdr:from>
    <xdr:to>
      <xdr:col>24</xdr:col>
      <xdr:colOff>47625</xdr:colOff>
      <xdr:row>669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670</xdr:row>
      <xdr:rowOff>19050</xdr:rowOff>
    </xdr:from>
    <xdr:to>
      <xdr:col>24</xdr:col>
      <xdr:colOff>47625</xdr:colOff>
      <xdr:row>670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671</xdr:row>
      <xdr:rowOff>19050</xdr:rowOff>
    </xdr:from>
    <xdr:to>
      <xdr:col>24</xdr:col>
      <xdr:colOff>47625</xdr:colOff>
      <xdr:row>671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664</xdr:row>
      <xdr:rowOff>19050</xdr:rowOff>
    </xdr:from>
    <xdr:to>
      <xdr:col>24</xdr:col>
      <xdr:colOff>47625</xdr:colOff>
      <xdr:row>664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663</xdr:row>
      <xdr:rowOff>19050</xdr:rowOff>
    </xdr:from>
    <xdr:to>
      <xdr:col>24</xdr:col>
      <xdr:colOff>47625</xdr:colOff>
      <xdr:row>663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661</xdr:row>
      <xdr:rowOff>19050</xdr:rowOff>
    </xdr:from>
    <xdr:to>
      <xdr:col>24</xdr:col>
      <xdr:colOff>47625</xdr:colOff>
      <xdr:row>661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660</xdr:row>
      <xdr:rowOff>19050</xdr:rowOff>
    </xdr:from>
    <xdr:to>
      <xdr:col>24</xdr:col>
      <xdr:colOff>47625</xdr:colOff>
      <xdr:row>660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659</xdr:row>
      <xdr:rowOff>19050</xdr:rowOff>
    </xdr:from>
    <xdr:to>
      <xdr:col>24</xdr:col>
      <xdr:colOff>47625</xdr:colOff>
      <xdr:row>659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658</xdr:row>
      <xdr:rowOff>19050</xdr:rowOff>
    </xdr:from>
    <xdr:to>
      <xdr:col>24</xdr:col>
      <xdr:colOff>47625</xdr:colOff>
      <xdr:row>658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279</xdr:row>
      <xdr:rowOff>19050</xdr:rowOff>
    </xdr:from>
    <xdr:to>
      <xdr:col>26</xdr:col>
      <xdr:colOff>9524</xdr:colOff>
      <xdr:row>279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232</xdr:row>
      <xdr:rowOff>19050</xdr:rowOff>
    </xdr:from>
    <xdr:to>
      <xdr:col>24</xdr:col>
      <xdr:colOff>47625</xdr:colOff>
      <xdr:row>232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227</xdr:row>
      <xdr:rowOff>19050</xdr:rowOff>
    </xdr:from>
    <xdr:to>
      <xdr:col>24</xdr:col>
      <xdr:colOff>47625</xdr:colOff>
      <xdr:row>227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226</xdr:row>
      <xdr:rowOff>19050</xdr:rowOff>
    </xdr:from>
    <xdr:to>
      <xdr:col>24</xdr:col>
      <xdr:colOff>47625</xdr:colOff>
      <xdr:row>226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184</xdr:row>
      <xdr:rowOff>19050</xdr:rowOff>
    </xdr:from>
    <xdr:to>
      <xdr:col>26</xdr:col>
      <xdr:colOff>9524</xdr:colOff>
      <xdr:row>184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147</xdr:row>
      <xdr:rowOff>19050</xdr:rowOff>
    </xdr:from>
    <xdr:to>
      <xdr:col>9</xdr:col>
      <xdr:colOff>9526</xdr:colOff>
      <xdr:row>147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105</xdr:row>
      <xdr:rowOff>19050</xdr:rowOff>
    </xdr:from>
    <xdr:to>
      <xdr:col>25</xdr:col>
      <xdr:colOff>380999</xdr:colOff>
      <xdr:row>105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116</xdr:row>
      <xdr:rowOff>19050</xdr:rowOff>
    </xdr:from>
    <xdr:to>
      <xdr:col>26</xdr:col>
      <xdr:colOff>9524</xdr:colOff>
      <xdr:row>116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113</xdr:row>
      <xdr:rowOff>19050</xdr:rowOff>
    </xdr:from>
    <xdr:to>
      <xdr:col>24</xdr:col>
      <xdr:colOff>47625</xdr:colOff>
      <xdr:row>113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469</xdr:row>
      <xdr:rowOff>19050</xdr:rowOff>
    </xdr:from>
    <xdr:to>
      <xdr:col>24</xdr:col>
      <xdr:colOff>47625</xdr:colOff>
      <xdr:row>469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467</xdr:row>
      <xdr:rowOff>19050</xdr:rowOff>
    </xdr:from>
    <xdr:to>
      <xdr:col>24</xdr:col>
      <xdr:colOff>47625</xdr:colOff>
      <xdr:row>467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634</xdr:row>
      <xdr:rowOff>19050</xdr:rowOff>
    </xdr:from>
    <xdr:to>
      <xdr:col>24</xdr:col>
      <xdr:colOff>47625</xdr:colOff>
      <xdr:row>634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327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665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635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636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662</xdr:row>
      <xdr:rowOff>19050</xdr:rowOff>
    </xdr:from>
    <xdr:to>
      <xdr:col>24</xdr:col>
      <xdr:colOff>47625</xdr:colOff>
      <xdr:row>662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483</xdr:row>
      <xdr:rowOff>19050</xdr:rowOff>
    </xdr:from>
    <xdr:to>
      <xdr:col>24</xdr:col>
      <xdr:colOff>47625</xdr:colOff>
      <xdr:row>483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28575</xdr:rowOff>
    </xdr:from>
    <xdr:to>
      <xdr:col>1</xdr:col>
      <xdr:colOff>0</xdr:colOff>
      <xdr:row>363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486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627</xdr:row>
      <xdr:rowOff>19050</xdr:rowOff>
    </xdr:from>
    <xdr:to>
      <xdr:col>24</xdr:col>
      <xdr:colOff>47625</xdr:colOff>
      <xdr:row>627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47625</xdr:colOff>
      <xdr:row>628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0</xdr:colOff>
      <xdr:row>58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228</xdr:row>
      <xdr:rowOff>19050</xdr:rowOff>
    </xdr:from>
    <xdr:to>
      <xdr:col>24</xdr:col>
      <xdr:colOff>47625</xdr:colOff>
      <xdr:row>228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228</xdr:row>
      <xdr:rowOff>19050</xdr:rowOff>
    </xdr:from>
    <xdr:to>
      <xdr:col>26</xdr:col>
      <xdr:colOff>9524</xdr:colOff>
      <xdr:row>228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545</xdr:row>
      <xdr:rowOff>19050</xdr:rowOff>
    </xdr:from>
    <xdr:to>
      <xdr:col>24</xdr:col>
      <xdr:colOff>48389</xdr:colOff>
      <xdr:row>545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539</xdr:row>
      <xdr:rowOff>19050</xdr:rowOff>
    </xdr:from>
    <xdr:to>
      <xdr:col>24</xdr:col>
      <xdr:colOff>48389</xdr:colOff>
      <xdr:row>539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536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548</xdr:row>
      <xdr:rowOff>19050</xdr:rowOff>
    </xdr:from>
    <xdr:to>
      <xdr:col>24</xdr:col>
      <xdr:colOff>47625</xdr:colOff>
      <xdr:row>548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300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271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324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637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654</xdr:row>
      <xdr:rowOff>19050</xdr:rowOff>
    </xdr:from>
    <xdr:to>
      <xdr:col>10</xdr:col>
      <xdr:colOff>1</xdr:colOff>
      <xdr:row>654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592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655</xdr:row>
      <xdr:rowOff>19050</xdr:rowOff>
    </xdr:from>
    <xdr:to>
      <xdr:col>10</xdr:col>
      <xdr:colOff>1</xdr:colOff>
      <xdr:row>655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656</xdr:row>
      <xdr:rowOff>19050</xdr:rowOff>
    </xdr:from>
    <xdr:to>
      <xdr:col>10</xdr:col>
      <xdr:colOff>1</xdr:colOff>
      <xdr:row>656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649</xdr:row>
      <xdr:rowOff>19050</xdr:rowOff>
    </xdr:from>
    <xdr:to>
      <xdr:col>10</xdr:col>
      <xdr:colOff>1</xdr:colOff>
      <xdr:row>649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629</xdr:row>
      <xdr:rowOff>19050</xdr:rowOff>
    </xdr:from>
    <xdr:to>
      <xdr:col>24</xdr:col>
      <xdr:colOff>47625</xdr:colOff>
      <xdr:row>629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638</xdr:row>
      <xdr:rowOff>19050</xdr:rowOff>
    </xdr:from>
    <xdr:to>
      <xdr:col>10</xdr:col>
      <xdr:colOff>1</xdr:colOff>
      <xdr:row>638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639</xdr:row>
      <xdr:rowOff>19050</xdr:rowOff>
    </xdr:from>
    <xdr:to>
      <xdr:col>10</xdr:col>
      <xdr:colOff>1</xdr:colOff>
      <xdr:row>639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640</xdr:row>
      <xdr:rowOff>19050</xdr:rowOff>
    </xdr:from>
    <xdr:to>
      <xdr:col>10</xdr:col>
      <xdr:colOff>1</xdr:colOff>
      <xdr:row>640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686</xdr:row>
      <xdr:rowOff>19050</xdr:rowOff>
    </xdr:from>
    <xdr:to>
      <xdr:col>10</xdr:col>
      <xdr:colOff>1</xdr:colOff>
      <xdr:row>686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297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214</xdr:row>
      <xdr:rowOff>19050</xdr:rowOff>
    </xdr:from>
    <xdr:to>
      <xdr:col>10</xdr:col>
      <xdr:colOff>1</xdr:colOff>
      <xdr:row>214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278</xdr:row>
      <xdr:rowOff>19050</xdr:rowOff>
    </xdr:from>
    <xdr:to>
      <xdr:col>24</xdr:col>
      <xdr:colOff>47625</xdr:colOff>
      <xdr:row>278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648</xdr:row>
      <xdr:rowOff>19050</xdr:rowOff>
    </xdr:from>
    <xdr:to>
      <xdr:col>10</xdr:col>
      <xdr:colOff>1</xdr:colOff>
      <xdr:row>648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47624</xdr:colOff>
      <xdr:row>221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309</xdr:row>
      <xdr:rowOff>19050</xdr:rowOff>
    </xdr:from>
    <xdr:to>
      <xdr:col>25</xdr:col>
      <xdr:colOff>83819</xdr:colOff>
      <xdr:row>309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315</xdr:row>
      <xdr:rowOff>19050</xdr:rowOff>
    </xdr:from>
    <xdr:to>
      <xdr:col>25</xdr:col>
      <xdr:colOff>83819</xdr:colOff>
      <xdr:row>315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322</xdr:row>
      <xdr:rowOff>19050</xdr:rowOff>
    </xdr:from>
    <xdr:to>
      <xdr:col>25</xdr:col>
      <xdr:colOff>83819</xdr:colOff>
      <xdr:row>322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323</xdr:row>
      <xdr:rowOff>19050</xdr:rowOff>
    </xdr:from>
    <xdr:to>
      <xdr:col>25</xdr:col>
      <xdr:colOff>83819</xdr:colOff>
      <xdr:row>323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324</xdr:row>
      <xdr:rowOff>19050</xdr:rowOff>
    </xdr:from>
    <xdr:to>
      <xdr:col>25</xdr:col>
      <xdr:colOff>83819</xdr:colOff>
      <xdr:row>324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677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678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264</xdr:row>
      <xdr:rowOff>19050</xdr:rowOff>
    </xdr:from>
    <xdr:to>
      <xdr:col>24</xdr:col>
      <xdr:colOff>47624</xdr:colOff>
      <xdr:row>264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271</xdr:row>
      <xdr:rowOff>19050</xdr:rowOff>
    </xdr:from>
    <xdr:to>
      <xdr:col>26</xdr:col>
      <xdr:colOff>9524</xdr:colOff>
      <xdr:row>271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278</xdr:row>
      <xdr:rowOff>19050</xdr:rowOff>
    </xdr:from>
    <xdr:to>
      <xdr:col>26</xdr:col>
      <xdr:colOff>9524</xdr:colOff>
      <xdr:row>278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149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146</xdr:row>
      <xdr:rowOff>19050</xdr:rowOff>
    </xdr:from>
    <xdr:to>
      <xdr:col>9</xdr:col>
      <xdr:colOff>9526</xdr:colOff>
      <xdr:row>146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405</xdr:row>
      <xdr:rowOff>19050</xdr:rowOff>
    </xdr:from>
    <xdr:to>
      <xdr:col>24</xdr:col>
      <xdr:colOff>47625</xdr:colOff>
      <xdr:row>405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348</xdr:row>
      <xdr:rowOff>19050</xdr:rowOff>
    </xdr:from>
    <xdr:to>
      <xdr:col>26</xdr:col>
      <xdr:colOff>9524</xdr:colOff>
      <xdr:row>348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367</xdr:row>
      <xdr:rowOff>19050</xdr:rowOff>
    </xdr:from>
    <xdr:to>
      <xdr:col>26</xdr:col>
      <xdr:colOff>9524</xdr:colOff>
      <xdr:row>367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244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17</xdr:row>
      <xdr:rowOff>19050</xdr:rowOff>
    </xdr:from>
    <xdr:to>
      <xdr:col>9</xdr:col>
      <xdr:colOff>12838</xdr:colOff>
      <xdr:row>17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633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181</xdr:row>
      <xdr:rowOff>19050</xdr:rowOff>
    </xdr:from>
    <xdr:to>
      <xdr:col>24</xdr:col>
      <xdr:colOff>47625</xdr:colOff>
      <xdr:row>181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450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223</xdr:row>
      <xdr:rowOff>28575</xdr:rowOff>
    </xdr:from>
    <xdr:to>
      <xdr:col>1</xdr:col>
      <xdr:colOff>0</xdr:colOff>
      <xdr:row>223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666</xdr:row>
      <xdr:rowOff>19050</xdr:rowOff>
    </xdr:from>
    <xdr:to>
      <xdr:col>10</xdr:col>
      <xdr:colOff>1</xdr:colOff>
      <xdr:row>666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667</xdr:row>
      <xdr:rowOff>19050</xdr:rowOff>
    </xdr:from>
    <xdr:to>
      <xdr:col>10</xdr:col>
      <xdr:colOff>1</xdr:colOff>
      <xdr:row>667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668</xdr:row>
      <xdr:rowOff>19050</xdr:rowOff>
    </xdr:from>
    <xdr:to>
      <xdr:col>10</xdr:col>
      <xdr:colOff>1</xdr:colOff>
      <xdr:row>668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669</xdr:row>
      <xdr:rowOff>19050</xdr:rowOff>
    </xdr:from>
    <xdr:to>
      <xdr:col>10</xdr:col>
      <xdr:colOff>1</xdr:colOff>
      <xdr:row>669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670</xdr:row>
      <xdr:rowOff>19050</xdr:rowOff>
    </xdr:from>
    <xdr:to>
      <xdr:col>10</xdr:col>
      <xdr:colOff>1</xdr:colOff>
      <xdr:row>670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671</xdr:row>
      <xdr:rowOff>19050</xdr:rowOff>
    </xdr:from>
    <xdr:to>
      <xdr:col>10</xdr:col>
      <xdr:colOff>1</xdr:colOff>
      <xdr:row>671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307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325</xdr:row>
      <xdr:rowOff>19050</xdr:rowOff>
    </xdr:from>
    <xdr:to>
      <xdr:col>25</xdr:col>
      <xdr:colOff>74294</xdr:colOff>
      <xdr:row>325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576</xdr:row>
      <xdr:rowOff>19050</xdr:rowOff>
    </xdr:from>
    <xdr:to>
      <xdr:col>24</xdr:col>
      <xdr:colOff>75821</xdr:colOff>
      <xdr:row>576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584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599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497</xdr:row>
      <xdr:rowOff>19050</xdr:rowOff>
    </xdr:from>
    <xdr:to>
      <xdr:col>24</xdr:col>
      <xdr:colOff>75821</xdr:colOff>
      <xdr:row>497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253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512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500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495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501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502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506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186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187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190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190</xdr:row>
      <xdr:rowOff>19050</xdr:rowOff>
    </xdr:from>
    <xdr:to>
      <xdr:col>26</xdr:col>
      <xdr:colOff>9524</xdr:colOff>
      <xdr:row>190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188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189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280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546</xdr:row>
      <xdr:rowOff>19050</xdr:rowOff>
    </xdr:from>
    <xdr:to>
      <xdr:col>24</xdr:col>
      <xdr:colOff>47625</xdr:colOff>
      <xdr:row>546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543</xdr:row>
      <xdr:rowOff>19050</xdr:rowOff>
    </xdr:from>
    <xdr:to>
      <xdr:col>24</xdr:col>
      <xdr:colOff>47625</xdr:colOff>
      <xdr:row>543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544</xdr:row>
      <xdr:rowOff>19050</xdr:rowOff>
    </xdr:from>
    <xdr:to>
      <xdr:col>24</xdr:col>
      <xdr:colOff>47625</xdr:colOff>
      <xdr:row>544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538</xdr:row>
      <xdr:rowOff>19050</xdr:rowOff>
    </xdr:from>
    <xdr:to>
      <xdr:col>24</xdr:col>
      <xdr:colOff>47625</xdr:colOff>
      <xdr:row>538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528</xdr:row>
      <xdr:rowOff>19050</xdr:rowOff>
    </xdr:from>
    <xdr:to>
      <xdr:col>24</xdr:col>
      <xdr:colOff>47625</xdr:colOff>
      <xdr:row>528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526</xdr:row>
      <xdr:rowOff>19050</xdr:rowOff>
    </xdr:from>
    <xdr:to>
      <xdr:col>24</xdr:col>
      <xdr:colOff>47625</xdr:colOff>
      <xdr:row>526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312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254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9525</xdr:colOff>
      <xdr:row>488</xdr:row>
      <xdr:rowOff>19050</xdr:rowOff>
    </xdr:from>
    <xdr:to>
      <xdr:col>11</xdr:col>
      <xdr:colOff>9525</xdr:colOff>
      <xdr:row>488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489</xdr:row>
      <xdr:rowOff>19050</xdr:rowOff>
    </xdr:from>
    <xdr:to>
      <xdr:col>11</xdr:col>
      <xdr:colOff>9525</xdr:colOff>
      <xdr:row>489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490</xdr:row>
      <xdr:rowOff>19050</xdr:rowOff>
    </xdr:from>
    <xdr:to>
      <xdr:col>11</xdr:col>
      <xdr:colOff>9525</xdr:colOff>
      <xdr:row>490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491</xdr:row>
      <xdr:rowOff>19050</xdr:rowOff>
    </xdr:from>
    <xdr:to>
      <xdr:col>11</xdr:col>
      <xdr:colOff>9525</xdr:colOff>
      <xdr:row>491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493</xdr:row>
      <xdr:rowOff>19050</xdr:rowOff>
    </xdr:from>
    <xdr:to>
      <xdr:col>11</xdr:col>
      <xdr:colOff>9525</xdr:colOff>
      <xdr:row>493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494</xdr:row>
      <xdr:rowOff>19050</xdr:rowOff>
    </xdr:from>
    <xdr:to>
      <xdr:col>11</xdr:col>
      <xdr:colOff>9525</xdr:colOff>
      <xdr:row>494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255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275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250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204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525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541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542</xdr:row>
      <xdr:rowOff>19050</xdr:rowOff>
    </xdr:from>
    <xdr:to>
      <xdr:col>24</xdr:col>
      <xdr:colOff>48389</xdr:colOff>
      <xdr:row>542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407</xdr:row>
      <xdr:rowOff>16566</xdr:rowOff>
    </xdr:from>
    <xdr:to>
      <xdr:col>24</xdr:col>
      <xdr:colOff>46383</xdr:colOff>
      <xdr:row>407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374</xdr:row>
      <xdr:rowOff>16566</xdr:rowOff>
    </xdr:from>
    <xdr:to>
      <xdr:col>24</xdr:col>
      <xdr:colOff>46383</xdr:colOff>
      <xdr:row>374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537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292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292</xdr:row>
      <xdr:rowOff>16566</xdr:rowOff>
    </xdr:from>
    <xdr:to>
      <xdr:col>25</xdr:col>
      <xdr:colOff>82577</xdr:colOff>
      <xdr:row>292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716</xdr:row>
      <xdr:rowOff>19050</xdr:rowOff>
    </xdr:from>
    <xdr:to>
      <xdr:col>13</xdr:col>
      <xdr:colOff>1</xdr:colOff>
      <xdr:row>716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717</xdr:row>
      <xdr:rowOff>19050</xdr:rowOff>
    </xdr:from>
    <xdr:to>
      <xdr:col>13</xdr:col>
      <xdr:colOff>1</xdr:colOff>
      <xdr:row>717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718</xdr:row>
      <xdr:rowOff>19050</xdr:rowOff>
    </xdr:from>
    <xdr:to>
      <xdr:col>13</xdr:col>
      <xdr:colOff>1</xdr:colOff>
      <xdr:row>718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385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460</xdr:row>
      <xdr:rowOff>19050</xdr:rowOff>
    </xdr:from>
    <xdr:to>
      <xdr:col>24</xdr:col>
      <xdr:colOff>47625</xdr:colOff>
      <xdr:row>460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461</xdr:row>
      <xdr:rowOff>19050</xdr:rowOff>
    </xdr:from>
    <xdr:to>
      <xdr:col>24</xdr:col>
      <xdr:colOff>47625</xdr:colOff>
      <xdr:row>461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384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523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23</xdr:row>
      <xdr:rowOff>19050</xdr:rowOff>
    </xdr:from>
    <xdr:to>
      <xdr:col>9</xdr:col>
      <xdr:colOff>12838</xdr:colOff>
      <xdr:row>23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535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534</xdr:row>
      <xdr:rowOff>19050</xdr:rowOff>
    </xdr:from>
    <xdr:to>
      <xdr:col>24</xdr:col>
      <xdr:colOff>47625</xdr:colOff>
      <xdr:row>534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447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436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414</xdr:row>
      <xdr:rowOff>28575</xdr:rowOff>
    </xdr:from>
    <xdr:to>
      <xdr:col>1</xdr:col>
      <xdr:colOff>0</xdr:colOff>
      <xdr:row>414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294</xdr:row>
      <xdr:rowOff>19050</xdr:rowOff>
    </xdr:from>
    <xdr:to>
      <xdr:col>24</xdr:col>
      <xdr:colOff>47624</xdr:colOff>
      <xdr:row>294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295</xdr:row>
      <xdr:rowOff>19050</xdr:rowOff>
    </xdr:from>
    <xdr:to>
      <xdr:col>24</xdr:col>
      <xdr:colOff>47624</xdr:colOff>
      <xdr:row>295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315</xdr:row>
      <xdr:rowOff>19050</xdr:rowOff>
    </xdr:from>
    <xdr:to>
      <xdr:col>24</xdr:col>
      <xdr:colOff>47624</xdr:colOff>
      <xdr:row>315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513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360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249</xdr:row>
      <xdr:rowOff>19050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6139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429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433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432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522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520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656</xdr:row>
      <xdr:rowOff>19050</xdr:rowOff>
    </xdr:from>
    <xdr:to>
      <xdr:col>24</xdr:col>
      <xdr:colOff>49180</xdr:colOff>
      <xdr:row>656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655</xdr:row>
      <xdr:rowOff>19050</xdr:rowOff>
    </xdr:from>
    <xdr:to>
      <xdr:col>24</xdr:col>
      <xdr:colOff>49180</xdr:colOff>
      <xdr:row>655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654</xdr:row>
      <xdr:rowOff>19050</xdr:rowOff>
    </xdr:from>
    <xdr:to>
      <xdr:col>24</xdr:col>
      <xdr:colOff>49180</xdr:colOff>
      <xdr:row>654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650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652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682</xdr:row>
      <xdr:rowOff>19050</xdr:rowOff>
    </xdr:from>
    <xdr:to>
      <xdr:col>24</xdr:col>
      <xdr:colOff>47625</xdr:colOff>
      <xdr:row>682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686</xdr:row>
      <xdr:rowOff>19050</xdr:rowOff>
    </xdr:from>
    <xdr:to>
      <xdr:col>24</xdr:col>
      <xdr:colOff>49180</xdr:colOff>
      <xdr:row>686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689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680</xdr:row>
      <xdr:rowOff>19050</xdr:rowOff>
    </xdr:from>
    <xdr:to>
      <xdr:col>24</xdr:col>
      <xdr:colOff>49180</xdr:colOff>
      <xdr:row>680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681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673</xdr:row>
      <xdr:rowOff>19050</xdr:rowOff>
    </xdr:from>
    <xdr:to>
      <xdr:col>24</xdr:col>
      <xdr:colOff>47625</xdr:colOff>
      <xdr:row>673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676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693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694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695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697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696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519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647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647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289</xdr:row>
      <xdr:rowOff>19050</xdr:rowOff>
    </xdr:from>
    <xdr:to>
      <xdr:col>18</xdr:col>
      <xdr:colOff>9526</xdr:colOff>
      <xdr:row>289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434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532</xdr:row>
      <xdr:rowOff>19050</xdr:rowOff>
    </xdr:from>
    <xdr:to>
      <xdr:col>24</xdr:col>
      <xdr:colOff>47625</xdr:colOff>
      <xdr:row>532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303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303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577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269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25</xdr:row>
      <xdr:rowOff>19050</xdr:rowOff>
    </xdr:from>
    <xdr:to>
      <xdr:col>9</xdr:col>
      <xdr:colOff>9526</xdr:colOff>
      <xdr:row>25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222</xdr:row>
      <xdr:rowOff>19050</xdr:rowOff>
    </xdr:from>
    <xdr:to>
      <xdr:col>24</xdr:col>
      <xdr:colOff>75821</xdr:colOff>
      <xdr:row>222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47624</xdr:colOff>
      <xdr:row>219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47624</xdr:colOff>
      <xdr:row>220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119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119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120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120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115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120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301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308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205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326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326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375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377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395</xdr:row>
      <xdr:rowOff>19050</xdr:rowOff>
    </xdr:from>
    <xdr:to>
      <xdr:col>24</xdr:col>
      <xdr:colOff>47625</xdr:colOff>
      <xdr:row>395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396</xdr:row>
      <xdr:rowOff>19050</xdr:rowOff>
    </xdr:from>
    <xdr:to>
      <xdr:col>24</xdr:col>
      <xdr:colOff>47625</xdr:colOff>
      <xdr:row>396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142875</xdr:rowOff>
    </xdr:to>
    <xdr:pic>
      <xdr:nvPicPr>
        <xdr:cNvPr id="13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47625</xdr:colOff>
      <xdr:row>279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666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667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</xdr:row>
      <xdr:rowOff>19050</xdr:rowOff>
    </xdr:from>
    <xdr:to>
      <xdr:col>24</xdr:col>
      <xdr:colOff>47624</xdr:colOff>
      <xdr:row>53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471</xdr:row>
      <xdr:rowOff>19050</xdr:rowOff>
    </xdr:from>
    <xdr:to>
      <xdr:col>24</xdr:col>
      <xdr:colOff>47624</xdr:colOff>
      <xdr:row>471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47624</xdr:colOff>
      <xdr:row>470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419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52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251</xdr:row>
      <xdr:rowOff>19050</xdr:rowOff>
    </xdr:from>
    <xdr:ext cx="819149" cy="123825"/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91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387</xdr:row>
      <xdr:rowOff>19050</xdr:rowOff>
    </xdr:from>
    <xdr:to>
      <xdr:col>24</xdr:col>
      <xdr:colOff>47624</xdr:colOff>
      <xdr:row>387</xdr:row>
      <xdr:rowOff>142875</xdr:rowOff>
    </xdr:to>
    <xdr:pic>
      <xdr:nvPicPr>
        <xdr:cNvPr id="8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749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388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386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347</xdr:row>
      <xdr:rowOff>19050</xdr:rowOff>
    </xdr:from>
    <xdr:to>
      <xdr:col>24</xdr:col>
      <xdr:colOff>47624</xdr:colOff>
      <xdr:row>347</xdr:row>
      <xdr:rowOff>142875</xdr:rowOff>
    </xdr:to>
    <xdr:pic>
      <xdr:nvPicPr>
        <xdr:cNvPr id="8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301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192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382</xdr:row>
      <xdr:rowOff>28575</xdr:rowOff>
    </xdr:from>
    <xdr:to>
      <xdr:col>1</xdr:col>
      <xdr:colOff>0</xdr:colOff>
      <xdr:row>382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431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431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366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351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8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87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256</xdr:row>
      <xdr:rowOff>19050</xdr:rowOff>
    </xdr:from>
    <xdr:ext cx="819150" cy="123825"/>
    <xdr:pic>
      <xdr:nvPicPr>
        <xdr:cNvPr id="8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310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310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651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651</xdr:row>
      <xdr:rowOff>19050</xdr:rowOff>
    </xdr:from>
    <xdr:to>
      <xdr:col>24</xdr:col>
      <xdr:colOff>47625</xdr:colOff>
      <xdr:row>651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675</xdr:row>
      <xdr:rowOff>19050</xdr:rowOff>
    </xdr:from>
    <xdr:ext cx="819150" cy="123825"/>
    <xdr:pic>
      <xdr:nvPicPr>
        <xdr:cNvPr id="97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5192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50" cy="123825"/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44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397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583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583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566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567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568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578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316</xdr:row>
      <xdr:rowOff>19050</xdr:rowOff>
    </xdr:from>
    <xdr:to>
      <xdr:col>24</xdr:col>
      <xdr:colOff>47625</xdr:colOff>
      <xdr:row>316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316</xdr:row>
      <xdr:rowOff>19050</xdr:rowOff>
    </xdr:from>
    <xdr:to>
      <xdr:col>25</xdr:col>
      <xdr:colOff>83819</xdr:colOff>
      <xdr:row>316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313</xdr:row>
      <xdr:rowOff>28575</xdr:rowOff>
    </xdr:from>
    <xdr:to>
      <xdr:col>25</xdr:col>
      <xdr:colOff>83819</xdr:colOff>
      <xdr:row>313</xdr:row>
      <xdr:rowOff>150495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4805600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09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79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383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383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243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282</xdr:row>
      <xdr:rowOff>28575</xdr:rowOff>
    </xdr:from>
    <xdr:ext cx="342900" cy="104775"/>
    <xdr:pic>
      <xdr:nvPicPr>
        <xdr:cNvPr id="113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586</xdr:row>
      <xdr:rowOff>19050</xdr:rowOff>
    </xdr:from>
    <xdr:ext cx="847346" cy="121920"/>
    <xdr:pic>
      <xdr:nvPicPr>
        <xdr:cNvPr id="953" name="Imagen 9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838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579</xdr:row>
      <xdr:rowOff>28575</xdr:rowOff>
    </xdr:from>
    <xdr:ext cx="342900" cy="104775"/>
    <xdr:pic>
      <xdr:nvPicPr>
        <xdr:cNvPr id="115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43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605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685</xdr:row>
      <xdr:rowOff>19050</xdr:rowOff>
    </xdr:from>
    <xdr:to>
      <xdr:col>24</xdr:col>
      <xdr:colOff>47624</xdr:colOff>
      <xdr:row>685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370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370</xdr:row>
      <xdr:rowOff>28575</xdr:rowOff>
    </xdr:from>
    <xdr:ext cx="342900" cy="104775"/>
    <xdr:pic>
      <xdr:nvPicPr>
        <xdr:cNvPr id="11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1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7166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252</xdr:row>
      <xdr:rowOff>19050</xdr:rowOff>
    </xdr:from>
    <xdr:ext cx="819150" cy="123825"/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66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252</xdr:row>
      <xdr:rowOff>28575</xdr:rowOff>
    </xdr:from>
    <xdr:ext cx="342900" cy="104775"/>
    <xdr:pic>
      <xdr:nvPicPr>
        <xdr:cNvPr id="118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464</xdr:row>
      <xdr:rowOff>19050</xdr:rowOff>
    </xdr:from>
    <xdr:to>
      <xdr:col>24</xdr:col>
      <xdr:colOff>47624</xdr:colOff>
      <xdr:row>464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165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1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4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5505"/>
    <xdr:pic>
      <xdr:nvPicPr>
        <xdr:cNvPr id="1214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581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582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574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422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492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19050</xdr:rowOff>
    </xdr:from>
    <xdr:ext cx="342900" cy="104775"/>
    <xdr:pic>
      <xdr:nvPicPr>
        <xdr:cNvPr id="13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0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572</xdr:row>
      <xdr:rowOff>28575</xdr:rowOff>
    </xdr:from>
    <xdr:ext cx="342900" cy="104775"/>
    <xdr:pic>
      <xdr:nvPicPr>
        <xdr:cNvPr id="132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7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421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421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437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268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268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290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290</xdr:row>
      <xdr:rowOff>28575</xdr:rowOff>
    </xdr:from>
    <xdr:ext cx="342900" cy="104775"/>
    <xdr:pic>
      <xdr:nvPicPr>
        <xdr:cNvPr id="122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14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230</xdr:row>
      <xdr:rowOff>28575</xdr:rowOff>
    </xdr:from>
    <xdr:ext cx="342900" cy="104775"/>
    <xdr:pic>
      <xdr:nvPicPr>
        <xdr:cNvPr id="131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229</xdr:row>
      <xdr:rowOff>28575</xdr:rowOff>
    </xdr:from>
    <xdr:to>
      <xdr:col>1</xdr:col>
      <xdr:colOff>0</xdr:colOff>
      <xdr:row>229</xdr:row>
      <xdr:rowOff>133350</xdr:rowOff>
    </xdr:to>
    <xdr:pic>
      <xdr:nvPicPr>
        <xdr:cNvPr id="132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331</xdr:row>
      <xdr:rowOff>28575</xdr:rowOff>
    </xdr:from>
    <xdr:ext cx="342900" cy="104775"/>
    <xdr:pic>
      <xdr:nvPicPr>
        <xdr:cNvPr id="11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465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466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418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619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8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684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684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3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690</xdr:row>
      <xdr:rowOff>19050</xdr:rowOff>
    </xdr:from>
    <xdr:to>
      <xdr:col>24</xdr:col>
      <xdr:colOff>47625</xdr:colOff>
      <xdr:row>690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691</xdr:row>
      <xdr:rowOff>19050</xdr:rowOff>
    </xdr:from>
    <xdr:to>
      <xdr:col>24</xdr:col>
      <xdr:colOff>47625</xdr:colOff>
      <xdr:row>691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692</xdr:row>
      <xdr:rowOff>19050</xdr:rowOff>
    </xdr:from>
    <xdr:to>
      <xdr:col>24</xdr:col>
      <xdr:colOff>47625</xdr:colOff>
      <xdr:row>692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650</xdr:row>
      <xdr:rowOff>19050</xdr:rowOff>
    </xdr:from>
    <xdr:to>
      <xdr:col>26</xdr:col>
      <xdr:colOff>0</xdr:colOff>
      <xdr:row>650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687</xdr:row>
      <xdr:rowOff>19050</xdr:rowOff>
    </xdr:from>
    <xdr:to>
      <xdr:col>24</xdr:col>
      <xdr:colOff>47625</xdr:colOff>
      <xdr:row>687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688</xdr:row>
      <xdr:rowOff>19050</xdr:rowOff>
    </xdr:from>
    <xdr:to>
      <xdr:col>24</xdr:col>
      <xdr:colOff>47625</xdr:colOff>
      <xdr:row>688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652</xdr:row>
      <xdr:rowOff>19050</xdr:rowOff>
    </xdr:from>
    <xdr:to>
      <xdr:col>26</xdr:col>
      <xdr:colOff>0</xdr:colOff>
      <xdr:row>652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674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674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503</xdr:row>
      <xdr:rowOff>28575</xdr:rowOff>
    </xdr:from>
    <xdr:ext cx="342900" cy="104775"/>
    <xdr:pic>
      <xdr:nvPicPr>
        <xdr:cNvPr id="14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3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504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90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507</xdr:row>
      <xdr:rowOff>28575</xdr:rowOff>
    </xdr:from>
    <xdr:ext cx="342900" cy="104775"/>
    <xdr:pic>
      <xdr:nvPicPr>
        <xdr:cNvPr id="143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392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391</xdr:row>
      <xdr:rowOff>28575</xdr:rowOff>
    </xdr:from>
    <xdr:ext cx="342900" cy="104775"/>
    <xdr:pic>
      <xdr:nvPicPr>
        <xdr:cNvPr id="1365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4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392</xdr:row>
      <xdr:rowOff>28575</xdr:rowOff>
    </xdr:from>
    <xdr:ext cx="342900" cy="104775"/>
    <xdr:pic>
      <xdr:nvPicPr>
        <xdr:cNvPr id="13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9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270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270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311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311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311</xdr:row>
      <xdr:rowOff>28575</xdr:rowOff>
    </xdr:from>
    <xdr:ext cx="342900" cy="104775"/>
    <xdr:pic>
      <xdr:nvPicPr>
        <xdr:cNvPr id="145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1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314</xdr:row>
      <xdr:rowOff>28575</xdr:rowOff>
    </xdr:from>
    <xdr:ext cx="447675" cy="108527"/>
    <xdr:pic>
      <xdr:nvPicPr>
        <xdr:cNvPr id="1451" name="Imagen 145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45872400"/>
          <a:ext cx="447675" cy="108527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314</xdr:row>
      <xdr:rowOff>19050</xdr:rowOff>
    </xdr:from>
    <xdr:ext cx="819149" cy="123825"/>
    <xdr:pic>
      <xdr:nvPicPr>
        <xdr:cNvPr id="14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601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47625</xdr:colOff>
      <xdr:row>314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586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314</xdr:row>
      <xdr:rowOff>28575</xdr:rowOff>
    </xdr:from>
    <xdr:ext cx="342900" cy="104775"/>
    <xdr:pic>
      <xdr:nvPicPr>
        <xdr:cNvPr id="14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72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170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47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1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604</xdr:row>
      <xdr:rowOff>28575</xdr:rowOff>
    </xdr:from>
    <xdr:ext cx="342900" cy="104775"/>
    <xdr:pic>
      <xdr:nvPicPr>
        <xdr:cNvPr id="147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162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162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161</xdr:row>
      <xdr:rowOff>16566</xdr:rowOff>
    </xdr:from>
    <xdr:ext cx="819150" cy="123825"/>
    <xdr:pic>
      <xdr:nvPicPr>
        <xdr:cNvPr id="102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428123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161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257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1430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090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240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257</xdr:row>
      <xdr:rowOff>19050</xdr:rowOff>
    </xdr:from>
    <xdr:to>
      <xdr:col>26</xdr:col>
      <xdr:colOff>0</xdr:colOff>
      <xdr:row>257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824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234</xdr:row>
      <xdr:rowOff>19050</xdr:rowOff>
    </xdr:from>
    <xdr:to>
      <xdr:col>26</xdr:col>
      <xdr:colOff>0</xdr:colOff>
      <xdr:row>234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240</xdr:row>
      <xdr:rowOff>19050</xdr:rowOff>
    </xdr:from>
    <xdr:to>
      <xdr:col>26</xdr:col>
      <xdr:colOff>0</xdr:colOff>
      <xdr:row>240</xdr:row>
      <xdr:rowOff>142875</xdr:rowOff>
    </xdr:to>
    <xdr:pic>
      <xdr:nvPicPr>
        <xdr:cNvPr id="1492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241</xdr:row>
      <xdr:rowOff>28575</xdr:rowOff>
    </xdr:from>
    <xdr:to>
      <xdr:col>26</xdr:col>
      <xdr:colOff>0</xdr:colOff>
      <xdr:row>242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683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683</xdr:row>
      <xdr:rowOff>28575</xdr:rowOff>
    </xdr:from>
    <xdr:ext cx="342900" cy="104775"/>
    <xdr:pic>
      <xdr:nvPicPr>
        <xdr:cNvPr id="15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46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672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672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679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679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164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164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267</xdr:row>
      <xdr:rowOff>19050</xdr:rowOff>
    </xdr:from>
    <xdr:ext cx="819150" cy="123825"/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267</xdr:row>
      <xdr:rowOff>28575</xdr:rowOff>
    </xdr:from>
    <xdr:to>
      <xdr:col>1</xdr:col>
      <xdr:colOff>0</xdr:colOff>
      <xdr:row>267</xdr:row>
      <xdr:rowOff>133350</xdr:rowOff>
    </xdr:to>
    <xdr:pic>
      <xdr:nvPicPr>
        <xdr:cNvPr id="1537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195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196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438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54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439</xdr:row>
      <xdr:rowOff>28575</xdr:rowOff>
    </xdr:from>
    <xdr:ext cx="342900" cy="104775"/>
    <xdr:pic>
      <xdr:nvPicPr>
        <xdr:cNvPr id="154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570</xdr:row>
      <xdr:rowOff>28575</xdr:rowOff>
    </xdr:from>
    <xdr:ext cx="342900" cy="104775"/>
    <xdr:pic>
      <xdr:nvPicPr>
        <xdr:cNvPr id="15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81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603</xdr:row>
      <xdr:rowOff>28575</xdr:rowOff>
    </xdr:from>
    <xdr:ext cx="342900" cy="104775"/>
    <xdr:pic>
      <xdr:nvPicPr>
        <xdr:cNvPr id="15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3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621</xdr:row>
      <xdr:rowOff>28575</xdr:rowOff>
    </xdr:from>
    <xdr:ext cx="342900" cy="104775"/>
    <xdr:pic>
      <xdr:nvPicPr>
        <xdr:cNvPr id="15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1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19150" cy="123825"/>
    <xdr:pic>
      <xdr:nvPicPr>
        <xdr:cNvPr id="944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5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304</xdr:row>
      <xdr:rowOff>19050</xdr:rowOff>
    </xdr:from>
    <xdr:ext cx="502919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55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565</xdr:row>
      <xdr:rowOff>28575</xdr:rowOff>
    </xdr:from>
    <xdr:ext cx="342900" cy="104775"/>
    <xdr:pic>
      <xdr:nvPicPr>
        <xdr:cNvPr id="10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619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167</xdr:row>
      <xdr:rowOff>28575</xdr:rowOff>
    </xdr:from>
    <xdr:ext cx="342900" cy="104775"/>
    <xdr:pic>
      <xdr:nvPicPr>
        <xdr:cNvPr id="10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167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172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172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166</xdr:row>
      <xdr:rowOff>28575</xdr:rowOff>
    </xdr:from>
    <xdr:ext cx="342900" cy="104775"/>
    <xdr:pic>
      <xdr:nvPicPr>
        <xdr:cNvPr id="121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166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2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173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102</xdr:row>
      <xdr:rowOff>28575</xdr:rowOff>
    </xdr:from>
    <xdr:ext cx="342900" cy="104775"/>
    <xdr:pic>
      <xdr:nvPicPr>
        <xdr:cNvPr id="15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59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620</xdr:row>
      <xdr:rowOff>28575</xdr:rowOff>
    </xdr:from>
    <xdr:ext cx="342900" cy="104775"/>
    <xdr:pic>
      <xdr:nvPicPr>
        <xdr:cNvPr id="99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49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620</xdr:row>
      <xdr:rowOff>19050</xdr:rowOff>
    </xdr:from>
    <xdr:to>
      <xdr:col>24</xdr:col>
      <xdr:colOff>47624</xdr:colOff>
      <xdr:row>620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28575</xdr:rowOff>
    </xdr:from>
    <xdr:to>
      <xdr:col>1</xdr:col>
      <xdr:colOff>0</xdr:colOff>
      <xdr:row>373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587</xdr:row>
      <xdr:rowOff>28575</xdr:rowOff>
    </xdr:from>
    <xdr:to>
      <xdr:col>1</xdr:col>
      <xdr:colOff>0</xdr:colOff>
      <xdr:row>587</xdr:row>
      <xdr:rowOff>133350</xdr:rowOff>
    </xdr:to>
    <xdr:pic>
      <xdr:nvPicPr>
        <xdr:cNvPr id="1553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72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695</xdr:row>
      <xdr:rowOff>28575</xdr:rowOff>
    </xdr:from>
    <xdr:to>
      <xdr:col>1</xdr:col>
      <xdr:colOff>0</xdr:colOff>
      <xdr:row>695</xdr:row>
      <xdr:rowOff>133350</xdr:rowOff>
    </xdr:to>
    <xdr:pic>
      <xdr:nvPicPr>
        <xdr:cNvPr id="155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308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697</xdr:row>
      <xdr:rowOff>28575</xdr:rowOff>
    </xdr:from>
    <xdr:to>
      <xdr:col>1</xdr:col>
      <xdr:colOff>0</xdr:colOff>
      <xdr:row>697</xdr:row>
      <xdr:rowOff>133350</xdr:rowOff>
    </xdr:to>
    <xdr:pic>
      <xdr:nvPicPr>
        <xdr:cNvPr id="155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13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588</xdr:row>
      <xdr:rowOff>28575</xdr:rowOff>
    </xdr:from>
    <xdr:to>
      <xdr:col>1</xdr:col>
      <xdr:colOff>0</xdr:colOff>
      <xdr:row>588</xdr:row>
      <xdr:rowOff>133350</xdr:rowOff>
    </xdr:to>
    <xdr:pic>
      <xdr:nvPicPr>
        <xdr:cNvPr id="155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25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19150" cy="123825"/>
    <xdr:pic>
      <xdr:nvPicPr>
        <xdr:cNvPr id="15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698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369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369</xdr:row>
      <xdr:rowOff>28575</xdr:rowOff>
    </xdr:from>
    <xdr:ext cx="342900" cy="104775"/>
    <xdr:pic>
      <xdr:nvPicPr>
        <xdr:cNvPr id="1559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9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6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508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62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509</xdr:row>
      <xdr:rowOff>28575</xdr:rowOff>
    </xdr:from>
    <xdr:ext cx="342900" cy="104775"/>
    <xdr:pic>
      <xdr:nvPicPr>
        <xdr:cNvPr id="105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169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169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27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630</xdr:row>
      <xdr:rowOff>19050</xdr:rowOff>
    </xdr:from>
    <xdr:to>
      <xdr:col>8</xdr:col>
      <xdr:colOff>181168</xdr:colOff>
      <xdr:row>630</xdr:row>
      <xdr:rowOff>142875</xdr:rowOff>
    </xdr:to>
    <xdr:pic>
      <xdr:nvPicPr>
        <xdr:cNvPr id="1142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6440625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653</xdr:row>
      <xdr:rowOff>19050</xdr:rowOff>
    </xdr:from>
    <xdr:to>
      <xdr:col>8</xdr:col>
      <xdr:colOff>181168</xdr:colOff>
      <xdr:row>653</xdr:row>
      <xdr:rowOff>142875</xdr:rowOff>
    </xdr:to>
    <xdr:pic>
      <xdr:nvPicPr>
        <xdr:cNvPr id="91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0022025"/>
          <a:ext cx="58121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258</xdr:row>
      <xdr:rowOff>28575</xdr:rowOff>
    </xdr:from>
    <xdr:ext cx="342900" cy="104775"/>
    <xdr:pic>
      <xdr:nvPicPr>
        <xdr:cNvPr id="9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259</xdr:row>
      <xdr:rowOff>28575</xdr:rowOff>
    </xdr:from>
    <xdr:ext cx="342900" cy="104775"/>
    <xdr:pic>
      <xdr:nvPicPr>
        <xdr:cNvPr id="11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2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707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507" TargetMode="External"/><Relationship Id="rId531" Type="http://schemas.openxmlformats.org/officeDocument/2006/relationships/hyperlink" Target="https://www.jivi.com.ar/ficha.php?id=1799" TargetMode="External"/><Relationship Id="rId629" Type="http://schemas.openxmlformats.org/officeDocument/2006/relationships/hyperlink" Target="https://www.jivi.com.ar/ficha.php?id=2142" TargetMode="External"/><Relationship Id="rId170" Type="http://schemas.openxmlformats.org/officeDocument/2006/relationships/hyperlink" Target="https://www.jivi.com.ar/ficha.php?id=1156" TargetMode="External"/><Relationship Id="rId268" Type="http://schemas.openxmlformats.org/officeDocument/2006/relationships/hyperlink" Target="https://www.jivi.com.ar/ficha.php?id=1425" TargetMode="External"/><Relationship Id="rId475" Type="http://schemas.openxmlformats.org/officeDocument/2006/relationships/hyperlink" Target="https://www.jivi.com.ar/ficha.php?id=1742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886" TargetMode="External"/><Relationship Id="rId335" Type="http://schemas.openxmlformats.org/officeDocument/2006/relationships/hyperlink" Target="https://www.jivi.com.ar/ficha.php?id=1534" TargetMode="External"/><Relationship Id="rId542" Type="http://schemas.openxmlformats.org/officeDocument/2006/relationships/hyperlink" Target="https://www.jivi.com.ar/ficha.php?id=1739" TargetMode="External"/><Relationship Id="rId181" Type="http://schemas.openxmlformats.org/officeDocument/2006/relationships/hyperlink" Target="https://www.jivi.com.ar/ficha.php?id=1190" TargetMode="External"/><Relationship Id="rId402" Type="http://schemas.openxmlformats.org/officeDocument/2006/relationships/hyperlink" Target="https://www.jivi.com.ar/ficha.php?id=1701" TargetMode="External"/><Relationship Id="rId279" Type="http://schemas.openxmlformats.org/officeDocument/2006/relationships/hyperlink" Target="https://www.jivi.com.ar/ficha.php?id=216" TargetMode="External"/><Relationship Id="rId486" Type="http://schemas.openxmlformats.org/officeDocument/2006/relationships/hyperlink" Target="https://www.jivi.com.ar/ficha.php?id=1751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967" TargetMode="External"/><Relationship Id="rId346" Type="http://schemas.openxmlformats.org/officeDocument/2006/relationships/hyperlink" Target="https://www.jivi.com.ar/ficha.php?id=1549" TargetMode="External"/><Relationship Id="rId553" Type="http://schemas.openxmlformats.org/officeDocument/2006/relationships/hyperlink" Target="https://www.jivi.com.ar/ficha.php?id=1912" TargetMode="External"/><Relationship Id="rId192" Type="http://schemas.openxmlformats.org/officeDocument/2006/relationships/hyperlink" Target="https://www.jivi.com.ar/ficha.php?id=1226" TargetMode="External"/><Relationship Id="rId206" Type="http://schemas.openxmlformats.org/officeDocument/2006/relationships/hyperlink" Target="https://www.jivi.com.ar/ficha.php?id=991" TargetMode="External"/><Relationship Id="rId413" Type="http://schemas.openxmlformats.org/officeDocument/2006/relationships/hyperlink" Target="https://www.jivi.com.ar/ficha.php?id=1612" TargetMode="External"/><Relationship Id="rId497" Type="http://schemas.openxmlformats.org/officeDocument/2006/relationships/hyperlink" Target="https://www.jivi.com.ar/ficha.php?id=1737" TargetMode="External"/><Relationship Id="rId620" Type="http://schemas.openxmlformats.org/officeDocument/2006/relationships/hyperlink" Target="https://www.jivi.com.ar/ficha.php?id=1001" TargetMode="External"/><Relationship Id="rId357" Type="http://schemas.openxmlformats.org/officeDocument/2006/relationships/hyperlink" Target="https://www.jivi.com.ar/ficha.php?id=26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336" TargetMode="External"/><Relationship Id="rId564" Type="http://schemas.openxmlformats.org/officeDocument/2006/relationships/hyperlink" Target="https://www.jivi.com.ar/ficha.php?id=2003" TargetMode="External"/><Relationship Id="rId424" Type="http://schemas.openxmlformats.org/officeDocument/2006/relationships/hyperlink" Target="https://www.jivi.com.ar/ficha.php?id=1634" TargetMode="External"/><Relationship Id="rId631" Type="http://schemas.openxmlformats.org/officeDocument/2006/relationships/hyperlink" Target="https://www.jivi.com.ar/ficha.php?id=2146" TargetMode="External"/><Relationship Id="rId270" Type="http://schemas.openxmlformats.org/officeDocument/2006/relationships/hyperlink" Target="https://www.jivi.com.ar/ficha.php?id=1429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918" TargetMode="External"/><Relationship Id="rId368" Type="http://schemas.openxmlformats.org/officeDocument/2006/relationships/hyperlink" Target="https://www.jivi.com.ar/ficha.php?id=1567" TargetMode="External"/><Relationship Id="rId575" Type="http://schemas.openxmlformats.org/officeDocument/2006/relationships/hyperlink" Target="https://www.jivi.com.ar/ficha.php?id=2018" TargetMode="External"/><Relationship Id="rId228" Type="http://schemas.openxmlformats.org/officeDocument/2006/relationships/hyperlink" Target="https://www.jivi.com.ar/ficha.php?id=864" TargetMode="External"/><Relationship Id="rId435" Type="http://schemas.openxmlformats.org/officeDocument/2006/relationships/hyperlink" Target="https://www.jivi.com.ar/ficha.php?id=1657" TargetMode="External"/><Relationship Id="rId281" Type="http://schemas.openxmlformats.org/officeDocument/2006/relationships/hyperlink" Target="https://www.jivi.com.ar/ficha.php?id=1334" TargetMode="External"/><Relationship Id="rId502" Type="http://schemas.openxmlformats.org/officeDocument/2006/relationships/hyperlink" Target="https://www.jivi.com.ar/ficha.php?id=1265" TargetMode="External"/><Relationship Id="rId76" Type="http://schemas.openxmlformats.org/officeDocument/2006/relationships/hyperlink" Target="https://www.jivi.com.ar/ficha.php?id=18" TargetMode="External"/><Relationship Id="rId141" Type="http://schemas.openxmlformats.org/officeDocument/2006/relationships/hyperlink" Target="https://www.jivi.com.ar/ficha.php?id=850" TargetMode="External"/><Relationship Id="rId379" Type="http://schemas.openxmlformats.org/officeDocument/2006/relationships/hyperlink" Target="https://www.jivi.com.ar/ficha.php?id=1139" TargetMode="External"/><Relationship Id="rId586" Type="http://schemas.openxmlformats.org/officeDocument/2006/relationships/hyperlink" Target="https://www.jivi.com.ar/ficha.php?id=249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236" TargetMode="External"/><Relationship Id="rId446" Type="http://schemas.openxmlformats.org/officeDocument/2006/relationships/hyperlink" Target="https://www.jivi.com.ar/ficha.php?id=1691" TargetMode="External"/><Relationship Id="rId292" Type="http://schemas.openxmlformats.org/officeDocument/2006/relationships/hyperlink" Target="https://www.jivi.com.ar/ficha.php?id=1463" TargetMode="External"/><Relationship Id="rId306" Type="http://schemas.openxmlformats.org/officeDocument/2006/relationships/hyperlink" Target="https://www.jivi.com.ar/ficha.php?id=1480" TargetMode="External"/><Relationship Id="rId87" Type="http://schemas.openxmlformats.org/officeDocument/2006/relationships/hyperlink" Target="https://www.jivi.com.ar/ficha.php?id=171" TargetMode="External"/><Relationship Id="rId513" Type="http://schemas.openxmlformats.org/officeDocument/2006/relationships/hyperlink" Target="https://www.jivi.com.ar/ficha.php?id=1804" TargetMode="External"/><Relationship Id="rId597" Type="http://schemas.openxmlformats.org/officeDocument/2006/relationships/hyperlink" Target="https://www.jivi.com.ar/ficha.php?id=2052" TargetMode="External"/><Relationship Id="rId152" Type="http://schemas.openxmlformats.org/officeDocument/2006/relationships/hyperlink" Target="https://www.jivi.com.ar/ficha.php?id=364" TargetMode="External"/><Relationship Id="rId457" Type="http://schemas.openxmlformats.org/officeDocument/2006/relationships/hyperlink" Target="https://www.jivi.com.ar/ficha.php?id=977" TargetMode="External"/><Relationship Id="rId14" Type="http://schemas.openxmlformats.org/officeDocument/2006/relationships/hyperlink" Target="https://www.jivi.com.ar/ficha.php?id=164" TargetMode="External"/><Relationship Id="rId317" Type="http://schemas.openxmlformats.org/officeDocument/2006/relationships/hyperlink" Target="httphttps://www.jivi.com.ar/ficha.php?id=1498" TargetMode="External"/><Relationship Id="rId524" Type="http://schemas.openxmlformats.org/officeDocument/2006/relationships/hyperlink" Target="https://www.jivi.com.ar/ficha.php?id=1533" TargetMode="External"/><Relationship Id="rId98" Type="http://schemas.openxmlformats.org/officeDocument/2006/relationships/hyperlink" Target="https://www.jivi.com.ar/ficha.php?id=48" TargetMode="External"/><Relationship Id="rId163" Type="http://schemas.openxmlformats.org/officeDocument/2006/relationships/hyperlink" Target="https://www.jivi.com.ar/ficha.php?id=1116" TargetMode="External"/><Relationship Id="rId370" Type="http://schemas.openxmlformats.org/officeDocument/2006/relationships/hyperlink" Target="https://www.jivi.com.ar/ficha.php?id=1569" TargetMode="External"/><Relationship Id="rId230" Type="http://schemas.openxmlformats.org/officeDocument/2006/relationships/hyperlink" Target="https://www.jivi.com.ar/ficha.php?id=1378" TargetMode="External"/><Relationship Id="rId468" Type="http://schemas.openxmlformats.org/officeDocument/2006/relationships/hyperlink" Target="https://www.jivi.com.ar/ficha.php?id=1729" TargetMode="External"/><Relationship Id="rId25" Type="http://schemas.openxmlformats.org/officeDocument/2006/relationships/hyperlink" Target="https://www.jivi.com.ar/ficha.php?id=103" TargetMode="External"/><Relationship Id="rId328" Type="http://schemas.openxmlformats.org/officeDocument/2006/relationships/hyperlink" Target="https://www.jivi.com.ar/ficha.php?id=1515" TargetMode="External"/><Relationship Id="rId535" Type="http://schemas.openxmlformats.org/officeDocument/2006/relationships/hyperlink" Target="https://www.jivi.com.ar/ficha.php?id=1847" TargetMode="External"/><Relationship Id="rId174" Type="http://schemas.openxmlformats.org/officeDocument/2006/relationships/hyperlink" Target="https://www.jivi.com.ar/ficha.php?id=488" TargetMode="External"/><Relationship Id="rId381" Type="http://schemas.openxmlformats.org/officeDocument/2006/relationships/hyperlink" Target="https://www.jivi.com.ar/ficha.php?id=1574" TargetMode="External"/><Relationship Id="rId602" Type="http://schemas.openxmlformats.org/officeDocument/2006/relationships/hyperlink" Target="https://www.jivi.com.ar/ficha.php?id=2059" TargetMode="External"/><Relationship Id="rId241" Type="http://schemas.openxmlformats.org/officeDocument/2006/relationships/hyperlink" Target="https://www.jivi.com.ar/ficha.php?id=1394" TargetMode="External"/><Relationship Id="rId479" Type="http://schemas.openxmlformats.org/officeDocument/2006/relationships/hyperlink" Target="https://www.jivi.com.ar/ficha.php?id=1745" TargetMode="External"/><Relationship Id="rId36" Type="http://schemas.openxmlformats.org/officeDocument/2006/relationships/hyperlink" Target="https://www.jivi.com.ar/ficha.php?id=114" TargetMode="External"/><Relationship Id="rId339" Type="http://schemas.openxmlformats.org/officeDocument/2006/relationships/hyperlink" Target="https://www.jivi.com.ar/ficha.php?id=1540" TargetMode="External"/><Relationship Id="rId546" Type="http://schemas.openxmlformats.org/officeDocument/2006/relationships/hyperlink" Target="https://www.jivi.com.ar/ficha.php?id=1840" TargetMode="External"/><Relationship Id="rId101" Type="http://schemas.openxmlformats.org/officeDocument/2006/relationships/hyperlink" Target="https://www.jivi.com.ar/ficha.php?id=473" TargetMode="External"/><Relationship Id="rId185" Type="http://schemas.openxmlformats.org/officeDocument/2006/relationships/hyperlink" Target="https://www.jivi.com.ar/ficha.php?id=1219" TargetMode="External"/><Relationship Id="rId406" Type="http://schemas.openxmlformats.org/officeDocument/2006/relationships/hyperlink" Target="https://www.jivi.com.ar/ficha.php?id=1270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1303" TargetMode="External"/><Relationship Id="rId392" Type="http://schemas.openxmlformats.org/officeDocument/2006/relationships/hyperlink" Target="https://www.jivi.com.ar/ficha.php?id=1590" TargetMode="External"/><Relationship Id="rId448" Type="http://schemas.openxmlformats.org/officeDocument/2006/relationships/hyperlink" Target="https://www.jivi.com.ar/ficha.php?id=36" TargetMode="External"/><Relationship Id="rId613" Type="http://schemas.openxmlformats.org/officeDocument/2006/relationships/hyperlink" Target="https://www.jivi.com.ar/ficha.php?id=2069" TargetMode="External"/><Relationship Id="rId252" Type="http://schemas.openxmlformats.org/officeDocument/2006/relationships/hyperlink" Target="https://www.jivi.com.ar/ficha.php?id=376" TargetMode="External"/><Relationship Id="rId294" Type="http://schemas.openxmlformats.org/officeDocument/2006/relationships/hyperlink" Target="https://www.jivi.com.ar/ficha.php?id=1466" TargetMode="External"/><Relationship Id="rId308" Type="http://schemas.openxmlformats.org/officeDocument/2006/relationships/hyperlink" Target="https://www.jivi.com.ar/ficha.php?id=1483" TargetMode="External"/><Relationship Id="rId515" Type="http://schemas.openxmlformats.org/officeDocument/2006/relationships/hyperlink" Target="https://www.jivi.com.ar/ficha.php?id=1342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69" TargetMode="External"/><Relationship Id="rId112" Type="http://schemas.openxmlformats.org/officeDocument/2006/relationships/hyperlink" Target="https://www.jivi.com.ar/ficha.php?id=215" TargetMode="External"/><Relationship Id="rId154" Type="http://schemas.openxmlformats.org/officeDocument/2006/relationships/hyperlink" Target="https://www.jivi.com.ar/ficha.php?id=1079" TargetMode="External"/><Relationship Id="rId361" Type="http://schemas.openxmlformats.org/officeDocument/2006/relationships/hyperlink" Target="https://www.jivi.com.ar/ficha.php?id=1414" TargetMode="External"/><Relationship Id="rId557" Type="http://schemas.openxmlformats.org/officeDocument/2006/relationships/hyperlink" Target="https://www.jivi.com.ar/ficha.php?id=1998" TargetMode="External"/><Relationship Id="rId599" Type="http://schemas.openxmlformats.org/officeDocument/2006/relationships/hyperlink" Target="https://www.jivi.com.ar/ficha.php?id=2055" TargetMode="External"/><Relationship Id="rId196" Type="http://schemas.openxmlformats.org/officeDocument/2006/relationships/hyperlink" Target="https://www.jivi.com.ar/ficha.php?id=883" TargetMode="External"/><Relationship Id="rId417" Type="http://schemas.openxmlformats.org/officeDocument/2006/relationships/hyperlink" Target="https://www.jivi.com.ar/ficha.php?id=1615" TargetMode="External"/><Relationship Id="rId459" Type="http://schemas.openxmlformats.org/officeDocument/2006/relationships/hyperlink" Target="https://www.jivi.com.ar/ficha.php?id=1456" TargetMode="External"/><Relationship Id="rId624" Type="http://schemas.openxmlformats.org/officeDocument/2006/relationships/hyperlink" Target="https://www.jivi.com.ar/ficha.php?id=1299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347" TargetMode="External"/><Relationship Id="rId263" Type="http://schemas.openxmlformats.org/officeDocument/2006/relationships/hyperlink" Target="https://www.jivi.com.ar/ficha.php?id=1281" TargetMode="External"/><Relationship Id="rId319" Type="http://schemas.openxmlformats.org/officeDocument/2006/relationships/hyperlink" Target="https://www.jivi.com.ar/ficha.php?id=1500" TargetMode="External"/><Relationship Id="rId470" Type="http://schemas.openxmlformats.org/officeDocument/2006/relationships/hyperlink" Target="https://www.jivi.com.ar/ficha.php?id=1731" TargetMode="External"/><Relationship Id="rId526" Type="http://schemas.openxmlformats.org/officeDocument/2006/relationships/hyperlink" Target="https://www.jivi.com.ar/ficha.php?id=1825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854" TargetMode="External"/><Relationship Id="rId330" Type="http://schemas.openxmlformats.org/officeDocument/2006/relationships/hyperlink" Target="https://www.jivi.com.ar/ficha.php?id=1517" TargetMode="External"/><Relationship Id="rId568" Type="http://schemas.openxmlformats.org/officeDocument/2006/relationships/hyperlink" Target="https://www.jivi.com.ar/ficha.php?id=1658" TargetMode="External"/><Relationship Id="rId165" Type="http://schemas.openxmlformats.org/officeDocument/2006/relationships/hyperlink" Target="https://www.jivi.com.ar/ficha.php?id=1120" TargetMode="External"/><Relationship Id="rId372" Type="http://schemas.openxmlformats.org/officeDocument/2006/relationships/hyperlink" Target="https://www.jivi.com.ar/ficha.php?id=1571" TargetMode="External"/><Relationship Id="rId428" Type="http://schemas.openxmlformats.org/officeDocument/2006/relationships/hyperlink" Target="https://www.jivi.com.ar/ficha.php?id=1642" TargetMode="External"/><Relationship Id="rId635" Type="http://schemas.openxmlformats.org/officeDocument/2006/relationships/vmlDrawing" Target="../drawings/vmlDrawing1.vml"/><Relationship Id="rId232" Type="http://schemas.openxmlformats.org/officeDocument/2006/relationships/hyperlink" Target="https://www.jivi.com.ar/ficha.php?id=1383" TargetMode="External"/><Relationship Id="rId274" Type="http://schemas.openxmlformats.org/officeDocument/2006/relationships/hyperlink" Target="https://www.jivi.com.ar/ficha.php?id=1437" TargetMode="External"/><Relationship Id="rId481" Type="http://schemas.openxmlformats.org/officeDocument/2006/relationships/hyperlink" Target="https://www.jivi.com.ar/ficha.php?id=1747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948" TargetMode="External"/><Relationship Id="rId537" Type="http://schemas.openxmlformats.org/officeDocument/2006/relationships/hyperlink" Target="https://www.jivi.com.ar/ficha.php?id=1520" TargetMode="External"/><Relationship Id="rId579" Type="http://schemas.openxmlformats.org/officeDocument/2006/relationships/hyperlink" Target="https://www.jivi.com.ar/ficha.php?id=444" TargetMode="External"/><Relationship Id="rId80" Type="http://schemas.openxmlformats.org/officeDocument/2006/relationships/hyperlink" Target="https://www.jivi.com.ar/ficha.php?id=393" TargetMode="External"/><Relationship Id="rId176" Type="http://schemas.openxmlformats.org/officeDocument/2006/relationships/hyperlink" Target="https://www.jivi.com.ar/ficha.php?id=915" TargetMode="External"/><Relationship Id="rId341" Type="http://schemas.openxmlformats.org/officeDocument/2006/relationships/hyperlink" Target="https://www.jivi.com.ar/ficha.php?id=1542" TargetMode="External"/><Relationship Id="rId383" Type="http://schemas.openxmlformats.org/officeDocument/2006/relationships/hyperlink" Target="https://www.jivi.com.ar/ficha.php?id=1580" TargetMode="External"/><Relationship Id="rId439" Type="http://schemas.openxmlformats.org/officeDocument/2006/relationships/hyperlink" Target="https://www.jivi.com.ar/ficha.php?id=1666" TargetMode="External"/><Relationship Id="rId590" Type="http://schemas.openxmlformats.org/officeDocument/2006/relationships/hyperlink" Target="https://www.jivi.com.ar/ficha.php?id=1278" TargetMode="External"/><Relationship Id="rId604" Type="http://schemas.openxmlformats.org/officeDocument/2006/relationships/hyperlink" Target="https://www.jivi.com.ar/ficha.php?id=2061" TargetMode="External"/><Relationship Id="rId201" Type="http://schemas.openxmlformats.org/officeDocument/2006/relationships/hyperlink" Target="https://www.jivi.com.ar/ficha.php?id=1124" TargetMode="External"/><Relationship Id="rId243" Type="http://schemas.openxmlformats.org/officeDocument/2006/relationships/hyperlink" Target="https://www.jivi.com.ar/ficha.php?id=1399" TargetMode="External"/><Relationship Id="rId285" Type="http://schemas.openxmlformats.org/officeDocument/2006/relationships/hyperlink" Target="https://www.jivi.com.ar/ficha.php?id=1448" TargetMode="External"/><Relationship Id="rId450" Type="http://schemas.openxmlformats.org/officeDocument/2006/relationships/hyperlink" Target="https://www.jivi.com.ar/ficha.php?id=1698" TargetMode="External"/><Relationship Id="rId506" Type="http://schemas.openxmlformats.org/officeDocument/2006/relationships/hyperlink" Target="https://www.jivi.com.ar/ficha.php?id=1790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252" TargetMode="External"/><Relationship Id="rId310" Type="http://schemas.openxmlformats.org/officeDocument/2006/relationships/hyperlink" Target="https://www.jivi.com.ar/ficha.php?id=1488" TargetMode="External"/><Relationship Id="rId492" Type="http://schemas.openxmlformats.org/officeDocument/2006/relationships/hyperlink" Target="https://www.jivi.com.ar/ficha.php?id=1777" TargetMode="External"/><Relationship Id="rId548" Type="http://schemas.openxmlformats.org/officeDocument/2006/relationships/hyperlink" Target="https://www.jivi.com.ar/ficha.php?id=1886" TargetMode="External"/><Relationship Id="rId91" Type="http://schemas.openxmlformats.org/officeDocument/2006/relationships/hyperlink" Target="https://www.jivi.com.ar/ficha.php?id=158" TargetMode="External"/><Relationship Id="rId145" Type="http://schemas.openxmlformats.org/officeDocument/2006/relationships/hyperlink" Target="https://www.jivi.com.ar/ficha.php?id=1023" TargetMode="External"/><Relationship Id="rId187" Type="http://schemas.openxmlformats.org/officeDocument/2006/relationships/hyperlink" Target="https://www.jivi.com.ar/ficha.php?id=1222" TargetMode="External"/><Relationship Id="rId352" Type="http://schemas.openxmlformats.org/officeDocument/2006/relationships/hyperlink" Target="https://www.jivi.com.ar/ficha.php?id=1555" TargetMode="External"/><Relationship Id="rId394" Type="http://schemas.openxmlformats.org/officeDocument/2006/relationships/hyperlink" Target="https://www.jivi.com.ar/ficha.php?id=1592" TargetMode="External"/><Relationship Id="rId408" Type="http://schemas.openxmlformats.org/officeDocument/2006/relationships/hyperlink" Target="https://www.jivi.com.ar/ficha.php?id=1608" TargetMode="External"/><Relationship Id="rId615" Type="http://schemas.openxmlformats.org/officeDocument/2006/relationships/hyperlink" Target="https://www.jivi.com.ar/ficha.php?id=1775" TargetMode="External"/><Relationship Id="rId212" Type="http://schemas.openxmlformats.org/officeDocument/2006/relationships/hyperlink" Target="https://www.jivi.com.ar/ficha.php?id=1306" TargetMode="External"/><Relationship Id="rId254" Type="http://schemas.openxmlformats.org/officeDocument/2006/relationships/hyperlink" Target="https://www.jivi.com.ar/ficha.php?id=1393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51" TargetMode="External"/><Relationship Id="rId296" Type="http://schemas.openxmlformats.org/officeDocument/2006/relationships/hyperlink" Target="https://www.jivi.com.ar/ficha.php?id=1468" TargetMode="External"/><Relationship Id="rId461" Type="http://schemas.openxmlformats.org/officeDocument/2006/relationships/hyperlink" Target="https://www.jivi.com.ar/ficha.php?id=1708" TargetMode="External"/><Relationship Id="rId517" Type="http://schemas.openxmlformats.org/officeDocument/2006/relationships/hyperlink" Target="https://www.jivi.com.ar/ficha.php?id=1377" TargetMode="External"/><Relationship Id="rId559" Type="http://schemas.openxmlformats.org/officeDocument/2006/relationships/hyperlink" Target="https://www.jivi.com.ar/ficha.php?id=2000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94" TargetMode="External"/><Relationship Id="rId198" Type="http://schemas.openxmlformats.org/officeDocument/2006/relationships/hyperlink" Target="https://jivi.com.ar/ficha.php?id=89" TargetMode="External"/><Relationship Id="rId321" Type="http://schemas.openxmlformats.org/officeDocument/2006/relationships/hyperlink" Target="https://www.jivi.com.ar/ficha.php?id=1504" TargetMode="External"/><Relationship Id="rId363" Type="http://schemas.openxmlformats.org/officeDocument/2006/relationships/hyperlink" Target="https://www.jivi.com.ar/ficha.php?id=1407" TargetMode="External"/><Relationship Id="rId419" Type="http://schemas.openxmlformats.org/officeDocument/2006/relationships/hyperlink" Target="https://www.jivi.com.ar/ficha.php?id=1618" TargetMode="External"/><Relationship Id="rId570" Type="http://schemas.openxmlformats.org/officeDocument/2006/relationships/hyperlink" Target="https://www.jivi.com.ar/ficha.php?id=2010" TargetMode="External"/><Relationship Id="rId626" Type="http://schemas.openxmlformats.org/officeDocument/2006/relationships/hyperlink" Target="https://www.jivi.com.ar/ficha.php?id=2101" TargetMode="External"/><Relationship Id="rId223" Type="http://schemas.openxmlformats.org/officeDocument/2006/relationships/hyperlink" Target="https://www.jivi.com.ar/ficha.php?id=1359" TargetMode="External"/><Relationship Id="rId430" Type="http://schemas.openxmlformats.org/officeDocument/2006/relationships/hyperlink" Target="https://www.jivi.com.ar/ficha.php?id=1641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1421" TargetMode="External"/><Relationship Id="rId472" Type="http://schemas.openxmlformats.org/officeDocument/2006/relationships/hyperlink" Target="https://www.jivi.com.ar/ficha.php?id=1734" TargetMode="External"/><Relationship Id="rId528" Type="http://schemas.openxmlformats.org/officeDocument/2006/relationships/hyperlink" Target="https://www.jivi.com.ar/ficha.php?id=149" TargetMode="External"/><Relationship Id="rId125" Type="http://schemas.openxmlformats.org/officeDocument/2006/relationships/hyperlink" Target="https://www.jivi.com.ar/ficha.php?id=888" TargetMode="External"/><Relationship Id="rId167" Type="http://schemas.openxmlformats.org/officeDocument/2006/relationships/hyperlink" Target="https://www.jivi.com.ar/ficha.php?id=1157" TargetMode="External"/><Relationship Id="rId332" Type="http://schemas.openxmlformats.org/officeDocument/2006/relationships/hyperlink" Target="https://www.jivi.com.ar/ficha.php?id=1559" TargetMode="External"/><Relationship Id="rId374" Type="http://schemas.openxmlformats.org/officeDocument/2006/relationships/hyperlink" Target="https://www.jivi.com.ar/ficha.php?id=1572" TargetMode="External"/><Relationship Id="rId581" Type="http://schemas.openxmlformats.org/officeDocument/2006/relationships/hyperlink" Target="https://www.jivi.com.ar/ficha.php?id=2035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1428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439" TargetMode="External"/><Relationship Id="rId441" Type="http://schemas.openxmlformats.org/officeDocument/2006/relationships/hyperlink" Target="https://www.jivi.com.ar/ficha.php?id=1684" TargetMode="External"/><Relationship Id="rId483" Type="http://schemas.openxmlformats.org/officeDocument/2006/relationships/hyperlink" Target="https://www.jivi.com.ar/ficha.php?id=1749" TargetMode="External"/><Relationship Id="rId539" Type="http://schemas.openxmlformats.org/officeDocument/2006/relationships/hyperlink" Target="https://www.jivi.com.ar/ficha.php?id=1443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955" TargetMode="External"/><Relationship Id="rId178" Type="http://schemas.openxmlformats.org/officeDocument/2006/relationships/hyperlink" Target="https://www.jivi.com.ar/ficha.php?id=1183" TargetMode="External"/><Relationship Id="rId301" Type="http://schemas.openxmlformats.org/officeDocument/2006/relationships/hyperlink" Target="https://www.jivi.com.ar/ficha.php?id=995" TargetMode="External"/><Relationship Id="rId343" Type="http://schemas.openxmlformats.org/officeDocument/2006/relationships/hyperlink" Target="https://www.jivi.com.ar/ficha.php?id=1547" TargetMode="External"/><Relationship Id="rId550" Type="http://schemas.openxmlformats.org/officeDocument/2006/relationships/hyperlink" Target="https://www.jivi.com.ar/ficha.php?id=1138" TargetMode="External"/><Relationship Id="rId82" Type="http://schemas.openxmlformats.org/officeDocument/2006/relationships/hyperlink" Target="https://www.jivi.com.ar/ficha.php?id=136" TargetMode="External"/><Relationship Id="rId203" Type="http://schemas.openxmlformats.org/officeDocument/2006/relationships/hyperlink" Target="https://www.jivi.com.ar/ficha.php?id=1267" TargetMode="External"/><Relationship Id="rId385" Type="http://schemas.openxmlformats.org/officeDocument/2006/relationships/hyperlink" Target="https://www.jivi.com.ar/ficha.php?id=1583" TargetMode="External"/><Relationship Id="rId592" Type="http://schemas.openxmlformats.org/officeDocument/2006/relationships/hyperlink" Target="https://www.jivi.com.ar/ficha.php?id=1410" TargetMode="External"/><Relationship Id="rId606" Type="http://schemas.openxmlformats.org/officeDocument/2006/relationships/hyperlink" Target="https://www.jivi.com.ar/ficha.php?id=1369" TargetMode="External"/><Relationship Id="rId245" Type="http://schemas.openxmlformats.org/officeDocument/2006/relationships/hyperlink" Target="https://www.jivi.com.ar/ficha.php?id=1400" TargetMode="External"/><Relationship Id="rId287" Type="http://schemas.openxmlformats.org/officeDocument/2006/relationships/hyperlink" Target="https://www.jivi.com.ar/ficha.php?id=1560" TargetMode="External"/><Relationship Id="rId410" Type="http://schemas.openxmlformats.org/officeDocument/2006/relationships/hyperlink" Target="https://www.jivi.com.ar/ficha.php?id=1274" TargetMode="External"/><Relationship Id="rId452" Type="http://schemas.openxmlformats.org/officeDocument/2006/relationships/hyperlink" Target="https://www.jivi.com.ar/ficha.php?id=1510" TargetMode="External"/><Relationship Id="rId494" Type="http://schemas.openxmlformats.org/officeDocument/2006/relationships/hyperlink" Target="https://www.jivi.com.ar/ficha.php?id=1709" TargetMode="External"/><Relationship Id="rId508" Type="http://schemas.openxmlformats.org/officeDocument/2006/relationships/hyperlink" Target="https://www.jivi.com.ar/ficha.php?id=1791" TargetMode="External"/><Relationship Id="rId105" Type="http://schemas.openxmlformats.org/officeDocument/2006/relationships/hyperlink" Target="https://www.jivi.com.ar/ficha.php?id=220" TargetMode="External"/><Relationship Id="rId147" Type="http://schemas.openxmlformats.org/officeDocument/2006/relationships/hyperlink" Target="https://www.jivi.com.ar/ficha.php?id=647" TargetMode="External"/><Relationship Id="rId312" Type="http://schemas.openxmlformats.org/officeDocument/2006/relationships/hyperlink" Target="https://www.jivi.com.ar/ficha.php?id=1493" TargetMode="External"/><Relationship Id="rId354" Type="http://schemas.openxmlformats.org/officeDocument/2006/relationships/hyperlink" Target="https://www.jivi.com.ar/ficha.php?id=1558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622" TargetMode="External"/><Relationship Id="rId189" Type="http://schemas.openxmlformats.org/officeDocument/2006/relationships/hyperlink" Target="https://www.jivi.com.ar/ficha.php?id=904" TargetMode="External"/><Relationship Id="rId396" Type="http://schemas.openxmlformats.org/officeDocument/2006/relationships/hyperlink" Target="https://www.jivi.com.ar/ficha.php?id=1595" TargetMode="External"/><Relationship Id="rId561" Type="http://schemas.openxmlformats.org/officeDocument/2006/relationships/hyperlink" Target="https://www.jivi.com.ar/ficha.php?id=1601" TargetMode="External"/><Relationship Id="rId617" Type="http://schemas.openxmlformats.org/officeDocument/2006/relationships/hyperlink" Target="https://www.jivi.com.ar/ficha.php?id=1266" TargetMode="External"/><Relationship Id="rId214" Type="http://schemas.openxmlformats.org/officeDocument/2006/relationships/hyperlink" Target="https://www.jivi.com.ar/ficha.php?id=1290" TargetMode="External"/><Relationship Id="rId256" Type="http://schemas.openxmlformats.org/officeDocument/2006/relationships/hyperlink" Target="https://www.jivi.com.ar/ficha.php?id=1413" TargetMode="External"/><Relationship Id="rId298" Type="http://schemas.openxmlformats.org/officeDocument/2006/relationships/hyperlink" Target="https://www.jivi.com.ar/ficha.php?id=1471" TargetMode="External"/><Relationship Id="rId421" Type="http://schemas.openxmlformats.org/officeDocument/2006/relationships/hyperlink" Target="https://www.jivi.com.ar/ficha.php?id=1620" TargetMode="External"/><Relationship Id="rId463" Type="http://schemas.openxmlformats.org/officeDocument/2006/relationships/hyperlink" Target="https://www.jivi.com.ar/ficha.php?id=1722" TargetMode="External"/><Relationship Id="rId519" Type="http://schemas.openxmlformats.org/officeDocument/2006/relationships/hyperlink" Target="https://www.jivi.com.ar/ficha.php?id=1597" TargetMode="External"/><Relationship Id="rId116" Type="http://schemas.openxmlformats.org/officeDocument/2006/relationships/hyperlink" Target="https://www.jivi.com.ar/ficha.php?id=809" TargetMode="External"/><Relationship Id="rId158" Type="http://schemas.openxmlformats.org/officeDocument/2006/relationships/hyperlink" Target="https://www.jivi.com.ar/ficha.php?id=1097" TargetMode="External"/><Relationship Id="rId323" Type="http://schemas.openxmlformats.org/officeDocument/2006/relationships/hyperlink" Target="https://www.jivi.com.ar/ficha.php?id=1506" TargetMode="External"/><Relationship Id="rId530" Type="http://schemas.openxmlformats.org/officeDocument/2006/relationships/hyperlink" Target="https://www.jivi.com.ar/ficha.php?id=1835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408" TargetMode="External"/><Relationship Id="rId572" Type="http://schemas.openxmlformats.org/officeDocument/2006/relationships/hyperlink" Target="https://www.jivi.com.ar/ficha.php?id=2012" TargetMode="External"/><Relationship Id="rId628" Type="http://schemas.openxmlformats.org/officeDocument/2006/relationships/hyperlink" Target="https://www.jivi.com.ar/ficha.php?id=698" TargetMode="External"/><Relationship Id="rId225" Type="http://schemas.openxmlformats.org/officeDocument/2006/relationships/hyperlink" Target="https://www.jivi.com.ar/ficha.php?id=1365" TargetMode="External"/><Relationship Id="rId267" Type="http://schemas.openxmlformats.org/officeDocument/2006/relationships/hyperlink" Target="https://www.jivi.com.ar/ficha.php?id=1423" TargetMode="External"/><Relationship Id="rId432" Type="http://schemas.openxmlformats.org/officeDocument/2006/relationships/hyperlink" Target="https://www.jivi.com.ar/ficha.php?id=1637" TargetMode="External"/><Relationship Id="rId474" Type="http://schemas.openxmlformats.org/officeDocument/2006/relationships/hyperlink" Target="https://www.jivi.com.ar/ficha.php?id=1740" TargetMode="External"/><Relationship Id="rId127" Type="http://schemas.openxmlformats.org/officeDocument/2006/relationships/hyperlink" Target="https://www.jivi.com.ar/ficha.php?id=903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https://www.jivi.com.ar/ficha.php?id=1155" TargetMode="External"/><Relationship Id="rId334" Type="http://schemas.openxmlformats.org/officeDocument/2006/relationships/hyperlink" Target="https://www.jivi.com.ar/ficha.php?id=1532" TargetMode="External"/><Relationship Id="rId376" Type="http://schemas.openxmlformats.org/officeDocument/2006/relationships/hyperlink" Target="https://www.jivi.com.ar/ficha.php?id=1294" TargetMode="External"/><Relationship Id="rId541" Type="http://schemas.openxmlformats.org/officeDocument/2006/relationships/hyperlink" Target="https://www.jivi.com.ar/ficha.php?id=1733" TargetMode="External"/><Relationship Id="rId583" Type="http://schemas.openxmlformats.org/officeDocument/2006/relationships/hyperlink" Target="https://www.jivi.com.ar/ficha.php?id=1662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349" TargetMode="External"/><Relationship Id="rId236" Type="http://schemas.openxmlformats.org/officeDocument/2006/relationships/hyperlink" Target="https://www.jivi.com.ar/ficha.php?id=1387" TargetMode="External"/><Relationship Id="rId278" Type="http://schemas.openxmlformats.org/officeDocument/2006/relationships/hyperlink" Target="https://www.jivi.com.ar/ficha.php?id=1427" TargetMode="External"/><Relationship Id="rId401" Type="http://schemas.openxmlformats.org/officeDocument/2006/relationships/hyperlink" Target="https://www.jivi.com.ar/ficha.php?id=1603" TargetMode="External"/><Relationship Id="rId443" Type="http://schemas.openxmlformats.org/officeDocument/2006/relationships/hyperlink" Target="https://www.jivi.com.ar/ficha.php?id=1687" TargetMode="External"/><Relationship Id="rId303" Type="http://schemas.openxmlformats.org/officeDocument/2006/relationships/hyperlink" Target="https://www.jivi.com.ar/ficha.php?id=835" TargetMode="External"/><Relationship Id="rId485" Type="http://schemas.openxmlformats.org/officeDocument/2006/relationships/hyperlink" Target="https://www.jivi.com.ar/ficha.php?id=1750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8" TargetMode="External"/><Relationship Id="rId138" Type="http://schemas.openxmlformats.org/officeDocument/2006/relationships/hyperlink" Target="https://www.jivi.com.ar/ficha.php?id=957" TargetMode="External"/><Relationship Id="rId345" Type="http://schemas.openxmlformats.org/officeDocument/2006/relationships/hyperlink" Target="https://www.jivi.com.ar/ficha.php?id=1548" TargetMode="External"/><Relationship Id="rId387" Type="http://schemas.openxmlformats.org/officeDocument/2006/relationships/hyperlink" Target="https://www.jivi.com.ar/ficha.php?id=1586" TargetMode="External"/><Relationship Id="rId510" Type="http://schemas.openxmlformats.org/officeDocument/2006/relationships/hyperlink" Target="https://www.jivi.com.ar/ficha.php?id=1087" TargetMode="External"/><Relationship Id="rId552" Type="http://schemas.openxmlformats.org/officeDocument/2006/relationships/hyperlink" Target="https://www.jivi.com.ar/ficha.php?id=1916" TargetMode="External"/><Relationship Id="rId594" Type="http://schemas.openxmlformats.org/officeDocument/2006/relationships/hyperlink" Target="https://www.jivi.com.ar/ficha.php?id=1433" TargetMode="External"/><Relationship Id="rId608" Type="http://schemas.openxmlformats.org/officeDocument/2006/relationships/hyperlink" Target="https://www.jivi.com.ar/ficha.php?id=1391" TargetMode="External"/><Relationship Id="rId191" Type="http://schemas.openxmlformats.org/officeDocument/2006/relationships/hyperlink" Target="https://www.jivi.com.ar/ficha.php?id=1225" TargetMode="External"/><Relationship Id="rId205" Type="http://schemas.openxmlformats.org/officeDocument/2006/relationships/hyperlink" Target="https://www.jivi.com.ar/ficha.php?id=1277" TargetMode="External"/><Relationship Id="rId247" Type="http://schemas.openxmlformats.org/officeDocument/2006/relationships/hyperlink" Target="https://www.jivi.com.ar/ficha.php?id=1392" TargetMode="External"/><Relationship Id="rId412" Type="http://schemas.openxmlformats.org/officeDocument/2006/relationships/hyperlink" Target="https://www.jivi.com.ar/ficha.php?id=1611" TargetMode="External"/><Relationship Id="rId107" Type="http://schemas.openxmlformats.org/officeDocument/2006/relationships/hyperlink" Target="https://www.jivi.com.ar/ficha.php?id=398" TargetMode="External"/><Relationship Id="rId289" Type="http://schemas.openxmlformats.org/officeDocument/2006/relationships/hyperlink" Target="https://www.jivi.com.ar/ficha.php?id=1063" TargetMode="External"/><Relationship Id="rId454" Type="http://schemas.openxmlformats.org/officeDocument/2006/relationships/hyperlink" Target="https://www.jivi.com.ar/ficha.php?id=1531" TargetMode="External"/><Relationship Id="rId496" Type="http://schemas.openxmlformats.org/officeDocument/2006/relationships/hyperlink" Target="https://www.jivi.com.ar/ficha.php?id=1736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1059" TargetMode="External"/><Relationship Id="rId314" Type="http://schemas.openxmlformats.org/officeDocument/2006/relationships/hyperlink" Target="https://www.jivi.com.ar/ficha.php?id=1495" TargetMode="External"/><Relationship Id="rId356" Type="http://schemas.openxmlformats.org/officeDocument/2006/relationships/hyperlink" Target="https://www.jivi.com.ar/ficha.php?id=1561" TargetMode="External"/><Relationship Id="rId398" Type="http://schemas.openxmlformats.org/officeDocument/2006/relationships/hyperlink" Target="https://www.jivi.com.ar/ficha.php?id=1598" TargetMode="External"/><Relationship Id="rId521" Type="http://schemas.openxmlformats.org/officeDocument/2006/relationships/hyperlink" Target="https://www.jivi.com.ar/ficha.php?id=1774" TargetMode="External"/><Relationship Id="rId563" Type="http://schemas.openxmlformats.org/officeDocument/2006/relationships/hyperlink" Target="https://www.jivi.com.ar/ficha.php?id=1245" TargetMode="External"/><Relationship Id="rId619" Type="http://schemas.openxmlformats.org/officeDocument/2006/relationships/hyperlink" Target="https://www.jivi.com.ar/ficha.php?id=2085" TargetMode="External"/><Relationship Id="rId95" Type="http://schemas.openxmlformats.org/officeDocument/2006/relationships/hyperlink" Target="https://www.jivi.com.ar/ficha.php?id=246" TargetMode="External"/><Relationship Id="rId160" Type="http://schemas.openxmlformats.org/officeDocument/2006/relationships/hyperlink" Target="https://www.jivi.com.ar/ficha.php?id=885" TargetMode="External"/><Relationship Id="rId216" Type="http://schemas.openxmlformats.org/officeDocument/2006/relationships/hyperlink" Target="https://www.jivi.com.ar/ficha.php?id=1314" TargetMode="External"/><Relationship Id="rId423" Type="http://schemas.openxmlformats.org/officeDocument/2006/relationships/hyperlink" Target="https://www.jivi.com.ar/ficha.php?id=1621" TargetMode="External"/><Relationship Id="rId258" Type="http://schemas.openxmlformats.org/officeDocument/2006/relationships/hyperlink" Target="https://www.jivi.com.ar/ficha.php?id=1356" TargetMode="External"/><Relationship Id="rId465" Type="http://schemas.openxmlformats.org/officeDocument/2006/relationships/hyperlink" Target="https://www.jivi.com.ar/ficha.php?id=1725" TargetMode="External"/><Relationship Id="rId630" Type="http://schemas.openxmlformats.org/officeDocument/2006/relationships/hyperlink" Target="https://www.jivi.com.ar/ficha.php?id=2147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708" TargetMode="External"/><Relationship Id="rId325" Type="http://schemas.openxmlformats.org/officeDocument/2006/relationships/hyperlink" Target="https://www.jivi.com.ar/ficha.php?id=1508" TargetMode="External"/><Relationship Id="rId367" Type="http://schemas.openxmlformats.org/officeDocument/2006/relationships/hyperlink" Target="https://www.jivi.com.ar/ficha.php?id=1434" TargetMode="External"/><Relationship Id="rId532" Type="http://schemas.openxmlformats.org/officeDocument/2006/relationships/hyperlink" Target="https://www.jivi.com.ar/ficha.php?id=1152" TargetMode="External"/><Relationship Id="rId574" Type="http://schemas.openxmlformats.org/officeDocument/2006/relationships/hyperlink" Target="https://www.jivi.com.ar/ficha.php?id=2017" TargetMode="External"/><Relationship Id="rId171" Type="http://schemas.openxmlformats.org/officeDocument/2006/relationships/hyperlink" Target="https://www.jivi.com.ar/ficha.php?id=1168" TargetMode="External"/><Relationship Id="rId227" Type="http://schemas.openxmlformats.org/officeDocument/2006/relationships/hyperlink" Target="https://www.jivi.com.ar/registro.php" TargetMode="External"/><Relationship Id="rId269" Type="http://schemas.openxmlformats.org/officeDocument/2006/relationships/hyperlink" Target="https://www.jivi.com.ar/ficha.php?id=1426" TargetMode="External"/><Relationship Id="rId434" Type="http://schemas.openxmlformats.org/officeDocument/2006/relationships/hyperlink" Target="https://www.jivi.com.ar/ficha.php?id=1640" TargetMode="External"/><Relationship Id="rId476" Type="http://schemas.openxmlformats.org/officeDocument/2006/relationships/hyperlink" Target="https://www.jivi.com.ar/ficha.php?id=1575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916" TargetMode="External"/><Relationship Id="rId280" Type="http://schemas.openxmlformats.org/officeDocument/2006/relationships/hyperlink" Target="https://www.jivi.com.ar/ficha.php?id=1056" TargetMode="External"/><Relationship Id="rId336" Type="http://schemas.openxmlformats.org/officeDocument/2006/relationships/hyperlink" Target="https://www.jivi.com.ar/ficha.php?id=1535" TargetMode="External"/><Relationship Id="rId501" Type="http://schemas.openxmlformats.org/officeDocument/2006/relationships/hyperlink" Target="https://www.jivi.com.ar/ficha.php?id=1340" TargetMode="External"/><Relationship Id="rId543" Type="http://schemas.openxmlformats.org/officeDocument/2006/relationships/hyperlink" Target="https://www.jivi.com.ar/ficha.php?id=1530" TargetMode="External"/><Relationship Id="rId75" Type="http://schemas.openxmlformats.org/officeDocument/2006/relationships/hyperlink" Target="https://www.jivi.com.ar/ficha.php?id=145" TargetMode="External"/><Relationship Id="rId140" Type="http://schemas.openxmlformats.org/officeDocument/2006/relationships/hyperlink" Target="https://www.jivi.com.ar/ficha.php?id=973" TargetMode="External"/><Relationship Id="rId182" Type="http://schemas.openxmlformats.org/officeDocument/2006/relationships/hyperlink" Target="https://www.jivi.com.ar/ficha.php?id=1181" TargetMode="External"/><Relationship Id="rId378" Type="http://schemas.openxmlformats.org/officeDocument/2006/relationships/hyperlink" Target="https://www.jivi.com.ar/ficha.php?id=1296" TargetMode="External"/><Relationship Id="rId403" Type="http://schemas.openxmlformats.org/officeDocument/2006/relationships/hyperlink" Target="https://www.jivi.com.ar/ficha.php?id=1604" TargetMode="External"/><Relationship Id="rId585" Type="http://schemas.openxmlformats.org/officeDocument/2006/relationships/hyperlink" Target="https://www.jivi.com.ar/ficha.php?id=248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363" TargetMode="External"/><Relationship Id="rId445" Type="http://schemas.openxmlformats.org/officeDocument/2006/relationships/hyperlink" Target="https://www.jivi.com.ar/ficha.php?id=1690" TargetMode="External"/><Relationship Id="rId487" Type="http://schemas.openxmlformats.org/officeDocument/2006/relationships/hyperlink" Target="https://www.jivi.com.ar/ficha.php?id=1461" TargetMode="External"/><Relationship Id="rId610" Type="http://schemas.openxmlformats.org/officeDocument/2006/relationships/hyperlink" Target="https://www.jivi.com.ar/ficha.php?id=2067" TargetMode="External"/><Relationship Id="rId291" Type="http://schemas.openxmlformats.org/officeDocument/2006/relationships/hyperlink" Target="https://www.jivi.com.ar/ficha.php?id=969" TargetMode="External"/><Relationship Id="rId305" Type="http://schemas.openxmlformats.org/officeDocument/2006/relationships/hyperlink" Target="https://www.jivi.com.ar/ficha.php?id=1479" TargetMode="External"/><Relationship Id="rId347" Type="http://schemas.openxmlformats.org/officeDocument/2006/relationships/hyperlink" Target="https://www.jivi.com.ar/ficha.php?id=1551" TargetMode="External"/><Relationship Id="rId512" Type="http://schemas.openxmlformats.org/officeDocument/2006/relationships/hyperlink" Target="https://www.jivi.com.ar/ficha.php?id=1451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66" TargetMode="External"/><Relationship Id="rId151" Type="http://schemas.openxmlformats.org/officeDocument/2006/relationships/hyperlink" Target="https://www.jivi.com.ar/ficha.php?id=1062" TargetMode="External"/><Relationship Id="rId389" Type="http://schemas.openxmlformats.org/officeDocument/2006/relationships/hyperlink" Target="https://www.jivi.com.ar/ficha.php?id=1221" TargetMode="External"/><Relationship Id="rId554" Type="http://schemas.openxmlformats.org/officeDocument/2006/relationships/hyperlink" Target="https://www.jivi.com.ar/ficha.php?id=1386" TargetMode="External"/><Relationship Id="rId596" Type="http://schemas.openxmlformats.org/officeDocument/2006/relationships/hyperlink" Target="https://www.jivi.com.ar/ficha.php?id=2051" TargetMode="External"/><Relationship Id="rId193" Type="http://schemas.openxmlformats.org/officeDocument/2006/relationships/hyperlink" Target="https://www.jivi.com.ar/ficha.php?id=919" TargetMode="External"/><Relationship Id="rId207" Type="http://schemas.openxmlformats.org/officeDocument/2006/relationships/hyperlink" Target="https://www.jivi.com.ar/ficha.php?id=378" TargetMode="External"/><Relationship Id="rId249" Type="http://schemas.openxmlformats.org/officeDocument/2006/relationships/hyperlink" Target="https://www.jivi.com.ar/ficha.php?id=1110" TargetMode="External"/><Relationship Id="rId414" Type="http://schemas.openxmlformats.org/officeDocument/2006/relationships/hyperlink" Target="https://www.jivi.com.ar/ficha.php?id=1614" TargetMode="External"/><Relationship Id="rId456" Type="http://schemas.openxmlformats.org/officeDocument/2006/relationships/hyperlink" Target="https://www.jivi.com.ar/ficha.php?id=1704" TargetMode="External"/><Relationship Id="rId498" Type="http://schemas.openxmlformats.org/officeDocument/2006/relationships/hyperlink" Target="https://www.jivi.com.ar/ficha.php?id=1779" TargetMode="External"/><Relationship Id="rId621" Type="http://schemas.openxmlformats.org/officeDocument/2006/relationships/hyperlink" Target="https://www.jivi.com.ar/ficha.php?id=333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566" TargetMode="External"/><Relationship Id="rId260" Type="http://schemas.openxmlformats.org/officeDocument/2006/relationships/hyperlink" Target="https://www.jivi.com.ar/ficha.php?id=1353" TargetMode="External"/><Relationship Id="rId316" Type="http://schemas.openxmlformats.org/officeDocument/2006/relationships/hyperlink" Target="https://www.jivi.com.ar/ficha.php?id=1497" TargetMode="External"/><Relationship Id="rId523" Type="http://schemas.openxmlformats.org/officeDocument/2006/relationships/hyperlink" Target="https://www.jivi.com.ar/ficha.php?id=1544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728" TargetMode="External"/><Relationship Id="rId120" Type="http://schemas.openxmlformats.org/officeDocument/2006/relationships/hyperlink" Target="https://www.jivi.com.ar/ficha.php?id=840" TargetMode="External"/><Relationship Id="rId358" Type="http://schemas.openxmlformats.org/officeDocument/2006/relationships/hyperlink" Target="https://www.jivi.com.ar/ficha.php?id=1066" TargetMode="External"/><Relationship Id="rId565" Type="http://schemas.openxmlformats.org/officeDocument/2006/relationships/hyperlink" Target="https://www.jivi.com.ar/ficha.php?id=2007" TargetMode="External"/><Relationship Id="rId162" Type="http://schemas.openxmlformats.org/officeDocument/2006/relationships/hyperlink" Target="https://www.jivi.com.ar/ficha.php?id=1108" TargetMode="External"/><Relationship Id="rId218" Type="http://schemas.openxmlformats.org/officeDocument/2006/relationships/hyperlink" Target="https://www.jivi.com.ar/ficha.php?id=1344" TargetMode="External"/><Relationship Id="rId425" Type="http://schemas.openxmlformats.org/officeDocument/2006/relationships/hyperlink" Target="https://www.jivi.com.ar/ficha.php?id=1635" TargetMode="External"/><Relationship Id="rId467" Type="http://schemas.openxmlformats.org/officeDocument/2006/relationships/hyperlink" Target="https://www.jivi.com.ar/ficha.php?id=1728" TargetMode="External"/><Relationship Id="rId632" Type="http://schemas.openxmlformats.org/officeDocument/2006/relationships/hyperlink" Target="https://www.jivi.com.ar/ficha.php?id=1403" TargetMode="External"/><Relationship Id="rId271" Type="http://schemas.openxmlformats.org/officeDocument/2006/relationships/hyperlink" Target="https://www.jivi.com.ar/ficha.php?id=1431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926" TargetMode="External"/><Relationship Id="rId327" Type="http://schemas.openxmlformats.org/officeDocument/2006/relationships/hyperlink" Target="https://www.jivi.com.ar/ficha.php?id=1511" TargetMode="External"/><Relationship Id="rId369" Type="http://schemas.openxmlformats.org/officeDocument/2006/relationships/hyperlink" Target="https://www.jivi.com.ar/ficha.php?id=1568" TargetMode="External"/><Relationship Id="rId534" Type="http://schemas.openxmlformats.org/officeDocument/2006/relationships/hyperlink" Target="https://www.jivi.com.ar/ficha.php?id=1077" TargetMode="External"/><Relationship Id="rId576" Type="http://schemas.openxmlformats.org/officeDocument/2006/relationships/hyperlink" Target="https://www.jivi.com.ar/ficha.php?id=1339" TargetMode="External"/><Relationship Id="rId173" Type="http://schemas.openxmlformats.org/officeDocument/2006/relationships/hyperlink" Target="https://www.jivi.com.ar/ficha.php?id=975" TargetMode="External"/><Relationship Id="rId229" Type="http://schemas.openxmlformats.org/officeDocument/2006/relationships/hyperlink" Target="https://www.jivi.com.ar/ficha.php?id=1372" TargetMode="External"/><Relationship Id="rId380" Type="http://schemas.openxmlformats.org/officeDocument/2006/relationships/hyperlink" Target="https://www.jivi.com.ar/ficha.php?id=1249" TargetMode="External"/><Relationship Id="rId436" Type="http://schemas.openxmlformats.org/officeDocument/2006/relationships/hyperlink" Target="https://www.jivi.com.ar/ficha.php?id=1660" TargetMode="External"/><Relationship Id="rId601" Type="http://schemas.openxmlformats.org/officeDocument/2006/relationships/hyperlink" Target="https://www.jivi.com.ar/ficha.php?id=971" TargetMode="External"/><Relationship Id="rId240" Type="http://schemas.openxmlformats.org/officeDocument/2006/relationships/hyperlink" Target="https://www.jivi.com.ar/ficha.php?id=1343" TargetMode="External"/><Relationship Id="rId478" Type="http://schemas.openxmlformats.org/officeDocument/2006/relationships/hyperlink" Target="https://www.jivi.com.ar/ficha.php?id=1744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9" TargetMode="External"/><Relationship Id="rId100" Type="http://schemas.openxmlformats.org/officeDocument/2006/relationships/hyperlink" Target="https://www.jivi.com.ar/ficha.php?id=472" TargetMode="External"/><Relationship Id="rId282" Type="http://schemas.openxmlformats.org/officeDocument/2006/relationships/hyperlink" Target="https://www.jivi.com.ar/ficha.php?id=1335" TargetMode="External"/><Relationship Id="rId338" Type="http://schemas.openxmlformats.org/officeDocument/2006/relationships/hyperlink" Target="https://www.jivi.com.ar/ficha.php?id=1539" TargetMode="External"/><Relationship Id="rId503" Type="http://schemas.openxmlformats.org/officeDocument/2006/relationships/hyperlink" Target="https://www.jivi.com.ar/ficha.php?id=1487" TargetMode="External"/><Relationship Id="rId545" Type="http://schemas.openxmlformats.org/officeDocument/2006/relationships/hyperlink" Target="https://www.jivi.com.ar/ficha.php?id=1380" TargetMode="External"/><Relationship Id="rId587" Type="http://schemas.openxmlformats.org/officeDocument/2006/relationships/hyperlink" Target="https://www.jivi.com.ar/ficha.php?id=2043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1006" TargetMode="External"/><Relationship Id="rId184" Type="http://schemas.openxmlformats.org/officeDocument/2006/relationships/hyperlink" Target="https://www.jivi.com.ar/ficha.php?id=1218" TargetMode="External"/><Relationship Id="rId391" Type="http://schemas.openxmlformats.org/officeDocument/2006/relationships/hyperlink" Target="https://www.jivi.com.ar/ficha.php?id=1589" TargetMode="External"/><Relationship Id="rId405" Type="http://schemas.openxmlformats.org/officeDocument/2006/relationships/hyperlink" Target="https://www.jivi.com.ar/ficha.php?id=1424" TargetMode="External"/><Relationship Id="rId447" Type="http://schemas.openxmlformats.org/officeDocument/2006/relationships/hyperlink" Target="https://www.jivi.com.ar/ficha.php?id=1438" TargetMode="External"/><Relationship Id="rId612" Type="http://schemas.openxmlformats.org/officeDocument/2006/relationships/hyperlink" Target="https://www.jivi.com.ar/ficha.php?id=1295" TargetMode="External"/><Relationship Id="rId251" Type="http://schemas.openxmlformats.org/officeDocument/2006/relationships/hyperlink" Target="https://www.jivi.com.ar/ficha.php?id=477" TargetMode="External"/><Relationship Id="rId489" Type="http://schemas.openxmlformats.org/officeDocument/2006/relationships/hyperlink" Target="https://www.jivi.com.ar/ficha.php?id=1310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464" TargetMode="External"/><Relationship Id="rId307" Type="http://schemas.openxmlformats.org/officeDocument/2006/relationships/hyperlink" Target="https://www.jivi.com.ar/ficha.php?id=1481" TargetMode="External"/><Relationship Id="rId349" Type="http://schemas.openxmlformats.org/officeDocument/2006/relationships/hyperlink" Target="https://www.jivi.com.ar/ficha.php?id=1311" TargetMode="External"/><Relationship Id="rId514" Type="http://schemas.openxmlformats.org/officeDocument/2006/relationships/hyperlink" Target="https://www.jivi.com.ar/ficha.php?id=1805" TargetMode="External"/><Relationship Id="rId556" Type="http://schemas.openxmlformats.org/officeDocument/2006/relationships/hyperlink" Target="https://www.jivi.com.ar/ficha.php?id=1566" TargetMode="External"/><Relationship Id="rId88" Type="http://schemas.openxmlformats.org/officeDocument/2006/relationships/hyperlink" Target="https://www.jivi.com.ar/ficha.php?id=168" TargetMode="External"/><Relationship Id="rId111" Type="http://schemas.openxmlformats.org/officeDocument/2006/relationships/hyperlink" Target="https://www.jivi.com.ar/ficha.php?id=214" TargetMode="External"/><Relationship Id="rId153" Type="http://schemas.openxmlformats.org/officeDocument/2006/relationships/hyperlink" Target="https://www.jivi.com.ar/ficha.php?id=1080" TargetMode="External"/><Relationship Id="rId195" Type="http://schemas.openxmlformats.org/officeDocument/2006/relationships/hyperlink" Target="https://www.jivi.com.ar/ficha.php?id=1232" TargetMode="External"/><Relationship Id="rId209" Type="http://schemas.openxmlformats.org/officeDocument/2006/relationships/hyperlink" Target="https://www.jivi.com.ar/ficha.php?id=1302" TargetMode="External"/><Relationship Id="rId360" Type="http://schemas.openxmlformats.org/officeDocument/2006/relationships/hyperlink" Target="https://www.jivi.com.ar/ficha.php?id=1563" TargetMode="External"/><Relationship Id="rId416" Type="http://schemas.openxmlformats.org/officeDocument/2006/relationships/hyperlink" Target="https://www.jivi.com.ar/ficha.php?id=608" TargetMode="External"/><Relationship Id="rId598" Type="http://schemas.openxmlformats.org/officeDocument/2006/relationships/hyperlink" Target="https://www.jivi.com.ar/ficha.php?id=2053" TargetMode="External"/><Relationship Id="rId220" Type="http://schemas.openxmlformats.org/officeDocument/2006/relationships/hyperlink" Target="https://www.jivi.com.ar/ficha.php?id=1346" TargetMode="External"/><Relationship Id="rId458" Type="http://schemas.openxmlformats.org/officeDocument/2006/relationships/hyperlink" Target="https://www.jivi.com.ar/ficha.php?id=1457" TargetMode="External"/><Relationship Id="rId623" Type="http://schemas.openxmlformats.org/officeDocument/2006/relationships/hyperlink" Target="https://www.jivi.com.ar/ficha.php?id=1786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418" TargetMode="External"/><Relationship Id="rId318" Type="http://schemas.openxmlformats.org/officeDocument/2006/relationships/hyperlink" Target="https://www.jivi.com.ar/ficha.php?id=1499" TargetMode="External"/><Relationship Id="rId525" Type="http://schemas.openxmlformats.org/officeDocument/2006/relationships/hyperlink" Target="https://www.jivi.com.ar/ficha.php?id=1556" TargetMode="External"/><Relationship Id="rId567" Type="http://schemas.openxmlformats.org/officeDocument/2006/relationships/hyperlink" Target="https://www.jivi.com.ar/ficha.php?id=2008" TargetMode="External"/><Relationship Id="rId99" Type="http://schemas.openxmlformats.org/officeDocument/2006/relationships/hyperlink" Target="https://www.jivi.com.ar/ficha.php?id=181" TargetMode="External"/><Relationship Id="rId122" Type="http://schemas.openxmlformats.org/officeDocument/2006/relationships/hyperlink" Target="https://www.jivi.com.ar/ficha.php?id=848" TargetMode="External"/><Relationship Id="rId164" Type="http://schemas.openxmlformats.org/officeDocument/2006/relationships/hyperlink" Target="https://www.jivi.com.ar/ficha.php?id=1119" TargetMode="External"/><Relationship Id="rId371" Type="http://schemas.openxmlformats.org/officeDocument/2006/relationships/hyperlink" Target="https://www.jivi.com.ar/ficha.php?id=1570" TargetMode="External"/><Relationship Id="rId427" Type="http://schemas.openxmlformats.org/officeDocument/2006/relationships/hyperlink" Target="https://www.jivi.com.ar/ficha.php?id=1643" TargetMode="External"/><Relationship Id="rId469" Type="http://schemas.openxmlformats.org/officeDocument/2006/relationships/hyperlink" Target="https://www.jivi.com.ar/ficha.php?id=1730" TargetMode="External"/><Relationship Id="rId634" Type="http://schemas.openxmlformats.org/officeDocument/2006/relationships/drawing" Target="../drawings/drawing1.xm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1382" TargetMode="External"/><Relationship Id="rId273" Type="http://schemas.openxmlformats.org/officeDocument/2006/relationships/hyperlink" Target="https://www.jivi.com.ar/ficha.php?id=1436" TargetMode="External"/><Relationship Id="rId329" Type="http://schemas.openxmlformats.org/officeDocument/2006/relationships/hyperlink" Target="https://www.jivi.com.ar/ficha.php?id=1516" TargetMode="External"/><Relationship Id="rId480" Type="http://schemas.openxmlformats.org/officeDocument/2006/relationships/hyperlink" Target="https://www.jivi.com.ar/ficha.php?id=1746" TargetMode="External"/><Relationship Id="rId536" Type="http://schemas.openxmlformats.org/officeDocument/2006/relationships/hyperlink" Target="https://www.jivi.com.ar/ficha.php?id=1616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247" TargetMode="External"/><Relationship Id="rId175" Type="http://schemas.openxmlformats.org/officeDocument/2006/relationships/hyperlink" Target="https://www.jivi.com.ar/ficha.php?id=1175" TargetMode="External"/><Relationship Id="rId340" Type="http://schemas.openxmlformats.org/officeDocument/2006/relationships/hyperlink" Target="https://www.jivi.com.ar/ficha.php?id=1541" TargetMode="External"/><Relationship Id="rId578" Type="http://schemas.openxmlformats.org/officeDocument/2006/relationships/hyperlink" Target="https://www.jivi.com.ar/ficha.php?id=335" TargetMode="External"/><Relationship Id="rId200" Type="http://schemas.openxmlformats.org/officeDocument/2006/relationships/hyperlink" Target="https://www.jivi.com.ar/ficha.php?id=1253" TargetMode="External"/><Relationship Id="rId382" Type="http://schemas.openxmlformats.org/officeDocument/2006/relationships/hyperlink" Target="https://www.jivi.com.ar/ficha.php?id=1576" TargetMode="External"/><Relationship Id="rId438" Type="http://schemas.openxmlformats.org/officeDocument/2006/relationships/hyperlink" Target="https://www.jivi.com.ar/ficha.php?id=1664" TargetMode="External"/><Relationship Id="rId603" Type="http://schemas.openxmlformats.org/officeDocument/2006/relationships/hyperlink" Target="https://www.jivi.com.ar/ficha.php?id=2060" TargetMode="External"/><Relationship Id="rId242" Type="http://schemas.openxmlformats.org/officeDocument/2006/relationships/hyperlink" Target="https://www.jivi.com.ar/ficha.php?id=872" TargetMode="External"/><Relationship Id="rId284" Type="http://schemas.openxmlformats.org/officeDocument/2006/relationships/hyperlink" Target="https://www.jivi.com.ar/ficha.php?id=1354" TargetMode="External"/><Relationship Id="rId491" Type="http://schemas.openxmlformats.org/officeDocument/2006/relationships/hyperlink" Target="https://www.jivi.com.ar/ficha.php?id=76" TargetMode="External"/><Relationship Id="rId505" Type="http://schemas.openxmlformats.org/officeDocument/2006/relationships/hyperlink" Target="https://www.jivi.com.ar/ficha.php?id=1186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392" TargetMode="External"/><Relationship Id="rId102" Type="http://schemas.openxmlformats.org/officeDocument/2006/relationships/hyperlink" Target="http://whttps/www.jivi.com.ar/ficha.php?id=253" TargetMode="External"/><Relationship Id="rId144" Type="http://schemas.openxmlformats.org/officeDocument/2006/relationships/hyperlink" Target="https://www.jivi.com.ar/ficha.php?id=251" TargetMode="External"/><Relationship Id="rId547" Type="http://schemas.openxmlformats.org/officeDocument/2006/relationships/hyperlink" Target="https://www.jivi.com.ar/ficha.php?id=1371" TargetMode="External"/><Relationship Id="rId589" Type="http://schemas.openxmlformats.org/officeDocument/2006/relationships/hyperlink" Target="https://www.jivi.com.ar/ficha.php?id=1280" TargetMode="External"/><Relationship Id="rId90" Type="http://schemas.openxmlformats.org/officeDocument/2006/relationships/hyperlink" Target="https://www.jivi.com.ar/ficha.php?id=148" TargetMode="External"/><Relationship Id="rId186" Type="http://schemas.openxmlformats.org/officeDocument/2006/relationships/hyperlink" Target="https://www.jivi.com.ar/ficha.php?id=1220" TargetMode="External"/><Relationship Id="rId351" Type="http://schemas.openxmlformats.org/officeDocument/2006/relationships/hyperlink" Target="https://www.jivi.com.ar/ficha.php?id=1554" TargetMode="External"/><Relationship Id="rId393" Type="http://schemas.openxmlformats.org/officeDocument/2006/relationships/hyperlink" Target="https://www.jivi.com.ar/ficha.php?id=1591" TargetMode="External"/><Relationship Id="rId407" Type="http://schemas.openxmlformats.org/officeDocument/2006/relationships/hyperlink" Target="https://www.jivi.com.ar/ficha.php?id=1459" TargetMode="External"/><Relationship Id="rId449" Type="http://schemas.openxmlformats.org/officeDocument/2006/relationships/hyperlink" Target="https://www.jivi.com.ar/ficha.php?id=1697" TargetMode="External"/><Relationship Id="rId614" Type="http://schemas.openxmlformats.org/officeDocument/2006/relationships/hyperlink" Target="https://www.jivi.com.ar/ficha.php?id=2070" TargetMode="External"/><Relationship Id="rId211" Type="http://schemas.openxmlformats.org/officeDocument/2006/relationships/hyperlink" Target="https://www.jivi.com.ar/ficha.php?id=1305" TargetMode="External"/><Relationship Id="rId253" Type="http://schemas.openxmlformats.org/officeDocument/2006/relationships/hyperlink" Target="https://www.jivi.com.ar/ficha.php?id=1402" TargetMode="External"/><Relationship Id="rId295" Type="http://schemas.openxmlformats.org/officeDocument/2006/relationships/hyperlink" Target="https://www.jivi.com.ar/ficha.php?id=1467" TargetMode="External"/><Relationship Id="rId309" Type="http://schemas.openxmlformats.org/officeDocument/2006/relationships/hyperlink" Target="https://www.jivi.com.ar/ficha.php?id=1486" TargetMode="External"/><Relationship Id="rId460" Type="http://schemas.openxmlformats.org/officeDocument/2006/relationships/hyperlink" Target="https://www.jivi.com.ar/ficha.php?id=1707" TargetMode="External"/><Relationship Id="rId516" Type="http://schemas.openxmlformats.org/officeDocument/2006/relationships/hyperlink" Target="https://www.jivi.com.ar/ficha.php?id=1070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234" TargetMode="External"/><Relationship Id="rId320" Type="http://schemas.openxmlformats.org/officeDocument/2006/relationships/hyperlink" Target="https://www.jivi.com.ar/ficha.php?id=1502" TargetMode="External"/><Relationship Id="rId558" Type="http://schemas.openxmlformats.org/officeDocument/2006/relationships/hyperlink" Target="https://www.jivi.com.ar/ficha.php?id=1411" TargetMode="External"/><Relationship Id="rId155" Type="http://schemas.openxmlformats.org/officeDocument/2006/relationships/hyperlink" Target="https://www.jivi.com.ar/ficha.php?id=1095" TargetMode="External"/><Relationship Id="rId197" Type="http://schemas.openxmlformats.org/officeDocument/2006/relationships/hyperlink" Target="https://www.jivi.com.ar/ficha.php?id=920" TargetMode="External"/><Relationship Id="rId362" Type="http://schemas.openxmlformats.org/officeDocument/2006/relationships/hyperlink" Target="https://www.jivi.com.ar/ficha.php?id=790" TargetMode="External"/><Relationship Id="rId418" Type="http://schemas.openxmlformats.org/officeDocument/2006/relationships/hyperlink" Target="https://www.jivi.com.ar/ficha.php?id=1617" TargetMode="External"/><Relationship Id="rId625" Type="http://schemas.openxmlformats.org/officeDocument/2006/relationships/hyperlink" Target="https://www.jivi.com.ar/ficha.php?id=2097" TargetMode="External"/><Relationship Id="rId222" Type="http://schemas.openxmlformats.org/officeDocument/2006/relationships/hyperlink" Target="https://www.jivi.com.ar/ficha.php?id=1348" TargetMode="External"/><Relationship Id="rId264" Type="http://schemas.openxmlformats.org/officeDocument/2006/relationships/hyperlink" Target="https://www.jivi.com.ar/ficha.php?id=1420" TargetMode="External"/><Relationship Id="rId471" Type="http://schemas.openxmlformats.org/officeDocument/2006/relationships/hyperlink" Target="https://www.jivi.com.ar/ficha.php?id=1732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862" TargetMode="External"/><Relationship Id="rId527" Type="http://schemas.openxmlformats.org/officeDocument/2006/relationships/hyperlink" Target="https://www.jivi.com.ar/ficha.php?id=1491" TargetMode="External"/><Relationship Id="rId569" Type="http://schemas.openxmlformats.org/officeDocument/2006/relationships/hyperlink" Target="https://www.jivi.com.ar/ficha.php?id=1720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154" TargetMode="External"/><Relationship Id="rId331" Type="http://schemas.openxmlformats.org/officeDocument/2006/relationships/hyperlink" Target="https://www.jivi.com.ar/ficha.php?id=1523" TargetMode="External"/><Relationship Id="rId373" Type="http://schemas.openxmlformats.org/officeDocument/2006/relationships/hyperlink" Target="https://www.jivi.com.ar/ficha.php?id=1518" TargetMode="External"/><Relationship Id="rId429" Type="http://schemas.openxmlformats.org/officeDocument/2006/relationships/hyperlink" Target="https://www.jivi.com.ar/ficha.php?id=1644" TargetMode="External"/><Relationship Id="rId580" Type="http://schemas.openxmlformats.org/officeDocument/2006/relationships/hyperlink" Target="https://www.jivi.com.ar/ficha.php?id=2034" TargetMode="External"/><Relationship Id="rId636" Type="http://schemas.openxmlformats.org/officeDocument/2006/relationships/comments" Target="../comments1.xm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84" TargetMode="External"/><Relationship Id="rId440" Type="http://schemas.openxmlformats.org/officeDocument/2006/relationships/hyperlink" Target="https://www.jivi.com.ar/ficha.php?id=1667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702" TargetMode="External"/><Relationship Id="rId300" Type="http://schemas.openxmlformats.org/officeDocument/2006/relationships/hyperlink" Target="htthttps://www.jivi.com.ar/ficha.php?id=1476" TargetMode="External"/><Relationship Id="rId482" Type="http://schemas.openxmlformats.org/officeDocument/2006/relationships/hyperlink" Target="https://www.jivi.com.ar/ficha.php?id=1748" TargetMode="External"/><Relationship Id="rId538" Type="http://schemas.openxmlformats.org/officeDocument/2006/relationships/hyperlink" Target="https://www.jivi.com.ar/ficha.php?id=1864" TargetMode="External"/><Relationship Id="rId81" Type="http://schemas.openxmlformats.org/officeDocument/2006/relationships/hyperlink" Target="https://www.jivi.com.ar/ficha.php?id=135" TargetMode="External"/><Relationship Id="rId135" Type="http://schemas.openxmlformats.org/officeDocument/2006/relationships/hyperlink" Target="https://www.jivi.com.ar/ficha.php?id=954" TargetMode="External"/><Relationship Id="rId177" Type="http://schemas.openxmlformats.org/officeDocument/2006/relationships/hyperlink" Target="https://www.jivi.com.ar/ficha.php?id=1182" TargetMode="External"/><Relationship Id="rId342" Type="http://schemas.openxmlformats.org/officeDocument/2006/relationships/hyperlink" Target="https://www.jivi.com.ar/ficha.php?id=1545" TargetMode="External"/><Relationship Id="rId384" Type="http://schemas.openxmlformats.org/officeDocument/2006/relationships/hyperlink" Target="https://www.jivi.com.ar/ficha.php?id=1581" TargetMode="External"/><Relationship Id="rId591" Type="http://schemas.openxmlformats.org/officeDocument/2006/relationships/hyperlink" Target="https://www.jivi.com.ar/ficha.php?id=1256" TargetMode="External"/><Relationship Id="rId605" Type="http://schemas.openxmlformats.org/officeDocument/2006/relationships/hyperlink" Target="https://www.jivi.com.ar/ficha.php?id=2062" TargetMode="External"/><Relationship Id="rId202" Type="http://schemas.openxmlformats.org/officeDocument/2006/relationships/hyperlink" Target="https://www.jivi.com.ar/ficha.php?id=1261" TargetMode="External"/><Relationship Id="rId244" Type="http://schemas.openxmlformats.org/officeDocument/2006/relationships/hyperlink" Target="https://www.jivi.com.ar/ficha.php?id=1262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450" TargetMode="External"/><Relationship Id="rId451" Type="http://schemas.openxmlformats.org/officeDocument/2006/relationships/hyperlink" Target="https://www.jivi.com.ar/ficha.php?id=1699" TargetMode="External"/><Relationship Id="rId493" Type="http://schemas.openxmlformats.org/officeDocument/2006/relationships/hyperlink" Target="https://www.jivi.com.ar/ficha.php?id=1778" TargetMode="External"/><Relationship Id="rId507" Type="http://schemas.openxmlformats.org/officeDocument/2006/relationships/hyperlink" Target="https://www.jivi.com.ar/ficha.php?id=1319" TargetMode="External"/><Relationship Id="rId549" Type="http://schemas.openxmlformats.org/officeDocument/2006/relationships/hyperlink" Target="https://www.jivi.com.ar/ficha.php?id=1579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s://www.jivi.com.ar/ficha.php?id=23" TargetMode="External"/><Relationship Id="rId146" Type="http://schemas.openxmlformats.org/officeDocument/2006/relationships/hyperlink" Target="https://www.jivi.com.ar/ficha.php?id=1025" TargetMode="External"/><Relationship Id="rId188" Type="http://schemas.openxmlformats.org/officeDocument/2006/relationships/hyperlink" Target="https://www.jivi.com.ar/ficha.php?id=1223" TargetMode="External"/><Relationship Id="rId311" Type="http://schemas.openxmlformats.org/officeDocument/2006/relationships/hyperlink" Target="https://www.jivi.com.ar/ficha.php?id=1492" TargetMode="External"/><Relationship Id="rId353" Type="http://schemas.openxmlformats.org/officeDocument/2006/relationships/hyperlink" Target="https://www.jivi.com.ar/ficha.php?id=1557" TargetMode="External"/><Relationship Id="rId395" Type="http://schemas.openxmlformats.org/officeDocument/2006/relationships/hyperlink" Target="https://www.jivi.com.ar/ficha.php?id=1593" TargetMode="External"/><Relationship Id="rId409" Type="http://schemas.openxmlformats.org/officeDocument/2006/relationships/hyperlink" Target="https://www.jivi.com.ar/ficha.php?id=1609" TargetMode="External"/><Relationship Id="rId560" Type="http://schemas.openxmlformats.org/officeDocument/2006/relationships/hyperlink" Target="https://www.jivi.com.ar/ficha.php?id=2002" TargetMode="External"/><Relationship Id="rId92" Type="http://schemas.openxmlformats.org/officeDocument/2006/relationships/hyperlink" Target="https://www.jivi.com.ar/ficha.php?id=621" TargetMode="External"/><Relationship Id="rId213" Type="http://schemas.openxmlformats.org/officeDocument/2006/relationships/hyperlink" Target="https://www.jivi.com.ar/ficha.php?id=1287" TargetMode="External"/><Relationship Id="rId420" Type="http://schemas.openxmlformats.org/officeDocument/2006/relationships/hyperlink" Target="https://www.jivi.com.ar/ficha.php?id=1619" TargetMode="External"/><Relationship Id="rId616" Type="http://schemas.openxmlformats.org/officeDocument/2006/relationships/hyperlink" Target="https://www.jivi.com.ar/ficha.php?id=2083" TargetMode="External"/><Relationship Id="rId255" Type="http://schemas.openxmlformats.org/officeDocument/2006/relationships/hyperlink" Target="https://www.jivi.com.ar/ficha.php?id=1405" TargetMode="External"/><Relationship Id="rId297" Type="http://schemas.openxmlformats.org/officeDocument/2006/relationships/hyperlink" Target="https://www.jivi.com.ar/ficha.php?id=1470" TargetMode="External"/><Relationship Id="rId462" Type="http://schemas.openxmlformats.org/officeDocument/2006/relationships/hyperlink" Target="https://www.jivi.com.ar/ficha.php?id=1721" TargetMode="External"/><Relationship Id="rId518" Type="http://schemas.openxmlformats.org/officeDocument/2006/relationships/hyperlink" Target="https://www.jivi.com.ar/ficha.php?id=1453" TargetMode="External"/><Relationship Id="rId115" Type="http://schemas.openxmlformats.org/officeDocument/2006/relationships/hyperlink" Target="https://www.jivi.com.ar/ficha.php?id=780" TargetMode="External"/><Relationship Id="rId157" Type="http://schemas.openxmlformats.org/officeDocument/2006/relationships/hyperlink" Target="https://www.jivi.com.ar/ficha.php?id=297" TargetMode="External"/><Relationship Id="rId322" Type="http://schemas.openxmlformats.org/officeDocument/2006/relationships/hyperlink" Target="https://www.jivi.com.ar/ficha.php?id=1505" TargetMode="External"/><Relationship Id="rId364" Type="http://schemas.openxmlformats.org/officeDocument/2006/relationships/hyperlink" Target="https://www.jivi.com.ar/ficha.php?id=1409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1248" TargetMode="External"/><Relationship Id="rId571" Type="http://schemas.openxmlformats.org/officeDocument/2006/relationships/hyperlink" Target="https://www.jivi.com.ar/ficha.php?id=2011" TargetMode="External"/><Relationship Id="rId627" Type="http://schemas.openxmlformats.org/officeDocument/2006/relationships/hyperlink" Target="https://www.jivi.com.ar/ficha.php?id=1513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360" TargetMode="External"/><Relationship Id="rId266" Type="http://schemas.openxmlformats.org/officeDocument/2006/relationships/hyperlink" Target="https://www.jivi.com.ar/ficha.php?id=1422" TargetMode="External"/><Relationship Id="rId431" Type="http://schemas.openxmlformats.org/officeDocument/2006/relationships/hyperlink" Target="https://www.jivi.com.ar/ficha.php?id=1639" TargetMode="External"/><Relationship Id="rId473" Type="http://schemas.openxmlformats.org/officeDocument/2006/relationships/hyperlink" Target="https://www.jivi.com.ar/ficha.php?id=1738" TargetMode="External"/><Relationship Id="rId529" Type="http://schemas.openxmlformats.org/officeDocument/2006/relationships/hyperlink" Target="https://www.jivi.com.ar/ficha.php?id=1594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82" TargetMode="External"/><Relationship Id="rId168" Type="http://schemas.openxmlformats.org/officeDocument/2006/relationships/hyperlink" Target="https://www.jivi.com.ar/ficha.php?id=1158" TargetMode="External"/><Relationship Id="rId333" Type="http://schemas.openxmlformats.org/officeDocument/2006/relationships/hyperlink" Target="https://www.jivi.com.ar/ficha.php?id=1527" TargetMode="External"/><Relationship Id="rId540" Type="http://schemas.openxmlformats.org/officeDocument/2006/relationships/hyperlink" Target="https://www.jivi.com.ar/ficha.php?id=1055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573" TargetMode="External"/><Relationship Id="rId582" Type="http://schemas.openxmlformats.org/officeDocument/2006/relationships/hyperlink" Target="https://www.jivi.com.ar/ficha.php?id=2040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85" TargetMode="External"/><Relationship Id="rId277" Type="http://schemas.openxmlformats.org/officeDocument/2006/relationships/hyperlink" Target="https://www.jivi.com.ar/ficha.php?id=1442" TargetMode="External"/><Relationship Id="rId400" Type="http://schemas.openxmlformats.org/officeDocument/2006/relationships/hyperlink" Target="https://www.jivi.com.ar/ficha.php?id=1602" TargetMode="External"/><Relationship Id="rId442" Type="http://schemas.openxmlformats.org/officeDocument/2006/relationships/hyperlink" Target="https://www.jivi.com.ar/ficha.php?id=1272" TargetMode="External"/><Relationship Id="rId484" Type="http://schemas.openxmlformats.org/officeDocument/2006/relationships/hyperlink" Target="https://www.jivi.com.ar/ficha.php?id=1787" TargetMode="External"/><Relationship Id="rId137" Type="http://schemas.openxmlformats.org/officeDocument/2006/relationships/hyperlink" Target="https://www.jivi.com.ar/ficha.php?id=956" TargetMode="External"/><Relationship Id="rId302" Type="http://schemas.openxmlformats.org/officeDocument/2006/relationships/hyperlink" Target="https://www.jivi.com.ar/ficha.php?id=996" TargetMode="External"/><Relationship Id="rId344" Type="http://schemas.openxmlformats.org/officeDocument/2006/relationships/hyperlink" Target="https://www.jivi.com.ar/ficha.php?id=981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7" TargetMode="External"/><Relationship Id="rId179" Type="http://schemas.openxmlformats.org/officeDocument/2006/relationships/hyperlink" Target="https://www.jivi.com.ar/ficha.php?id=1185" TargetMode="External"/><Relationship Id="rId386" Type="http://schemas.openxmlformats.org/officeDocument/2006/relationships/hyperlink" Target="https://www.jivi.com.ar/ficha.php?id=1584" TargetMode="External"/><Relationship Id="rId551" Type="http://schemas.openxmlformats.org/officeDocument/2006/relationships/hyperlink" Target="https://www.jivi.com.ar/ficha.php?id=1911" TargetMode="External"/><Relationship Id="rId593" Type="http://schemas.openxmlformats.org/officeDocument/2006/relationships/hyperlink" Target="https://www.jivi.com.ar/articulos.php?search=1066" TargetMode="External"/><Relationship Id="rId607" Type="http://schemas.openxmlformats.org/officeDocument/2006/relationships/hyperlink" Target="https://www.jivi.com.ar/ficha.php?id=1364" TargetMode="External"/><Relationship Id="rId190" Type="http://schemas.openxmlformats.org/officeDocument/2006/relationships/hyperlink" Target="https://www.jivi.com.ar/ficha.php?id=1224" TargetMode="External"/><Relationship Id="rId204" Type="http://schemas.openxmlformats.org/officeDocument/2006/relationships/hyperlink" Target="https://www.jivi.com.ar/ficha.php?id=1268" TargetMode="External"/><Relationship Id="rId246" Type="http://schemas.openxmlformats.org/officeDocument/2006/relationships/hyperlink" Target="https://www.jivi.com.ar/ficha.php?id=1401" TargetMode="External"/><Relationship Id="rId288" Type="http://schemas.openxmlformats.org/officeDocument/2006/relationships/hyperlink" Target="https://www.jivi.com.ar/ficha.php?id=1064" TargetMode="External"/><Relationship Id="rId411" Type="http://schemas.openxmlformats.org/officeDocument/2006/relationships/hyperlink" Target="https://www.jivi.com.ar/ficha.php?id=1610" TargetMode="External"/><Relationship Id="rId453" Type="http://schemas.openxmlformats.org/officeDocument/2006/relationships/hyperlink" Target="https://www.jivi.com.ar/ficha.php?id=1462" TargetMode="External"/><Relationship Id="rId509" Type="http://schemas.openxmlformats.org/officeDocument/2006/relationships/hyperlink" Target="https://www.jivi.com.ar/ficha.php?id=1447" TargetMode="External"/><Relationship Id="rId106" Type="http://schemas.openxmlformats.org/officeDocument/2006/relationships/hyperlink" Target="https://www.jivi.com.ar/ficha.php?id=221" TargetMode="External"/><Relationship Id="rId313" Type="http://schemas.openxmlformats.org/officeDocument/2006/relationships/hyperlink" Target="https://www.jivi.com.ar/ficha.php?id=1494" TargetMode="External"/><Relationship Id="rId495" Type="http://schemas.openxmlformats.org/officeDocument/2006/relationships/hyperlink" Target="https://www.jivi.com.ar/ficha.php?id=1710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456" TargetMode="External"/><Relationship Id="rId148" Type="http://schemas.openxmlformats.org/officeDocument/2006/relationships/hyperlink" Target="https://www.jivi.com.ar/ficha.php?id=1049" TargetMode="External"/><Relationship Id="rId355" Type="http://schemas.openxmlformats.org/officeDocument/2006/relationships/hyperlink" Target="https://www.jivi.com.ar/ficha.php?id=518" TargetMode="External"/><Relationship Id="rId397" Type="http://schemas.openxmlformats.org/officeDocument/2006/relationships/hyperlink" Target="https://www.jivi.com.ar/ficha.php?id=1596" TargetMode="External"/><Relationship Id="rId520" Type="http://schemas.openxmlformats.org/officeDocument/2006/relationships/hyperlink" Target="https://www.jivi.com.ar/ficha.php?id=1131" TargetMode="External"/><Relationship Id="rId562" Type="http://schemas.openxmlformats.org/officeDocument/2006/relationships/hyperlink" Target="https://www.jivi.com.ar/ficha.php?id=1577" TargetMode="External"/><Relationship Id="rId618" Type="http://schemas.openxmlformats.org/officeDocument/2006/relationships/hyperlink" Target="https://www.jivi.com.ar/ficha.php?id=2084" TargetMode="External"/><Relationship Id="rId215" Type="http://schemas.openxmlformats.org/officeDocument/2006/relationships/hyperlink" Target="https://www.jivi.com.ar/ficha.php?id=1316" TargetMode="External"/><Relationship Id="rId257" Type="http://schemas.openxmlformats.org/officeDocument/2006/relationships/hyperlink" Target="https://www.jivi.com.ar/ficha.php?id=1415" TargetMode="External"/><Relationship Id="rId422" Type="http://schemas.openxmlformats.org/officeDocument/2006/relationships/hyperlink" Target="https://www.jivi.com.ar/ficha.php?id=1204" TargetMode="External"/><Relationship Id="rId464" Type="http://schemas.openxmlformats.org/officeDocument/2006/relationships/hyperlink" Target="https://www.jivi.com.ar/ficha.php?id=1723" TargetMode="External"/><Relationship Id="rId299" Type="http://schemas.openxmlformats.org/officeDocument/2006/relationships/hyperlink" Target="https://www.jivi.com.ar/ficha.php?id=1472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98" TargetMode="External"/><Relationship Id="rId366" Type="http://schemas.openxmlformats.org/officeDocument/2006/relationships/hyperlink" Target="https://www.jivi.com.ar/ficha.php?id=1564" TargetMode="External"/><Relationship Id="rId573" Type="http://schemas.openxmlformats.org/officeDocument/2006/relationships/hyperlink" Target="https://www.jivi.com.ar/ficha.php?id=2014" TargetMode="External"/><Relationship Id="rId226" Type="http://schemas.openxmlformats.org/officeDocument/2006/relationships/hyperlink" Target="https://www.jivi.com.ar/ficha.php?id=1366" TargetMode="External"/><Relationship Id="rId433" Type="http://schemas.openxmlformats.org/officeDocument/2006/relationships/hyperlink" Target="https://www.jivi.com.ar/ficha.php?id=1652" TargetMode="External"/><Relationship Id="rId74" Type="http://schemas.openxmlformats.org/officeDocument/2006/relationships/hyperlink" Target="https://www.jivi.com.ar/ficha.php?id=394" TargetMode="External"/><Relationship Id="rId377" Type="http://schemas.openxmlformats.org/officeDocument/2006/relationships/hyperlink" Target="https://www.jivi.com.ar/ficha.php?id=1271" TargetMode="External"/><Relationship Id="rId500" Type="http://schemas.openxmlformats.org/officeDocument/2006/relationships/hyperlink" Target="https://www.jivi.com.ar/ficha.php?id=1293" TargetMode="External"/><Relationship Id="rId584" Type="http://schemas.openxmlformats.org/officeDocument/2006/relationships/hyperlink" Target="https://www.jivi.com.ar/ficha.php?id=2042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89" TargetMode="External"/><Relationship Id="rId444" Type="http://schemas.openxmlformats.org/officeDocument/2006/relationships/hyperlink" Target="https://www.jivi.com.ar/ficha.php?id=1672" TargetMode="External"/><Relationship Id="rId290" Type="http://schemas.openxmlformats.org/officeDocument/2006/relationships/hyperlink" Target="https://www.jivi.com.ar/ficha.php?id=1454" TargetMode="External"/><Relationship Id="rId304" Type="http://schemas.openxmlformats.org/officeDocument/2006/relationships/hyperlink" Target="https://www.jivi.com.ar/ficha.php?id=1478" TargetMode="External"/><Relationship Id="rId388" Type="http://schemas.openxmlformats.org/officeDocument/2006/relationships/hyperlink" Target="https://www.jivi.com.ar/ficha.php?id=1587" TargetMode="External"/><Relationship Id="rId511" Type="http://schemas.openxmlformats.org/officeDocument/2006/relationships/hyperlink" Target="https://www.jivi.com.ar/ficha.php?id=1128" TargetMode="External"/><Relationship Id="rId609" Type="http://schemas.openxmlformats.org/officeDocument/2006/relationships/hyperlink" Target="https://www.jivi.com.ar/ficha.php?id=2066" TargetMode="External"/><Relationship Id="rId85" Type="http://schemas.openxmlformats.org/officeDocument/2006/relationships/hyperlink" Target="https://www.jivi.com.ar/ficha.php?id=245" TargetMode="External"/><Relationship Id="rId150" Type="http://schemas.openxmlformats.org/officeDocument/2006/relationships/hyperlink" Target="https://www.jivi.com.ar/ficha.php?id=1061" TargetMode="External"/><Relationship Id="rId595" Type="http://schemas.openxmlformats.org/officeDocument/2006/relationships/hyperlink" Target="https://www.jivi.com.ar/ficha.php?id=1416" TargetMode="External"/><Relationship Id="rId248" Type="http://schemas.openxmlformats.org/officeDocument/2006/relationships/hyperlink" Target="https://www.jivi.com.ar/ficha.php?id=1230" TargetMode="External"/><Relationship Id="rId455" Type="http://schemas.openxmlformats.org/officeDocument/2006/relationships/hyperlink" Target="https://www.jivi.com.ar/ficha.php?id=1528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568" TargetMode="External"/><Relationship Id="rId315" Type="http://schemas.openxmlformats.org/officeDocument/2006/relationships/hyperlink" Target="https://www.jivi.com.ar/ficha.php?id=1496" TargetMode="External"/><Relationship Id="rId522" Type="http://schemas.openxmlformats.org/officeDocument/2006/relationships/hyperlink" Target="https://www.jivi.com.ar/ficha.php?id=1820" TargetMode="External"/><Relationship Id="rId96" Type="http://schemas.openxmlformats.org/officeDocument/2006/relationships/hyperlink" Target="https://www.jivi.com.ar/ficha.php?id=431" TargetMode="External"/><Relationship Id="rId161" Type="http://schemas.openxmlformats.org/officeDocument/2006/relationships/hyperlink" Target="https://www.jivi.com.ar/ficha.php?id=1104" TargetMode="External"/><Relationship Id="rId399" Type="http://schemas.openxmlformats.org/officeDocument/2006/relationships/hyperlink" Target="https://www.jivi.com.ar/ficha.php?id=1599" TargetMode="External"/><Relationship Id="rId259" Type="http://schemas.openxmlformats.org/officeDocument/2006/relationships/hyperlink" Target="https://www.jivi.com.ar/ficha.php?id=1084" TargetMode="External"/><Relationship Id="rId466" Type="http://schemas.openxmlformats.org/officeDocument/2006/relationships/hyperlink" Target="https://www.jivi.com.ar/ficha.php?id=1727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709" TargetMode="External"/><Relationship Id="rId326" Type="http://schemas.openxmlformats.org/officeDocument/2006/relationships/hyperlink" Target="https://www.jivi.com.ar/ficha.php?id=1509" TargetMode="External"/><Relationship Id="rId533" Type="http://schemas.openxmlformats.org/officeDocument/2006/relationships/hyperlink" Target="https://www.jivi.com.ar/ficha.php?id=666" TargetMode="External"/><Relationship Id="rId172" Type="http://schemas.openxmlformats.org/officeDocument/2006/relationships/hyperlink" Target="https://www.jivi.com.ar/ficha.php?id=1172" TargetMode="External"/><Relationship Id="rId477" Type="http://schemas.openxmlformats.org/officeDocument/2006/relationships/hyperlink" Target="https://www.jivi.com.ar/ficha.php?id=1743" TargetMode="External"/><Relationship Id="rId600" Type="http://schemas.openxmlformats.org/officeDocument/2006/relationships/hyperlink" Target="https://www.jivi.com.ar/ficha.php?id=2058" TargetMode="External"/><Relationship Id="rId337" Type="http://schemas.openxmlformats.org/officeDocument/2006/relationships/hyperlink" Target="https://www.jivi.com.ar/ficha.php?id=1536" TargetMode="External"/><Relationship Id="rId34" Type="http://schemas.openxmlformats.org/officeDocument/2006/relationships/hyperlink" Target="https://www.jivi.com.ar/ficha.php?id=113" TargetMode="External"/><Relationship Id="rId544" Type="http://schemas.openxmlformats.org/officeDocument/2006/relationships/hyperlink" Target="https://www.jivi.com.ar/ficha.php?id=1379" TargetMode="External"/><Relationship Id="rId183" Type="http://schemas.openxmlformats.org/officeDocument/2006/relationships/hyperlink" Target="https://www.jivi.com.ar/ficha.php?id=1209" TargetMode="External"/><Relationship Id="rId390" Type="http://schemas.openxmlformats.org/officeDocument/2006/relationships/hyperlink" Target="https://www.jivi.com.ar/ficha.php?id=1588" TargetMode="External"/><Relationship Id="rId404" Type="http://schemas.openxmlformats.org/officeDocument/2006/relationships/hyperlink" Target="https://www.jivi.com.ar/ficha.php?id=1606" TargetMode="External"/><Relationship Id="rId611" Type="http://schemas.openxmlformats.org/officeDocument/2006/relationships/hyperlink" Target="https://www.jivi.com.ar/ficha.php?id=2068" TargetMode="External"/><Relationship Id="rId250" Type="http://schemas.openxmlformats.org/officeDocument/2006/relationships/hyperlink" Target="https://www.jivi.com.ar/ficha.php?id=1111" TargetMode="External"/><Relationship Id="rId488" Type="http://schemas.openxmlformats.org/officeDocument/2006/relationships/hyperlink" Target="https://www.jivi.com.ar/ficha.php?id=1776" TargetMode="External"/><Relationship Id="rId45" Type="http://schemas.openxmlformats.org/officeDocument/2006/relationships/hyperlink" Target="https://www.jivi.com.ar/ficha.php?id=638" TargetMode="External"/><Relationship Id="rId110" Type="http://schemas.openxmlformats.org/officeDocument/2006/relationships/hyperlink" Target="https://www.jivi.com.ar/ficha.php?id=534" TargetMode="External"/><Relationship Id="rId348" Type="http://schemas.openxmlformats.org/officeDocument/2006/relationships/hyperlink" Target="https://www.jivi.com.ar/ficha.php?id=1552" TargetMode="External"/><Relationship Id="rId555" Type="http://schemas.openxmlformats.org/officeDocument/2006/relationships/hyperlink" Target="https://www.jivi.com.ar/ficha.php?id=1880" TargetMode="External"/><Relationship Id="rId194" Type="http://schemas.openxmlformats.org/officeDocument/2006/relationships/hyperlink" Target="https://www.jivi.com.ar/ficha.php?id=1060" TargetMode="External"/><Relationship Id="rId208" Type="http://schemas.openxmlformats.org/officeDocument/2006/relationships/hyperlink" Target="https://www.jivi.com.ar/ficha.php?id=1607" TargetMode="External"/><Relationship Id="rId415" Type="http://schemas.openxmlformats.org/officeDocument/2006/relationships/hyperlink" Target="https://www.jivi.com.ar/ficha.php?id=1452" TargetMode="External"/><Relationship Id="rId622" Type="http://schemas.openxmlformats.org/officeDocument/2006/relationships/hyperlink" Target="https://www.jivi.com.ar/ficha.php?id=1512" TargetMode="External"/><Relationship Id="rId261" Type="http://schemas.openxmlformats.org/officeDocument/2006/relationships/hyperlink" Target="https://www.jivi.com.ar/ficha.php?id=1419" TargetMode="External"/><Relationship Id="rId499" Type="http://schemas.openxmlformats.org/officeDocument/2006/relationships/hyperlink" Target="https://www.jivi.com.ar/ficha.php?id=1781" TargetMode="External"/><Relationship Id="rId56" Type="http://schemas.openxmlformats.org/officeDocument/2006/relationships/hyperlink" Target="https://www.jivi.com.ar/ficha.php?id=120" TargetMode="External"/><Relationship Id="rId359" Type="http://schemas.openxmlformats.org/officeDocument/2006/relationships/hyperlink" Target="https://www.jivi.com.ar/ficha.php?id=1562" TargetMode="External"/><Relationship Id="rId566" Type="http://schemas.openxmlformats.org/officeDocument/2006/relationships/hyperlink" Target="https://www.jivi.com.ar/ficha.php?id=1258" TargetMode="External"/><Relationship Id="rId121" Type="http://schemas.openxmlformats.org/officeDocument/2006/relationships/hyperlink" Target="https://www.jivi.com.ar/ficha.php?id=846" TargetMode="External"/><Relationship Id="rId219" Type="http://schemas.openxmlformats.org/officeDocument/2006/relationships/hyperlink" Target="https://www.jivi.com.ar/ficha.php?id=1333" TargetMode="External"/><Relationship Id="rId426" Type="http://schemas.openxmlformats.org/officeDocument/2006/relationships/hyperlink" Target="https://www.jivi.com.ar/ficha.php?id=968" TargetMode="External"/><Relationship Id="rId633" Type="http://schemas.openxmlformats.org/officeDocument/2006/relationships/printerSettings" Target="../printerSettings/printerSettings1.bin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432" TargetMode="External"/><Relationship Id="rId577" Type="http://schemas.openxmlformats.org/officeDocument/2006/relationships/hyperlink" Target="https://www.jivi.com.ar/ficha.php?id=2026" TargetMode="External"/><Relationship Id="rId132" Type="http://schemas.openxmlformats.org/officeDocument/2006/relationships/hyperlink" Target="https://www.jivi.com.ar/ficha.php?id=938" TargetMode="External"/><Relationship Id="rId437" Type="http://schemas.openxmlformats.org/officeDocument/2006/relationships/hyperlink" Target="https://www.jivi.com.ar/ficha.php?id=440" TargetMode="External"/><Relationship Id="rId283" Type="http://schemas.openxmlformats.org/officeDocument/2006/relationships/hyperlink" Target="https://www.jivi.com.ar/ficha.php?id=1446" TargetMode="External"/><Relationship Id="rId490" Type="http://schemas.openxmlformats.org/officeDocument/2006/relationships/hyperlink" Target="https://www.jivi.com.ar/ficha.php?id=1304" TargetMode="External"/><Relationship Id="rId504" Type="http://schemas.openxmlformats.org/officeDocument/2006/relationships/hyperlink" Target="https://www.jivi.com.ar/ficha.php?id=1308" TargetMode="External"/><Relationship Id="rId78" Type="http://schemas.openxmlformats.org/officeDocument/2006/relationships/hyperlink" Target="https://www.jivi.com.ar/ficha.php?id=142" TargetMode="External"/><Relationship Id="rId143" Type="http://schemas.openxmlformats.org/officeDocument/2006/relationships/hyperlink" Target="https://www.jivi.com.ar/ficha.php?id=250" TargetMode="External"/><Relationship Id="rId350" Type="http://schemas.openxmlformats.org/officeDocument/2006/relationships/hyperlink" Target="https://www.jivi.com.ar/ficha.php?id=1553" TargetMode="External"/><Relationship Id="rId588" Type="http://schemas.openxmlformats.org/officeDocument/2006/relationships/hyperlink" Target="https://www.jivi.com.ar/ficha.php?id=1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95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887" t="s">
        <v>0</v>
      </c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888"/>
      <c r="U1" s="888"/>
      <c r="V1" s="888"/>
      <c r="W1" s="889"/>
      <c r="X1" s="476">
        <v>1</v>
      </c>
      <c r="Y1" s="880" t="s">
        <v>1</v>
      </c>
      <c r="Z1" s="881"/>
      <c r="AA1" s="881"/>
      <c r="AB1" s="881"/>
      <c r="AC1" s="881"/>
      <c r="AD1" s="882"/>
      <c r="AE1" s="877" t="s">
        <v>2</v>
      </c>
      <c r="AF1" s="878"/>
      <c r="AG1" s="878"/>
      <c r="AH1" s="878"/>
      <c r="AI1" s="879"/>
      <c r="AJ1" s="875" t="s">
        <v>3</v>
      </c>
      <c r="AK1" s="55"/>
      <c r="AL1" s="55"/>
      <c r="AM1" s="53"/>
    </row>
    <row r="2" spans="1:39" ht="14.25" customHeight="1" x14ac:dyDescent="0.2">
      <c r="A2" s="18"/>
      <c r="B2" s="936" t="s">
        <v>985</v>
      </c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  <c r="O2" s="937"/>
      <c r="P2" s="937"/>
      <c r="Q2" s="937"/>
      <c r="R2" s="937"/>
      <c r="S2" s="937"/>
      <c r="T2" s="937"/>
      <c r="U2" s="937"/>
      <c r="V2" s="938"/>
      <c r="W2" s="939"/>
      <c r="X2" s="477">
        <v>1084</v>
      </c>
      <c r="Y2" s="896" t="s">
        <v>4</v>
      </c>
      <c r="Z2" s="897"/>
      <c r="AA2" s="897"/>
      <c r="AB2" s="897"/>
      <c r="AC2" s="897"/>
      <c r="AD2" s="898"/>
      <c r="AE2" s="885" t="s">
        <v>5</v>
      </c>
      <c r="AF2" s="886"/>
      <c r="AG2" s="886"/>
      <c r="AH2" s="478"/>
      <c r="AI2" s="479"/>
      <c r="AJ2" s="876"/>
      <c r="AK2" s="172"/>
      <c r="AL2" s="172"/>
      <c r="AM2" s="53"/>
    </row>
    <row r="3" spans="1:39" ht="15.75" customHeight="1" x14ac:dyDescent="0.2">
      <c r="A3" s="18"/>
      <c r="B3" s="905"/>
      <c r="C3" s="906"/>
      <c r="D3" s="907"/>
      <c r="E3" s="929" t="s">
        <v>6</v>
      </c>
      <c r="F3" s="930"/>
      <c r="G3" s="930"/>
      <c r="H3" s="930"/>
      <c r="I3" s="930"/>
      <c r="J3" s="930"/>
      <c r="K3" s="930"/>
      <c r="L3" s="930"/>
      <c r="M3" s="930"/>
      <c r="N3" s="930"/>
      <c r="O3" s="930"/>
      <c r="P3" s="930"/>
      <c r="Q3" s="930"/>
      <c r="R3" s="930"/>
      <c r="S3" s="930"/>
      <c r="T3" s="930"/>
      <c r="U3" s="930"/>
      <c r="V3" s="931"/>
      <c r="W3" s="932"/>
      <c r="X3" s="890" t="s">
        <v>946</v>
      </c>
      <c r="Y3" s="891"/>
      <c r="Z3" s="891"/>
      <c r="AA3" s="891"/>
      <c r="AB3" s="891"/>
      <c r="AC3" s="891"/>
      <c r="AD3" s="892"/>
      <c r="AE3" s="883"/>
      <c r="AF3" s="884"/>
      <c r="AG3" s="884"/>
      <c r="AH3" s="884"/>
      <c r="AI3" s="884"/>
      <c r="AJ3" s="13"/>
      <c r="AK3" s="13"/>
      <c r="AL3" s="13"/>
      <c r="AM3" s="54"/>
    </row>
    <row r="4" spans="1:39" ht="21.75" customHeight="1" x14ac:dyDescent="0.2">
      <c r="A4" s="18"/>
      <c r="B4" s="908"/>
      <c r="C4" s="909"/>
      <c r="D4" s="910"/>
      <c r="E4" s="933" t="s">
        <v>7</v>
      </c>
      <c r="F4" s="934"/>
      <c r="G4" s="934"/>
      <c r="H4" s="934"/>
      <c r="I4" s="934"/>
      <c r="J4" s="934"/>
      <c r="K4" s="934"/>
      <c r="L4" s="934"/>
      <c r="M4" s="934"/>
      <c r="N4" s="934"/>
      <c r="O4" s="934"/>
      <c r="P4" s="934"/>
      <c r="Q4" s="934"/>
      <c r="R4" s="934"/>
      <c r="S4" s="934"/>
      <c r="T4" s="934"/>
      <c r="U4" s="934"/>
      <c r="V4" s="934"/>
      <c r="W4" s="935"/>
      <c r="X4" s="893"/>
      <c r="Y4" s="894"/>
      <c r="Z4" s="894"/>
      <c r="AA4" s="894"/>
      <c r="AB4" s="894"/>
      <c r="AC4" s="894"/>
      <c r="AD4" s="895"/>
      <c r="AE4" s="884"/>
      <c r="AF4" s="884"/>
      <c r="AG4" s="884"/>
      <c r="AH4" s="884"/>
      <c r="AI4" s="884"/>
      <c r="AJ4" s="13"/>
      <c r="AK4" s="13"/>
      <c r="AL4" s="13"/>
      <c r="AM4" s="54"/>
    </row>
    <row r="5" spans="1:39" ht="23.25" customHeight="1" x14ac:dyDescent="0.2">
      <c r="A5" s="18"/>
      <c r="B5" s="911"/>
      <c r="C5" s="912"/>
      <c r="D5" s="913"/>
      <c r="E5" s="914" t="s">
        <v>8</v>
      </c>
      <c r="F5" s="915"/>
      <c r="G5" s="915"/>
      <c r="H5" s="915"/>
      <c r="I5" s="915"/>
      <c r="J5" s="915"/>
      <c r="K5" s="915"/>
      <c r="L5" s="915"/>
      <c r="M5" s="915"/>
      <c r="N5" s="915"/>
      <c r="O5" s="915"/>
      <c r="P5" s="915"/>
      <c r="Q5" s="915"/>
      <c r="R5" s="915"/>
      <c r="S5" s="915"/>
      <c r="T5" s="915"/>
      <c r="U5" s="915"/>
      <c r="V5" s="915"/>
      <c r="W5" s="916"/>
      <c r="X5" s="920"/>
      <c r="Y5" s="921"/>
      <c r="Z5" s="921"/>
      <c r="AA5" s="921"/>
      <c r="AB5" s="921"/>
      <c r="AC5" s="921"/>
      <c r="AD5" s="922"/>
      <c r="AE5" s="943"/>
      <c r="AF5" s="943"/>
      <c r="AG5" s="943"/>
      <c r="AH5" s="943"/>
      <c r="AI5" s="943"/>
      <c r="AJ5" s="13"/>
      <c r="AK5" s="13"/>
      <c r="AL5" s="13"/>
      <c r="AM5" s="54"/>
    </row>
    <row r="6" spans="1:39" ht="12" customHeight="1" x14ac:dyDescent="0.2">
      <c r="A6" s="18"/>
      <c r="B6" s="917" t="s">
        <v>9</v>
      </c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9"/>
      <c r="X6" s="923"/>
      <c r="Y6" s="924"/>
      <c r="Z6" s="924"/>
      <c r="AA6" s="924"/>
      <c r="AB6" s="924"/>
      <c r="AC6" s="924"/>
      <c r="AD6" s="925"/>
      <c r="AE6" s="943"/>
      <c r="AF6" s="943"/>
      <c r="AG6" s="943"/>
      <c r="AH6" s="943"/>
      <c r="AI6" s="943"/>
      <c r="AJ6" s="13"/>
      <c r="AK6" s="13"/>
      <c r="AL6" s="13"/>
      <c r="AM6" s="54"/>
    </row>
    <row r="7" spans="1:39" ht="13.5" customHeight="1" x14ac:dyDescent="0.2">
      <c r="A7" s="18"/>
      <c r="B7" s="940" t="s">
        <v>10</v>
      </c>
      <c r="C7" s="941"/>
      <c r="D7" s="941"/>
      <c r="E7" s="941"/>
      <c r="F7" s="941"/>
      <c r="G7" s="941"/>
      <c r="H7" s="941"/>
      <c r="I7" s="941"/>
      <c r="J7" s="941"/>
      <c r="K7" s="941"/>
      <c r="L7" s="941"/>
      <c r="M7" s="941"/>
      <c r="N7" s="941"/>
      <c r="O7" s="941"/>
      <c r="P7" s="941"/>
      <c r="Q7" s="941"/>
      <c r="R7" s="941"/>
      <c r="S7" s="941"/>
      <c r="T7" s="941"/>
      <c r="U7" s="941"/>
      <c r="V7" s="941"/>
      <c r="W7" s="942"/>
      <c r="X7" s="926"/>
      <c r="Y7" s="927"/>
      <c r="Z7" s="927"/>
      <c r="AA7" s="927"/>
      <c r="AB7" s="927"/>
      <c r="AC7" s="927"/>
      <c r="AD7" s="928"/>
      <c r="AE7" s="943"/>
      <c r="AF7" s="943"/>
      <c r="AG7" s="943"/>
      <c r="AH7" s="943"/>
      <c r="AI7" s="943"/>
    </row>
    <row r="8" spans="1:39" ht="14.25" customHeight="1" x14ac:dyDescent="0.2">
      <c r="A8" s="18"/>
      <c r="B8" s="798" t="s">
        <v>11</v>
      </c>
      <c r="C8" s="767" t="s">
        <v>12</v>
      </c>
      <c r="D8" s="768"/>
      <c r="E8" s="768"/>
      <c r="F8" s="754" t="s">
        <v>13</v>
      </c>
      <c r="G8" s="754" t="s">
        <v>13</v>
      </c>
      <c r="H8" s="738" t="s">
        <v>809</v>
      </c>
      <c r="I8" s="738"/>
      <c r="J8" s="739"/>
      <c r="K8" s="739"/>
      <c r="L8" s="739"/>
      <c r="M8" s="739"/>
      <c r="N8" s="739"/>
      <c r="O8" s="739"/>
      <c r="P8" s="739"/>
      <c r="Q8" s="739"/>
      <c r="R8" s="739"/>
      <c r="S8" s="739"/>
      <c r="T8" s="739"/>
      <c r="U8" s="739"/>
      <c r="V8" s="739"/>
      <c r="W8" s="739"/>
      <c r="X8" s="715" t="s">
        <v>14</v>
      </c>
      <c r="Y8" s="716"/>
      <c r="Z8" s="716"/>
      <c r="AA8" s="717"/>
      <c r="AB8" s="721" t="s">
        <v>15</v>
      </c>
      <c r="AC8" s="899" t="s">
        <v>16</v>
      </c>
      <c r="AD8" s="900"/>
      <c r="AE8" s="900"/>
      <c r="AF8" s="900"/>
      <c r="AG8" s="900"/>
      <c r="AH8" s="900"/>
      <c r="AI8" s="901"/>
    </row>
    <row r="9" spans="1:39" ht="11.25" customHeight="1" x14ac:dyDescent="0.2">
      <c r="A9" s="18"/>
      <c r="B9" s="798"/>
      <c r="C9" s="768"/>
      <c r="D9" s="768"/>
      <c r="E9" s="768"/>
      <c r="F9" s="755"/>
      <c r="G9" s="755"/>
      <c r="H9" s="474"/>
      <c r="I9" s="472" t="s">
        <v>289</v>
      </c>
      <c r="J9" s="474"/>
      <c r="K9" s="472" t="s">
        <v>17</v>
      </c>
      <c r="L9" s="475"/>
      <c r="M9" s="475" t="s">
        <v>18</v>
      </c>
      <c r="N9" s="475"/>
      <c r="O9" s="472" t="s">
        <v>19</v>
      </c>
      <c r="P9" s="475"/>
      <c r="Q9" s="475" t="s">
        <v>291</v>
      </c>
      <c r="R9" s="475"/>
      <c r="S9" s="475" t="s">
        <v>20</v>
      </c>
      <c r="T9" s="475"/>
      <c r="U9" s="475" t="s">
        <v>21</v>
      </c>
      <c r="V9" s="475"/>
      <c r="W9" s="475" t="s">
        <v>22</v>
      </c>
      <c r="X9" s="718"/>
      <c r="Y9" s="719"/>
      <c r="Z9" s="719"/>
      <c r="AA9" s="720"/>
      <c r="AB9" s="691"/>
      <c r="AC9" s="902"/>
      <c r="AD9" s="903"/>
      <c r="AE9" s="903"/>
      <c r="AF9" s="903"/>
      <c r="AG9" s="903"/>
      <c r="AH9" s="903"/>
      <c r="AI9" s="904"/>
    </row>
    <row r="10" spans="1:39" ht="12.6" customHeight="1" x14ac:dyDescent="0.2">
      <c r="A10" s="18"/>
      <c r="B10" s="944" t="s">
        <v>697</v>
      </c>
      <c r="C10" s="945"/>
      <c r="D10" s="945"/>
      <c r="E10" s="946"/>
      <c r="F10" s="319">
        <v>557</v>
      </c>
      <c r="G10" s="311">
        <f t="shared" ref="G10" si="0">+F10*$X$1</f>
        <v>557</v>
      </c>
      <c r="H10" s="606"/>
      <c r="I10" s="607"/>
      <c r="J10" s="90">
        <f>F10+120</f>
        <v>677</v>
      </c>
      <c r="K10" s="319"/>
      <c r="L10" s="102"/>
      <c r="M10" s="319"/>
      <c r="N10" s="458">
        <f>F10+110</f>
        <v>667</v>
      </c>
      <c r="O10" s="288">
        <f t="shared" ref="O10" si="1">+N10*$X$1</f>
        <v>667</v>
      </c>
      <c r="P10" s="458">
        <f>F10+100</f>
        <v>657</v>
      </c>
      <c r="Q10" s="288">
        <f t="shared" ref="Q10" si="2">+P10*$X$1</f>
        <v>657</v>
      </c>
      <c r="R10" s="458">
        <f>F10+80</f>
        <v>637</v>
      </c>
      <c r="S10" s="288">
        <f t="shared" ref="S10" si="3">+R10*$X$1</f>
        <v>637</v>
      </c>
      <c r="T10" s="458">
        <f>F10+65</f>
        <v>622</v>
      </c>
      <c r="U10" s="288">
        <f t="shared" ref="U10" si="4">+T10*$X$1</f>
        <v>622</v>
      </c>
      <c r="V10" s="458">
        <f>F10+56</f>
        <v>613</v>
      </c>
      <c r="W10" s="288">
        <f t="shared" ref="W10" si="5">+V10*$X$1</f>
        <v>613</v>
      </c>
      <c r="X10" s="131"/>
      <c r="Y10" s="131"/>
      <c r="Z10" s="131"/>
      <c r="AA10" s="131"/>
      <c r="AB10" s="404">
        <v>13</v>
      </c>
      <c r="AE10" s="61"/>
      <c r="AF10" s="871" t="s">
        <v>844</v>
      </c>
      <c r="AG10" s="871"/>
      <c r="AH10" s="871"/>
    </row>
    <row r="11" spans="1:39" ht="12.6" customHeight="1" x14ac:dyDescent="0.2">
      <c r="A11" s="18"/>
      <c r="B11" s="759" t="s">
        <v>819</v>
      </c>
      <c r="C11" s="733"/>
      <c r="D11" s="733"/>
      <c r="E11" s="734"/>
      <c r="F11" s="287">
        <v>1063</v>
      </c>
      <c r="G11" s="312">
        <f t="shared" ref="G11" si="6">+F11*$X$1</f>
        <v>1063</v>
      </c>
      <c r="H11" s="281"/>
      <c r="I11" s="342"/>
      <c r="J11" s="71">
        <f>F11+120</f>
        <v>1183</v>
      </c>
      <c r="K11" s="287"/>
      <c r="L11" s="600"/>
      <c r="M11" s="287"/>
      <c r="N11" s="670">
        <f>F11+110</f>
        <v>1173</v>
      </c>
      <c r="O11" s="287">
        <f t="shared" ref="O11:O12" si="7">+N11*$X$1</f>
        <v>1173</v>
      </c>
      <c r="P11" s="670">
        <f>F11+100</f>
        <v>1163</v>
      </c>
      <c r="Q11" s="287">
        <f t="shared" ref="Q11:Q12" si="8">+P11*$X$1</f>
        <v>1163</v>
      </c>
      <c r="R11" s="670">
        <f>F11+80</f>
        <v>1143</v>
      </c>
      <c r="S11" s="287">
        <f t="shared" ref="S11:S12" si="9">+R11*$X$1</f>
        <v>1143</v>
      </c>
      <c r="T11" s="670">
        <f>F11+65</f>
        <v>1128</v>
      </c>
      <c r="U11" s="287">
        <f t="shared" ref="U11:U12" si="10">+T11*$X$1</f>
        <v>1128</v>
      </c>
      <c r="V11" s="670">
        <f>F11+56</f>
        <v>1119</v>
      </c>
      <c r="W11" s="287">
        <f t="shared" ref="W11:W12" si="11">+V11*$X$1</f>
        <v>1119</v>
      </c>
      <c r="X11" s="131"/>
      <c r="Y11" s="131"/>
      <c r="Z11" s="131"/>
      <c r="AA11" s="131"/>
      <c r="AB11" s="35"/>
      <c r="AE11" s="61"/>
      <c r="AF11" s="871" t="s">
        <v>23</v>
      </c>
      <c r="AG11" s="871"/>
      <c r="AH11" s="871"/>
    </row>
    <row r="12" spans="1:39" ht="12.6" customHeight="1" x14ac:dyDescent="0.2">
      <c r="A12" s="18"/>
      <c r="B12" s="748" t="s">
        <v>696</v>
      </c>
      <c r="C12" s="693"/>
      <c r="D12" s="693"/>
      <c r="E12" s="693"/>
      <c r="F12" s="288">
        <v>1163</v>
      </c>
      <c r="G12" s="311">
        <f t="shared" ref="G12:G13" si="12">+F12*$X$1</f>
        <v>1163</v>
      </c>
      <c r="H12" s="280"/>
      <c r="I12" s="343"/>
      <c r="J12" s="89"/>
      <c r="K12" s="288"/>
      <c r="L12" s="458"/>
      <c r="M12" s="288"/>
      <c r="N12" s="458">
        <f>F12+110</f>
        <v>1273</v>
      </c>
      <c r="O12" s="288">
        <f t="shared" si="7"/>
        <v>1273</v>
      </c>
      <c r="P12" s="458">
        <f>F12+100</f>
        <v>1263</v>
      </c>
      <c r="Q12" s="288">
        <f t="shared" si="8"/>
        <v>1263</v>
      </c>
      <c r="R12" s="458">
        <f>F12+80</f>
        <v>1243</v>
      </c>
      <c r="S12" s="288">
        <f t="shared" si="9"/>
        <v>1243</v>
      </c>
      <c r="T12" s="458">
        <f>F12+65</f>
        <v>1228</v>
      </c>
      <c r="U12" s="288">
        <f t="shared" si="10"/>
        <v>1228</v>
      </c>
      <c r="V12" s="458">
        <f>F12+56</f>
        <v>1219</v>
      </c>
      <c r="W12" s="288">
        <f t="shared" si="11"/>
        <v>1219</v>
      </c>
      <c r="X12" s="131"/>
      <c r="Y12" s="131"/>
      <c r="Z12" s="131"/>
      <c r="AA12" s="131"/>
      <c r="AB12" s="404">
        <v>15</v>
      </c>
      <c r="AE12" s="61"/>
      <c r="AF12" s="871" t="s">
        <v>409</v>
      </c>
      <c r="AG12" s="871"/>
      <c r="AH12" s="871"/>
    </row>
    <row r="13" spans="1:39" ht="12.6" customHeight="1" x14ac:dyDescent="0.2">
      <c r="A13" s="18"/>
      <c r="B13" s="759" t="s">
        <v>411</v>
      </c>
      <c r="C13" s="733"/>
      <c r="D13" s="733"/>
      <c r="E13" s="734"/>
      <c r="F13" s="287">
        <v>510</v>
      </c>
      <c r="G13" s="312">
        <f t="shared" si="12"/>
        <v>510</v>
      </c>
      <c r="H13" s="281"/>
      <c r="I13" s="342"/>
      <c r="J13" s="670">
        <f>F13+120</f>
        <v>630</v>
      </c>
      <c r="K13" s="287">
        <f t="shared" ref="K13:K14" si="13">+J13*$X$1</f>
        <v>630</v>
      </c>
      <c r="L13" s="670">
        <f>F13+90</f>
        <v>600</v>
      </c>
      <c r="M13" s="287">
        <f t="shared" ref="M13:M14" si="14">+L13*$X$1</f>
        <v>600</v>
      </c>
      <c r="N13" s="670">
        <f>F13+55</f>
        <v>565</v>
      </c>
      <c r="O13" s="287">
        <f t="shared" ref="O13:O14" si="15">+N13*$X$1</f>
        <v>565</v>
      </c>
      <c r="P13" s="670">
        <f>F13+49</f>
        <v>559</v>
      </c>
      <c r="Q13" s="287">
        <f t="shared" ref="Q13:Q14" si="16">+P13*$X$1</f>
        <v>559</v>
      </c>
      <c r="R13" s="670">
        <f>F13+42</f>
        <v>552</v>
      </c>
      <c r="S13" s="287">
        <f t="shared" ref="S13:S14" si="17">+R13*$X$1</f>
        <v>552</v>
      </c>
      <c r="T13" s="670">
        <f>F13+34</f>
        <v>544</v>
      </c>
      <c r="U13" s="287">
        <f t="shared" ref="U13:U14" si="18">+T13*$X$1</f>
        <v>544</v>
      </c>
      <c r="V13" s="670"/>
      <c r="W13" s="287"/>
      <c r="X13" s="131"/>
      <c r="Y13" s="131"/>
      <c r="Z13" s="131"/>
      <c r="AA13" s="131"/>
      <c r="AB13" s="404">
        <v>17</v>
      </c>
      <c r="AE13" s="61"/>
      <c r="AF13" s="871" t="s">
        <v>368</v>
      </c>
      <c r="AG13" s="871"/>
      <c r="AH13" s="871"/>
      <c r="AI13" s="61"/>
    </row>
    <row r="14" spans="1:39" ht="12.6" customHeight="1" x14ac:dyDescent="0.2">
      <c r="A14" s="18"/>
      <c r="B14" s="723" t="s">
        <v>711</v>
      </c>
      <c r="C14" s="680"/>
      <c r="D14" s="680"/>
      <c r="E14" s="681"/>
      <c r="F14" s="383">
        <f>28.84*X2</f>
        <v>31262.560000000001</v>
      </c>
      <c r="G14" s="311">
        <f>+F14*$X$1</f>
        <v>31262.560000000001</v>
      </c>
      <c r="H14" s="497">
        <f>F14+600</f>
        <v>31862.560000000001</v>
      </c>
      <c r="I14" s="288">
        <f t="shared" ref="I14" si="19">+H14*$X$1</f>
        <v>31862.560000000001</v>
      </c>
      <c r="J14" s="458">
        <f>F14+250</f>
        <v>31512.560000000001</v>
      </c>
      <c r="K14" s="288">
        <f t="shared" si="13"/>
        <v>31512.560000000001</v>
      </c>
      <c r="L14" s="458">
        <f>F14+210</f>
        <v>31472.560000000001</v>
      </c>
      <c r="M14" s="288">
        <f t="shared" si="14"/>
        <v>31472.560000000001</v>
      </c>
      <c r="N14" s="458">
        <f>F14+180</f>
        <v>31442.560000000001</v>
      </c>
      <c r="O14" s="288">
        <f t="shared" si="15"/>
        <v>31442.560000000001</v>
      </c>
      <c r="P14" s="458">
        <f>F14+140</f>
        <v>31402.560000000001</v>
      </c>
      <c r="Q14" s="288">
        <f t="shared" si="16"/>
        <v>31402.560000000001</v>
      </c>
      <c r="R14" s="458">
        <f>F14+110</f>
        <v>31372.560000000001</v>
      </c>
      <c r="S14" s="288">
        <f t="shared" si="17"/>
        <v>31372.560000000001</v>
      </c>
      <c r="T14" s="458">
        <f>F14+90</f>
        <v>31352.560000000001</v>
      </c>
      <c r="U14" s="288">
        <f t="shared" si="18"/>
        <v>31352.560000000001</v>
      </c>
      <c r="V14" s="458"/>
      <c r="W14" s="288"/>
      <c r="X14" s="688"/>
      <c r="Y14" s="867"/>
      <c r="Z14" s="867"/>
      <c r="AA14" s="689"/>
      <c r="AB14" s="404">
        <v>18</v>
      </c>
      <c r="AE14" s="72"/>
      <c r="AF14" s="871" t="s">
        <v>369</v>
      </c>
      <c r="AG14" s="871"/>
      <c r="AH14" s="871"/>
      <c r="AI14" s="539"/>
    </row>
    <row r="15" spans="1:39" ht="12.6" customHeight="1" x14ac:dyDescent="0.2">
      <c r="A15" s="18"/>
      <c r="B15" s="759" t="s">
        <v>939</v>
      </c>
      <c r="C15" s="733"/>
      <c r="D15" s="733"/>
      <c r="E15" s="734"/>
      <c r="F15" s="384">
        <f>11*X2</f>
        <v>11924</v>
      </c>
      <c r="G15" s="287">
        <f>+F15*$X$1</f>
        <v>11924</v>
      </c>
      <c r="H15" s="281"/>
      <c r="I15" s="342"/>
      <c r="J15" s="670"/>
      <c r="K15" s="287"/>
      <c r="L15" s="670">
        <f>F15+210</f>
        <v>12134</v>
      </c>
      <c r="M15" s="287">
        <f t="shared" ref="M15" si="20">+L15*$X$1</f>
        <v>12134</v>
      </c>
      <c r="N15" s="670">
        <f>F15+180</f>
        <v>12104</v>
      </c>
      <c r="O15" s="287">
        <f t="shared" ref="O15" si="21">+N15*$X$1</f>
        <v>12104</v>
      </c>
      <c r="P15" s="670">
        <f>F15+140</f>
        <v>12064</v>
      </c>
      <c r="Q15" s="287">
        <f t="shared" ref="Q15" si="22">+P15*$X$1</f>
        <v>12064</v>
      </c>
      <c r="R15" s="670">
        <f>F15+110</f>
        <v>12034</v>
      </c>
      <c r="S15" s="287">
        <f t="shared" ref="S15" si="23">+R15*$X$1</f>
        <v>12034</v>
      </c>
      <c r="T15" s="670">
        <f>F15+90</f>
        <v>12014</v>
      </c>
      <c r="U15" s="287">
        <f t="shared" ref="U15" si="24">+T15*$X$1</f>
        <v>12014</v>
      </c>
      <c r="V15" s="670"/>
      <c r="W15" s="287"/>
      <c r="X15" s="597"/>
      <c r="Y15" s="162"/>
      <c r="Z15" s="162"/>
      <c r="AA15" s="163"/>
      <c r="AB15" s="404">
        <v>22</v>
      </c>
      <c r="AE15" s="72"/>
      <c r="AF15" s="851" t="s">
        <v>24</v>
      </c>
      <c r="AG15" s="851"/>
      <c r="AH15" s="851"/>
      <c r="AI15" s="851"/>
      <c r="AK15" s="65"/>
    </row>
    <row r="16" spans="1:39" ht="12.6" customHeight="1" x14ac:dyDescent="0.2">
      <c r="A16" s="97"/>
      <c r="B16" s="756" t="s">
        <v>25</v>
      </c>
      <c r="C16" s="740"/>
      <c r="D16" s="740"/>
      <c r="E16" s="741"/>
      <c r="F16" s="383">
        <f>4.1*X2</f>
        <v>4444.3999999999996</v>
      </c>
      <c r="G16" s="311">
        <f>+F16*$X$1</f>
        <v>4444.3999999999996</v>
      </c>
      <c r="H16" s="463">
        <f>F16+400</f>
        <v>4844.3999999999996</v>
      </c>
      <c r="I16" s="288">
        <f t="shared" ref="I16:I17" si="25">+H16*$X$1</f>
        <v>4844.3999999999996</v>
      </c>
      <c r="J16" s="458"/>
      <c r="K16" s="290"/>
      <c r="L16" s="458"/>
      <c r="M16" s="288"/>
      <c r="N16" s="458"/>
      <c r="O16" s="288"/>
      <c r="P16" s="102"/>
      <c r="Q16" s="872" t="s">
        <v>152</v>
      </c>
      <c r="R16" s="873"/>
      <c r="S16" s="873"/>
      <c r="T16" s="873"/>
      <c r="U16" s="873"/>
      <c r="V16" s="873"/>
      <c r="W16" s="874"/>
      <c r="X16" s="688"/>
      <c r="Y16" s="867"/>
      <c r="Z16" s="867"/>
      <c r="AA16" s="689"/>
      <c r="AB16" s="404">
        <v>24</v>
      </c>
      <c r="AE16" s="72"/>
      <c r="AF16" s="851" t="s">
        <v>885</v>
      </c>
      <c r="AG16" s="851"/>
      <c r="AH16" s="851"/>
      <c r="AI16" s="851"/>
      <c r="AJ16" s="98"/>
    </row>
    <row r="17" spans="1:37" ht="12.6" customHeight="1" x14ac:dyDescent="0.2">
      <c r="A17" s="126"/>
      <c r="B17" s="759" t="s">
        <v>548</v>
      </c>
      <c r="C17" s="760"/>
      <c r="D17" s="760"/>
      <c r="E17" s="761"/>
      <c r="F17" s="384">
        <f>4.1*X2</f>
        <v>4444.3999999999996</v>
      </c>
      <c r="G17" s="312">
        <f>+F17*$X$1</f>
        <v>4444.3999999999996</v>
      </c>
      <c r="H17" s="326">
        <f>F17+400</f>
        <v>4844.3999999999996</v>
      </c>
      <c r="I17" s="287">
        <f t="shared" si="25"/>
        <v>4844.3999999999996</v>
      </c>
      <c r="J17" s="670"/>
      <c r="K17" s="289"/>
      <c r="L17" s="112"/>
      <c r="M17" s="289"/>
      <c r="N17" s="112">
        <f>F17+40</f>
        <v>4484.3999999999996</v>
      </c>
      <c r="O17" s="287"/>
      <c r="P17" s="281"/>
      <c r="Q17" s="947" t="s">
        <v>152</v>
      </c>
      <c r="R17" s="948"/>
      <c r="S17" s="948"/>
      <c r="T17" s="948"/>
      <c r="U17" s="948"/>
      <c r="V17" s="948"/>
      <c r="W17" s="949"/>
      <c r="X17" s="241"/>
      <c r="Y17" s="191"/>
      <c r="Z17" s="191"/>
      <c r="AA17" s="190"/>
      <c r="AB17" s="404">
        <v>25</v>
      </c>
      <c r="AE17" s="72"/>
      <c r="AF17" s="851" t="s">
        <v>584</v>
      </c>
      <c r="AG17" s="851"/>
      <c r="AH17" s="851"/>
      <c r="AI17" s="851"/>
      <c r="AJ17" s="851"/>
    </row>
    <row r="18" spans="1:37" ht="12.6" customHeight="1" x14ac:dyDescent="0.2">
      <c r="A18" s="125"/>
      <c r="B18" s="756" t="s">
        <v>26</v>
      </c>
      <c r="C18" s="740"/>
      <c r="D18" s="740"/>
      <c r="E18" s="741"/>
      <c r="F18" s="288"/>
      <c r="G18" s="339"/>
      <c r="H18" s="280"/>
      <c r="I18" s="343"/>
      <c r="J18" s="458"/>
      <c r="K18" s="290"/>
      <c r="L18" s="458"/>
      <c r="M18" s="288"/>
      <c r="N18" s="458"/>
      <c r="O18" s="288"/>
      <c r="P18" s="102"/>
      <c r="Q18" s="288"/>
      <c r="R18" s="458"/>
      <c r="S18" s="288"/>
      <c r="T18" s="458"/>
      <c r="U18" s="288"/>
      <c r="V18" s="95"/>
      <c r="W18" s="288"/>
      <c r="X18" s="688"/>
      <c r="Y18" s="867"/>
      <c r="Z18" s="867"/>
      <c r="AA18" s="689"/>
      <c r="AB18" s="35"/>
      <c r="AF18" s="851" t="s">
        <v>380</v>
      </c>
      <c r="AG18" s="851"/>
      <c r="AH18" s="851"/>
      <c r="AI18" s="852"/>
      <c r="AJ18" s="852"/>
    </row>
    <row r="19" spans="1:37" ht="12.6" customHeight="1" x14ac:dyDescent="0.2">
      <c r="A19" s="18"/>
      <c r="B19" s="759" t="s">
        <v>27</v>
      </c>
      <c r="C19" s="733"/>
      <c r="D19" s="733"/>
      <c r="E19" s="734"/>
      <c r="F19" s="287">
        <v>4171</v>
      </c>
      <c r="G19" s="312">
        <f t="shared" ref="G19:G25" si="26">+F19*$X$1</f>
        <v>4171</v>
      </c>
      <c r="H19" s="496">
        <f>F19+600</f>
        <v>4771</v>
      </c>
      <c r="I19" s="287">
        <f t="shared" ref="I19:I20" si="27">+H19*$X$1</f>
        <v>4771</v>
      </c>
      <c r="J19" s="670">
        <f>F19+250</f>
        <v>4421</v>
      </c>
      <c r="K19" s="287">
        <f t="shared" ref="K19:K20" si="28">+J19*$X$1</f>
        <v>4421</v>
      </c>
      <c r="L19" s="670">
        <f>F19+210</f>
        <v>4381</v>
      </c>
      <c r="M19" s="287">
        <f t="shared" ref="M19:M20" si="29">+L19*$X$1</f>
        <v>4381</v>
      </c>
      <c r="N19" s="670">
        <f>F19+180</f>
        <v>4351</v>
      </c>
      <c r="O19" s="287">
        <f t="shared" ref="O19:O20" si="30">+N19*$X$1</f>
        <v>4351</v>
      </c>
      <c r="P19" s="670">
        <f>F19+140</f>
        <v>4311</v>
      </c>
      <c r="Q19" s="287">
        <f t="shared" ref="Q19:Q20" si="31">+P19*$X$1</f>
        <v>4311</v>
      </c>
      <c r="R19" s="670">
        <f>F19+110</f>
        <v>4281</v>
      </c>
      <c r="S19" s="287">
        <f t="shared" ref="S19:S20" si="32">+R19*$X$1</f>
        <v>4281</v>
      </c>
      <c r="T19" s="670">
        <f>F19+90</f>
        <v>4261</v>
      </c>
      <c r="U19" s="287">
        <f t="shared" ref="U19:U20" si="33">+T19*$X$1</f>
        <v>4261</v>
      </c>
      <c r="V19" s="670"/>
      <c r="W19" s="287"/>
      <c r="X19" s="688"/>
      <c r="Y19" s="867"/>
      <c r="Z19" s="867"/>
      <c r="AA19" s="689"/>
      <c r="AB19" s="404" t="s">
        <v>28</v>
      </c>
      <c r="AE19" s="72"/>
      <c r="AF19" s="851" t="s">
        <v>381</v>
      </c>
      <c r="AG19" s="851"/>
      <c r="AH19" s="851"/>
      <c r="AI19" s="851"/>
      <c r="AJ19" s="73"/>
    </row>
    <row r="20" spans="1:37" ht="12.6" customHeight="1" x14ac:dyDescent="0.2">
      <c r="A20" s="18"/>
      <c r="B20" s="748" t="s">
        <v>29</v>
      </c>
      <c r="C20" s="693"/>
      <c r="D20" s="693"/>
      <c r="E20" s="693"/>
      <c r="F20" s="288">
        <v>4171</v>
      </c>
      <c r="G20" s="311">
        <f t="shared" ref="G20" si="34">+F20*$X$1</f>
        <v>4171</v>
      </c>
      <c r="H20" s="497">
        <f>F20+600</f>
        <v>4771</v>
      </c>
      <c r="I20" s="288">
        <f t="shared" si="27"/>
        <v>4771</v>
      </c>
      <c r="J20" s="458">
        <f>F20+250</f>
        <v>4421</v>
      </c>
      <c r="K20" s="288">
        <f t="shared" si="28"/>
        <v>4421</v>
      </c>
      <c r="L20" s="458">
        <f>F20+210</f>
        <v>4381</v>
      </c>
      <c r="M20" s="288">
        <f t="shared" si="29"/>
        <v>4381</v>
      </c>
      <c r="N20" s="458">
        <f>F20+180</f>
        <v>4351</v>
      </c>
      <c r="O20" s="288">
        <f t="shared" si="30"/>
        <v>4351</v>
      </c>
      <c r="P20" s="458">
        <f>F20+140</f>
        <v>4311</v>
      </c>
      <c r="Q20" s="288">
        <f t="shared" si="31"/>
        <v>4311</v>
      </c>
      <c r="R20" s="458">
        <f>F20+110</f>
        <v>4281</v>
      </c>
      <c r="S20" s="288">
        <f t="shared" si="32"/>
        <v>4281</v>
      </c>
      <c r="T20" s="458">
        <f>F20+90</f>
        <v>4261</v>
      </c>
      <c r="U20" s="288">
        <f t="shared" si="33"/>
        <v>4261</v>
      </c>
      <c r="V20" s="458"/>
      <c r="W20" s="288"/>
      <c r="X20" s="688"/>
      <c r="Y20" s="867"/>
      <c r="Z20" s="867"/>
      <c r="AA20" s="689"/>
      <c r="AB20" s="404" t="s">
        <v>30</v>
      </c>
      <c r="AE20" s="72"/>
      <c r="AF20" s="851" t="s">
        <v>398</v>
      </c>
      <c r="AG20" s="851"/>
      <c r="AH20" s="851"/>
      <c r="AI20" s="851"/>
      <c r="AJ20" s="852"/>
    </row>
    <row r="21" spans="1:37" ht="12.6" customHeight="1" x14ac:dyDescent="0.2">
      <c r="A21" s="18"/>
      <c r="B21" s="736" t="s">
        <v>348</v>
      </c>
      <c r="C21" s="678"/>
      <c r="D21" s="678"/>
      <c r="E21" s="678"/>
      <c r="F21" s="287">
        <v>595</v>
      </c>
      <c r="G21" s="351">
        <f t="shared" si="26"/>
        <v>595</v>
      </c>
      <c r="H21" s="285"/>
      <c r="I21" s="361"/>
      <c r="J21" s="208"/>
      <c r="K21" s="289"/>
      <c r="L21" s="112"/>
      <c r="M21" s="289"/>
      <c r="N21" s="112"/>
      <c r="O21" s="287"/>
      <c r="P21" s="281"/>
      <c r="Q21" s="342"/>
      <c r="R21" s="670"/>
      <c r="S21" s="287"/>
      <c r="T21" s="670"/>
      <c r="U21" s="287"/>
      <c r="V21" s="670"/>
      <c r="W21" s="287"/>
      <c r="X21" s="131"/>
      <c r="Y21" s="131"/>
      <c r="Z21" s="131"/>
      <c r="AA21" s="131"/>
      <c r="AB21" s="404">
        <v>35</v>
      </c>
      <c r="AE21" s="72"/>
      <c r="AF21" s="851" t="s">
        <v>349</v>
      </c>
      <c r="AG21" s="852"/>
      <c r="AH21" s="852"/>
      <c r="AI21" s="852"/>
      <c r="AJ21" s="73"/>
    </row>
    <row r="22" spans="1:37" ht="12.6" customHeight="1" x14ac:dyDescent="0.2">
      <c r="A22" s="18"/>
      <c r="B22" s="748" t="s">
        <v>347</v>
      </c>
      <c r="C22" s="693"/>
      <c r="D22" s="693"/>
      <c r="E22" s="693"/>
      <c r="F22" s="288">
        <v>1930</v>
      </c>
      <c r="G22" s="339">
        <f t="shared" si="26"/>
        <v>1930</v>
      </c>
      <c r="H22" s="280"/>
      <c r="I22" s="343"/>
      <c r="J22" s="120"/>
      <c r="K22" s="288"/>
      <c r="L22" s="458"/>
      <c r="M22" s="288"/>
      <c r="N22" s="458"/>
      <c r="O22" s="288"/>
      <c r="P22" s="280"/>
      <c r="Q22" s="343"/>
      <c r="R22" s="458"/>
      <c r="S22" s="362"/>
      <c r="T22" s="102"/>
      <c r="U22" s="319"/>
      <c r="V22" s="102"/>
      <c r="W22" s="288"/>
      <c r="X22" s="131"/>
      <c r="Y22" s="131"/>
      <c r="Z22" s="131"/>
      <c r="AA22" s="131"/>
      <c r="AB22" s="404">
        <v>36</v>
      </c>
      <c r="AE22" s="72"/>
      <c r="AF22" s="851" t="s">
        <v>494</v>
      </c>
      <c r="AG22" s="851"/>
      <c r="AH22" s="851"/>
      <c r="AI22" s="851"/>
      <c r="AJ22" s="73"/>
    </row>
    <row r="23" spans="1:37" ht="12.6" customHeight="1" x14ac:dyDescent="0.2">
      <c r="A23" s="18"/>
      <c r="B23" s="736" t="s">
        <v>31</v>
      </c>
      <c r="C23" s="678"/>
      <c r="D23" s="678"/>
      <c r="E23" s="678"/>
      <c r="F23" s="287">
        <v>1930</v>
      </c>
      <c r="G23" s="307">
        <f t="shared" si="26"/>
        <v>1930</v>
      </c>
      <c r="H23" s="285"/>
      <c r="I23" s="346"/>
      <c r="J23" s="121"/>
      <c r="K23" s="287"/>
      <c r="L23" s="670"/>
      <c r="M23" s="287"/>
      <c r="N23" s="670"/>
      <c r="O23" s="287"/>
      <c r="P23" s="285"/>
      <c r="Q23" s="346"/>
      <c r="R23" s="670"/>
      <c r="S23" s="322"/>
      <c r="T23" s="670"/>
      <c r="U23" s="287"/>
      <c r="V23" s="670"/>
      <c r="W23" s="287"/>
      <c r="X23" s="131"/>
      <c r="Y23" s="131"/>
      <c r="Z23" s="131"/>
      <c r="AA23" s="131"/>
      <c r="AB23" s="404" t="s">
        <v>32</v>
      </c>
      <c r="AE23" s="72"/>
      <c r="AF23" s="851" t="s">
        <v>33</v>
      </c>
      <c r="AG23" s="851"/>
      <c r="AH23" s="851"/>
      <c r="AI23" s="851"/>
      <c r="AJ23" s="73"/>
    </row>
    <row r="24" spans="1:37" ht="12.6" customHeight="1" x14ac:dyDescent="0.2">
      <c r="A24" s="18"/>
      <c r="B24" s="748" t="s">
        <v>34</v>
      </c>
      <c r="C24" s="693"/>
      <c r="D24" s="693"/>
      <c r="E24" s="693"/>
      <c r="F24" s="288"/>
      <c r="G24" s="339"/>
      <c r="H24" s="280"/>
      <c r="I24" s="343"/>
      <c r="J24" s="120"/>
      <c r="K24" s="290"/>
      <c r="L24" s="95"/>
      <c r="M24" s="290"/>
      <c r="N24" s="95"/>
      <c r="O24" s="290"/>
      <c r="P24" s="95"/>
      <c r="Q24" s="290"/>
      <c r="R24" s="95"/>
      <c r="S24" s="378"/>
      <c r="T24" s="95"/>
      <c r="U24" s="347"/>
      <c r="V24" s="95"/>
      <c r="W24" s="290"/>
      <c r="X24" s="131"/>
      <c r="Y24" s="131"/>
      <c r="Z24" s="131"/>
      <c r="AA24" s="131"/>
      <c r="AB24" s="404" t="s">
        <v>35</v>
      </c>
      <c r="AD24" s="23"/>
      <c r="AE24" s="74"/>
      <c r="AF24" s="851" t="s">
        <v>36</v>
      </c>
      <c r="AG24" s="852"/>
      <c r="AH24" s="852"/>
      <c r="AI24" s="852"/>
      <c r="AJ24" s="73"/>
    </row>
    <row r="25" spans="1:37" ht="12.6" customHeight="1" x14ac:dyDescent="0.2">
      <c r="A25" s="18"/>
      <c r="B25" s="759" t="s">
        <v>37</v>
      </c>
      <c r="C25" s="733"/>
      <c r="D25" s="733"/>
      <c r="E25" s="734"/>
      <c r="F25" s="379">
        <f>8.97*X2</f>
        <v>9723.4800000000014</v>
      </c>
      <c r="G25" s="287">
        <f t="shared" si="26"/>
        <v>9723.4800000000014</v>
      </c>
      <c r="H25" s="326"/>
      <c r="I25" s="287"/>
      <c r="J25" s="670"/>
      <c r="K25" s="287"/>
      <c r="L25" s="670">
        <f>F25+210</f>
        <v>9933.4800000000014</v>
      </c>
      <c r="M25" s="287">
        <f t="shared" ref="M25" si="35">+L25*$X$1</f>
        <v>9933.4800000000014</v>
      </c>
      <c r="N25" s="670">
        <f>F25+180</f>
        <v>9903.4800000000014</v>
      </c>
      <c r="O25" s="287">
        <f t="shared" ref="O25" si="36">+N25*$X$1</f>
        <v>9903.4800000000014</v>
      </c>
      <c r="P25" s="670">
        <f>F25+140</f>
        <v>9863.4800000000014</v>
      </c>
      <c r="Q25" s="287">
        <f t="shared" ref="Q25" si="37">+P25*$X$1</f>
        <v>9863.4800000000014</v>
      </c>
      <c r="R25" s="670">
        <f>F25+110</f>
        <v>9833.4800000000014</v>
      </c>
      <c r="S25" s="287">
        <f t="shared" ref="S25" si="38">+R25*$X$1</f>
        <v>9833.4800000000014</v>
      </c>
      <c r="T25" s="670">
        <f>F25+90</f>
        <v>9813.4800000000014</v>
      </c>
      <c r="U25" s="287">
        <f t="shared" ref="U25" si="39">+T25*$X$1</f>
        <v>9813.4800000000014</v>
      </c>
      <c r="V25" s="670"/>
      <c r="W25" s="287"/>
      <c r="X25" s="688"/>
      <c r="Y25" s="822"/>
      <c r="Z25" s="822"/>
      <c r="AA25" s="776"/>
      <c r="AB25" s="404">
        <v>39</v>
      </c>
      <c r="AE25" s="72"/>
      <c r="AF25" s="851" t="s">
        <v>750</v>
      </c>
      <c r="AG25" s="851"/>
      <c r="AH25" s="851"/>
      <c r="AI25" s="852"/>
      <c r="AJ25" s="852"/>
    </row>
    <row r="26" spans="1:37" ht="12.6" customHeight="1" x14ac:dyDescent="0.2">
      <c r="A26" s="18"/>
      <c r="B26" s="868" t="s">
        <v>38</v>
      </c>
      <c r="C26" s="869"/>
      <c r="D26" s="869"/>
      <c r="E26" s="870"/>
      <c r="F26" s="290"/>
      <c r="G26" s="288"/>
      <c r="H26" s="280"/>
      <c r="I26" s="343"/>
      <c r="J26" s="120"/>
      <c r="K26" s="288"/>
      <c r="L26" s="458"/>
      <c r="M26" s="288"/>
      <c r="N26" s="458"/>
      <c r="O26" s="288"/>
      <c r="P26" s="282"/>
      <c r="Q26" s="288"/>
      <c r="R26" s="458"/>
      <c r="S26" s="288"/>
      <c r="T26" s="458"/>
      <c r="U26" s="288"/>
      <c r="V26" s="458"/>
      <c r="W26" s="288"/>
      <c r="X26" s="130"/>
      <c r="Y26" s="131"/>
      <c r="Z26" s="131"/>
      <c r="AA26" s="131"/>
      <c r="AB26" s="404" t="s">
        <v>39</v>
      </c>
      <c r="AE26" s="72"/>
      <c r="AF26" s="851" t="s">
        <v>40</v>
      </c>
      <c r="AG26" s="851"/>
      <c r="AH26" s="851"/>
      <c r="AI26" s="851"/>
      <c r="AJ26" s="73"/>
    </row>
    <row r="27" spans="1:37" ht="12.6" customHeight="1" x14ac:dyDescent="0.2">
      <c r="A27" s="18"/>
      <c r="B27" s="736" t="s">
        <v>41</v>
      </c>
      <c r="C27" s="678"/>
      <c r="D27" s="678"/>
      <c r="E27" s="678"/>
      <c r="F27" s="379"/>
      <c r="G27" s="287"/>
      <c r="H27" s="281"/>
      <c r="I27" s="342"/>
      <c r="J27" s="670"/>
      <c r="K27" s="287"/>
      <c r="L27" s="670">
        <f>8.2*X2</f>
        <v>8888.7999999999993</v>
      </c>
      <c r="M27" s="287">
        <f t="shared" ref="M27:M29" si="40">+L27*$X$1</f>
        <v>8888.7999999999993</v>
      </c>
      <c r="N27" s="670">
        <f>8*X2</f>
        <v>8672</v>
      </c>
      <c r="O27" s="287">
        <f t="shared" ref="O27:O29" si="41">+N27*$X$1</f>
        <v>8672</v>
      </c>
      <c r="P27" s="320">
        <f>7.9*X2</f>
        <v>8563.6</v>
      </c>
      <c r="Q27" s="287">
        <f t="shared" ref="Q27:Q29" si="42">+P27*$X$1</f>
        <v>8563.6</v>
      </c>
      <c r="R27" s="670">
        <f>7.8*X2</f>
        <v>8455.1999999999989</v>
      </c>
      <c r="S27" s="287">
        <f t="shared" ref="S27:S29" si="43">+R27*$X$1</f>
        <v>8455.1999999999989</v>
      </c>
      <c r="T27" s="670">
        <f>7.7*X2</f>
        <v>8346.8000000000011</v>
      </c>
      <c r="U27" s="287">
        <f t="shared" ref="U27:U29" si="44">+T27*$X$1</f>
        <v>8346.8000000000011</v>
      </c>
      <c r="V27" s="670"/>
      <c r="W27" s="287"/>
      <c r="X27" s="814"/>
      <c r="Y27" s="822"/>
      <c r="Z27" s="822"/>
      <c r="AA27" s="776"/>
      <c r="AB27" s="404">
        <v>40</v>
      </c>
      <c r="AE27" s="72"/>
      <c r="AF27" s="851" t="s">
        <v>42</v>
      </c>
      <c r="AG27" s="851"/>
      <c r="AH27" s="851"/>
      <c r="AI27" s="851"/>
      <c r="AJ27" s="852"/>
    </row>
    <row r="28" spans="1:37" ht="12.6" customHeight="1" x14ac:dyDescent="0.2">
      <c r="A28" s="18"/>
      <c r="B28" s="756" t="s">
        <v>358</v>
      </c>
      <c r="C28" s="740"/>
      <c r="D28" s="740"/>
      <c r="E28" s="741"/>
      <c r="F28" s="383">
        <f>10.35*X2</f>
        <v>11219.4</v>
      </c>
      <c r="G28" s="288">
        <f>+F28*$X$1</f>
        <v>11219.4</v>
      </c>
      <c r="H28" s="280"/>
      <c r="I28" s="343"/>
      <c r="J28" s="458"/>
      <c r="K28" s="288"/>
      <c r="L28" s="458">
        <f>F28+210</f>
        <v>11429.4</v>
      </c>
      <c r="M28" s="288">
        <f t="shared" si="40"/>
        <v>11429.4</v>
      </c>
      <c r="N28" s="458">
        <f>F28+180</f>
        <v>11399.4</v>
      </c>
      <c r="O28" s="288">
        <f t="shared" si="41"/>
        <v>11399.4</v>
      </c>
      <c r="P28" s="458">
        <f>F28+140</f>
        <v>11359.4</v>
      </c>
      <c r="Q28" s="288">
        <f t="shared" si="42"/>
        <v>11359.4</v>
      </c>
      <c r="R28" s="458">
        <f>F28+110</f>
        <v>11329.4</v>
      </c>
      <c r="S28" s="288">
        <f t="shared" si="43"/>
        <v>11329.4</v>
      </c>
      <c r="T28" s="458">
        <f>F28+90</f>
        <v>11309.4</v>
      </c>
      <c r="U28" s="288">
        <f t="shared" si="44"/>
        <v>11309.4</v>
      </c>
      <c r="V28" s="458"/>
      <c r="W28" s="288"/>
      <c r="X28" s="212"/>
      <c r="Y28" s="162"/>
      <c r="Z28" s="162"/>
      <c r="AA28" s="163"/>
      <c r="AB28" s="404">
        <v>44</v>
      </c>
      <c r="AE28" s="72"/>
      <c r="AF28" s="851" t="s">
        <v>415</v>
      </c>
      <c r="AG28" s="851"/>
      <c r="AH28" s="851"/>
      <c r="AI28" s="852"/>
      <c r="AJ28" s="852"/>
      <c r="AK28" s="65"/>
    </row>
    <row r="29" spans="1:37" ht="12.6" customHeight="1" x14ac:dyDescent="0.2">
      <c r="A29" s="18"/>
      <c r="B29" s="866" t="s">
        <v>671</v>
      </c>
      <c r="C29" s="807"/>
      <c r="D29" s="807"/>
      <c r="E29" s="807"/>
      <c r="F29" s="379">
        <f>0.51*X2</f>
        <v>552.84</v>
      </c>
      <c r="G29" s="287">
        <f>+F29*$X$1</f>
        <v>552.84</v>
      </c>
      <c r="H29" s="281"/>
      <c r="I29" s="342"/>
      <c r="J29" s="71"/>
      <c r="K29" s="287"/>
      <c r="L29" s="670">
        <f>F29+150</f>
        <v>702.84</v>
      </c>
      <c r="M29" s="287">
        <f t="shared" si="40"/>
        <v>702.84</v>
      </c>
      <c r="N29" s="670">
        <f>F29+110</f>
        <v>662.84</v>
      </c>
      <c r="O29" s="287">
        <f t="shared" si="41"/>
        <v>662.84</v>
      </c>
      <c r="P29" s="670">
        <f>F29+100</f>
        <v>652.84</v>
      </c>
      <c r="Q29" s="287">
        <f t="shared" si="42"/>
        <v>652.84</v>
      </c>
      <c r="R29" s="670">
        <f>F29+80</f>
        <v>632.84</v>
      </c>
      <c r="S29" s="287">
        <f t="shared" si="43"/>
        <v>632.84</v>
      </c>
      <c r="T29" s="670">
        <f>F29+65</f>
        <v>617.84</v>
      </c>
      <c r="U29" s="287">
        <f t="shared" si="44"/>
        <v>617.84</v>
      </c>
      <c r="V29" s="670">
        <f>F29+56</f>
        <v>608.84</v>
      </c>
      <c r="W29" s="287">
        <f t="shared" ref="W29" si="45">+V29*$X$1</f>
        <v>608.84</v>
      </c>
      <c r="X29" s="131"/>
      <c r="Y29" s="131"/>
      <c r="Z29" s="131"/>
      <c r="AA29" s="131"/>
      <c r="AB29" s="404">
        <v>45</v>
      </c>
      <c r="AF29" s="851" t="s">
        <v>749</v>
      </c>
      <c r="AG29" s="851"/>
      <c r="AH29" s="851"/>
      <c r="AI29" s="851"/>
      <c r="AJ29" s="851"/>
    </row>
    <row r="30" spans="1:37" ht="12.6" customHeight="1" x14ac:dyDescent="0.2">
      <c r="A30" s="18"/>
      <c r="B30" s="748" t="s">
        <v>43</v>
      </c>
      <c r="C30" s="693"/>
      <c r="D30" s="693"/>
      <c r="E30" s="693"/>
      <c r="F30" s="288">
        <v>616</v>
      </c>
      <c r="G30" s="311">
        <f t="shared" ref="G30:G38" si="46">+F30*$X$1</f>
        <v>616</v>
      </c>
      <c r="H30" s="854" t="s">
        <v>44</v>
      </c>
      <c r="I30" s="854"/>
      <c r="J30" s="855"/>
      <c r="K30" s="856"/>
      <c r="L30" s="280"/>
      <c r="M30" s="343"/>
      <c r="N30" s="90">
        <v>1852</v>
      </c>
      <c r="O30" s="311">
        <f t="shared" ref="O30:O41" si="47">+N30*$X$1</f>
        <v>1852</v>
      </c>
      <c r="P30" s="282">
        <v>1706</v>
      </c>
      <c r="Q30" s="633">
        <f t="shared" ref="Q30:S54" si="48">+P30*$X$1</f>
        <v>1706</v>
      </c>
      <c r="R30" s="102">
        <v>1577</v>
      </c>
      <c r="S30" s="305">
        <f t="shared" si="48"/>
        <v>1577</v>
      </c>
      <c r="T30" s="458">
        <v>1456</v>
      </c>
      <c r="U30" s="305">
        <f t="shared" ref="U30:U47" si="49">+T30*$X$1</f>
        <v>1456</v>
      </c>
      <c r="V30" s="458">
        <v>1407</v>
      </c>
      <c r="W30" s="288">
        <f t="shared" ref="W30:W47" si="50">+V30*$X$1</f>
        <v>1407</v>
      </c>
      <c r="X30" s="688"/>
      <c r="Y30" s="822"/>
      <c r="Z30" s="822"/>
      <c r="AA30" s="776"/>
      <c r="AB30" s="404" t="s">
        <v>45</v>
      </c>
      <c r="AE30" s="72"/>
    </row>
    <row r="31" spans="1:37" ht="12.6" customHeight="1" x14ac:dyDescent="0.2">
      <c r="A31" s="18"/>
      <c r="B31" s="736" t="s">
        <v>46</v>
      </c>
      <c r="C31" s="678"/>
      <c r="D31" s="678"/>
      <c r="E31" s="678"/>
      <c r="F31" s="287">
        <v>616</v>
      </c>
      <c r="G31" s="312">
        <f t="shared" si="46"/>
        <v>616</v>
      </c>
      <c r="H31" s="826" t="s">
        <v>44</v>
      </c>
      <c r="I31" s="826"/>
      <c r="J31" s="827"/>
      <c r="K31" s="828"/>
      <c r="L31" s="281"/>
      <c r="M31" s="342"/>
      <c r="N31" s="86">
        <v>1852</v>
      </c>
      <c r="O31" s="312">
        <f t="shared" ref="O31:O34" si="51">+N31*$X$1</f>
        <v>1852</v>
      </c>
      <c r="P31" s="320">
        <v>1706</v>
      </c>
      <c r="Q31" s="634">
        <f t="shared" ref="Q31:Q34" si="52">+P31*$X$1</f>
        <v>1706</v>
      </c>
      <c r="R31" s="103">
        <v>1577</v>
      </c>
      <c r="S31" s="255">
        <f t="shared" ref="S31:S34" si="53">+R31*$X$1</f>
        <v>1577</v>
      </c>
      <c r="T31" s="603">
        <v>1456</v>
      </c>
      <c r="U31" s="255">
        <f t="shared" ref="U31:U34" si="54">+T31*$X$1</f>
        <v>1456</v>
      </c>
      <c r="V31" s="603">
        <v>1407</v>
      </c>
      <c r="W31" s="287">
        <f t="shared" ref="W31:W34" si="55">+V31*$X$1</f>
        <v>1407</v>
      </c>
      <c r="X31" s="688"/>
      <c r="Y31" s="822"/>
      <c r="Z31" s="822"/>
      <c r="AA31" s="776"/>
      <c r="AB31" s="404" t="s">
        <v>47</v>
      </c>
    </row>
    <row r="32" spans="1:37" ht="12.6" customHeight="1" x14ac:dyDescent="0.2">
      <c r="A32" s="18"/>
      <c r="B32" s="748" t="s">
        <v>48</v>
      </c>
      <c r="C32" s="693"/>
      <c r="D32" s="693"/>
      <c r="E32" s="693"/>
      <c r="F32" s="288">
        <v>616</v>
      </c>
      <c r="G32" s="311">
        <f t="shared" si="46"/>
        <v>616</v>
      </c>
      <c r="H32" s="823" t="s">
        <v>44</v>
      </c>
      <c r="I32" s="823"/>
      <c r="J32" s="824"/>
      <c r="K32" s="825"/>
      <c r="L32" s="280"/>
      <c r="M32" s="343"/>
      <c r="N32" s="90">
        <v>1852</v>
      </c>
      <c r="O32" s="311">
        <f t="shared" si="51"/>
        <v>1852</v>
      </c>
      <c r="P32" s="282">
        <v>1706</v>
      </c>
      <c r="Q32" s="633">
        <f t="shared" si="52"/>
        <v>1706</v>
      </c>
      <c r="R32" s="102">
        <v>1577</v>
      </c>
      <c r="S32" s="305">
        <f t="shared" si="53"/>
        <v>1577</v>
      </c>
      <c r="T32" s="458">
        <v>1456</v>
      </c>
      <c r="U32" s="305">
        <f t="shared" si="54"/>
        <v>1456</v>
      </c>
      <c r="V32" s="458">
        <v>1407</v>
      </c>
      <c r="W32" s="288">
        <f t="shared" si="55"/>
        <v>1407</v>
      </c>
      <c r="X32" s="688"/>
      <c r="Y32" s="822"/>
      <c r="Z32" s="822"/>
      <c r="AA32" s="776"/>
      <c r="AB32" s="404" t="s">
        <v>49</v>
      </c>
    </row>
    <row r="33" spans="1:28" ht="12.6" customHeight="1" x14ac:dyDescent="0.2">
      <c r="A33" s="18"/>
      <c r="B33" s="736" t="s">
        <v>50</v>
      </c>
      <c r="C33" s="678"/>
      <c r="D33" s="678"/>
      <c r="E33" s="678"/>
      <c r="F33" s="287">
        <v>616</v>
      </c>
      <c r="G33" s="312">
        <f t="shared" si="46"/>
        <v>616</v>
      </c>
      <c r="H33" s="826" t="s">
        <v>44</v>
      </c>
      <c r="I33" s="826"/>
      <c r="J33" s="827"/>
      <c r="K33" s="828"/>
      <c r="L33" s="281"/>
      <c r="M33" s="342"/>
      <c r="N33" s="86">
        <v>1852</v>
      </c>
      <c r="O33" s="312">
        <f t="shared" si="51"/>
        <v>1852</v>
      </c>
      <c r="P33" s="320">
        <v>1706</v>
      </c>
      <c r="Q33" s="634">
        <f t="shared" si="52"/>
        <v>1706</v>
      </c>
      <c r="R33" s="103">
        <v>1577</v>
      </c>
      <c r="S33" s="255">
        <f t="shared" si="53"/>
        <v>1577</v>
      </c>
      <c r="T33" s="603">
        <v>1456</v>
      </c>
      <c r="U33" s="255">
        <f t="shared" si="54"/>
        <v>1456</v>
      </c>
      <c r="V33" s="603">
        <v>1407</v>
      </c>
      <c r="W33" s="287">
        <f t="shared" si="55"/>
        <v>1407</v>
      </c>
      <c r="X33" s="688"/>
      <c r="Y33" s="822"/>
      <c r="Z33" s="822"/>
      <c r="AA33" s="776"/>
      <c r="AB33" s="404" t="s">
        <v>51</v>
      </c>
    </row>
    <row r="34" spans="1:28" ht="12.6" customHeight="1" x14ac:dyDescent="0.2">
      <c r="A34" s="18"/>
      <c r="B34" s="748" t="s">
        <v>52</v>
      </c>
      <c r="C34" s="693"/>
      <c r="D34" s="693"/>
      <c r="E34" s="693"/>
      <c r="F34" s="288">
        <v>616</v>
      </c>
      <c r="G34" s="311">
        <f t="shared" si="46"/>
        <v>616</v>
      </c>
      <c r="H34" s="823" t="s">
        <v>44</v>
      </c>
      <c r="I34" s="823"/>
      <c r="J34" s="824"/>
      <c r="K34" s="825"/>
      <c r="L34" s="280"/>
      <c r="M34" s="343"/>
      <c r="N34" s="90">
        <v>1852</v>
      </c>
      <c r="O34" s="311">
        <f t="shared" si="51"/>
        <v>1852</v>
      </c>
      <c r="P34" s="282">
        <v>1706</v>
      </c>
      <c r="Q34" s="633">
        <f t="shared" si="52"/>
        <v>1706</v>
      </c>
      <c r="R34" s="102">
        <v>1577</v>
      </c>
      <c r="S34" s="305">
        <f t="shared" si="53"/>
        <v>1577</v>
      </c>
      <c r="T34" s="458">
        <v>1456</v>
      </c>
      <c r="U34" s="305">
        <f t="shared" si="54"/>
        <v>1456</v>
      </c>
      <c r="V34" s="458">
        <v>1407</v>
      </c>
      <c r="W34" s="288">
        <f t="shared" si="55"/>
        <v>1407</v>
      </c>
      <c r="X34" s="688"/>
      <c r="Y34" s="822"/>
      <c r="Z34" s="822"/>
      <c r="AA34" s="776"/>
      <c r="AB34" s="404" t="s">
        <v>53</v>
      </c>
    </row>
    <row r="35" spans="1:28" ht="12.6" customHeight="1" x14ac:dyDescent="0.25">
      <c r="A35" s="18"/>
      <c r="B35" s="736" t="s">
        <v>54</v>
      </c>
      <c r="C35" s="678"/>
      <c r="D35" s="678"/>
      <c r="E35" s="678"/>
      <c r="F35" s="287">
        <v>616</v>
      </c>
      <c r="G35" s="312">
        <f t="shared" si="46"/>
        <v>616</v>
      </c>
      <c r="H35" s="826" t="s">
        <v>44</v>
      </c>
      <c r="I35" s="826"/>
      <c r="J35" s="827"/>
      <c r="K35" s="828"/>
      <c r="L35" s="281"/>
      <c r="M35" s="342"/>
      <c r="N35" s="86">
        <v>1610</v>
      </c>
      <c r="O35" s="312">
        <f t="shared" si="47"/>
        <v>1610</v>
      </c>
      <c r="P35" s="320">
        <v>1476</v>
      </c>
      <c r="Q35" s="634">
        <f t="shared" si="48"/>
        <v>1476</v>
      </c>
      <c r="R35" s="603">
        <v>1351</v>
      </c>
      <c r="S35" s="255">
        <f t="shared" si="48"/>
        <v>1351</v>
      </c>
      <c r="T35" s="603">
        <v>1261</v>
      </c>
      <c r="U35" s="255">
        <f t="shared" si="49"/>
        <v>1261</v>
      </c>
      <c r="V35" s="603">
        <v>1197</v>
      </c>
      <c r="W35" s="287">
        <f t="shared" si="50"/>
        <v>1197</v>
      </c>
      <c r="X35" s="688"/>
      <c r="Y35" s="683"/>
      <c r="Z35" s="683"/>
      <c r="AA35" s="684"/>
      <c r="AB35" s="404" t="s">
        <v>454</v>
      </c>
    </row>
    <row r="36" spans="1:28" ht="12.6" customHeight="1" x14ac:dyDescent="0.2">
      <c r="A36" s="18"/>
      <c r="B36" s="748" t="s">
        <v>55</v>
      </c>
      <c r="C36" s="693"/>
      <c r="D36" s="693"/>
      <c r="E36" s="693"/>
      <c r="F36" s="288">
        <v>616</v>
      </c>
      <c r="G36" s="311">
        <f t="shared" si="46"/>
        <v>616</v>
      </c>
      <c r="H36" s="823" t="s">
        <v>44</v>
      </c>
      <c r="I36" s="823"/>
      <c r="J36" s="824"/>
      <c r="K36" s="825"/>
      <c r="L36" s="280"/>
      <c r="M36" s="343"/>
      <c r="N36" s="90">
        <v>1411</v>
      </c>
      <c r="O36" s="311">
        <f t="shared" ref="O36" si="56">+N36*$X$1</f>
        <v>1411</v>
      </c>
      <c r="P36" s="282">
        <v>1297</v>
      </c>
      <c r="Q36" s="633">
        <f t="shared" ref="Q36" si="57">+P36*$X$1</f>
        <v>1297</v>
      </c>
      <c r="R36" s="102">
        <v>1182</v>
      </c>
      <c r="S36" s="305">
        <f t="shared" ref="S36" si="58">+R36*$X$1</f>
        <v>1182</v>
      </c>
      <c r="T36" s="458">
        <v>1090</v>
      </c>
      <c r="U36" s="305">
        <f t="shared" ref="U36" si="59">+T36*$X$1</f>
        <v>1090</v>
      </c>
      <c r="V36" s="458">
        <v>976</v>
      </c>
      <c r="W36" s="288">
        <f t="shared" ref="W36" si="60">+V36*$X$1</f>
        <v>976</v>
      </c>
      <c r="X36" s="688"/>
      <c r="Y36" s="683"/>
      <c r="Z36" s="683"/>
      <c r="AA36" s="684"/>
      <c r="AB36" s="404" t="s">
        <v>452</v>
      </c>
    </row>
    <row r="37" spans="1:28" ht="12.6" customHeight="1" x14ac:dyDescent="0.25">
      <c r="A37" s="18"/>
      <c r="B37" s="736" t="s">
        <v>56</v>
      </c>
      <c r="C37" s="678"/>
      <c r="D37" s="678"/>
      <c r="E37" s="678"/>
      <c r="F37" s="287">
        <v>616</v>
      </c>
      <c r="G37" s="312">
        <f t="shared" si="46"/>
        <v>616</v>
      </c>
      <c r="H37" s="826" t="s">
        <v>44</v>
      </c>
      <c r="I37" s="826"/>
      <c r="J37" s="827"/>
      <c r="K37" s="828"/>
      <c r="L37" s="281"/>
      <c r="M37" s="342"/>
      <c r="N37" s="86">
        <v>1411</v>
      </c>
      <c r="O37" s="312">
        <f t="shared" ref="O37" si="61">+N37*$X$1</f>
        <v>1411</v>
      </c>
      <c r="P37" s="320">
        <v>1297</v>
      </c>
      <c r="Q37" s="634">
        <f t="shared" ref="Q37" si="62">+P37*$X$1</f>
        <v>1297</v>
      </c>
      <c r="R37" s="103">
        <v>1182</v>
      </c>
      <c r="S37" s="255">
        <f t="shared" ref="S37" si="63">+R37*$X$1</f>
        <v>1182</v>
      </c>
      <c r="T37" s="603">
        <v>1090</v>
      </c>
      <c r="U37" s="255">
        <f t="shared" ref="U37" si="64">+T37*$X$1</f>
        <v>1090</v>
      </c>
      <c r="V37" s="603">
        <v>976</v>
      </c>
      <c r="W37" s="287">
        <f t="shared" ref="W37" si="65">+V37*$X$1</f>
        <v>976</v>
      </c>
      <c r="X37" s="688"/>
      <c r="Y37" s="683"/>
      <c r="Z37" s="683"/>
      <c r="AA37" s="684"/>
      <c r="AB37" s="404" t="s">
        <v>455</v>
      </c>
    </row>
    <row r="38" spans="1:28" ht="12.6" customHeight="1" x14ac:dyDescent="0.25">
      <c r="A38" s="18"/>
      <c r="B38" s="748" t="s">
        <v>57</v>
      </c>
      <c r="C38" s="693"/>
      <c r="D38" s="693"/>
      <c r="E38" s="693"/>
      <c r="F38" s="288">
        <v>616</v>
      </c>
      <c r="G38" s="311">
        <f t="shared" si="46"/>
        <v>616</v>
      </c>
      <c r="H38" s="823" t="s">
        <v>44</v>
      </c>
      <c r="I38" s="823"/>
      <c r="J38" s="824"/>
      <c r="K38" s="825"/>
      <c r="L38" s="280"/>
      <c r="M38" s="343"/>
      <c r="N38" s="90">
        <v>1920</v>
      </c>
      <c r="O38" s="311">
        <f t="shared" si="47"/>
        <v>1920</v>
      </c>
      <c r="P38" s="282">
        <v>1773</v>
      </c>
      <c r="Q38" s="633">
        <f t="shared" si="48"/>
        <v>1773</v>
      </c>
      <c r="R38" s="458">
        <v>1633</v>
      </c>
      <c r="S38" s="305">
        <f t="shared" si="48"/>
        <v>1633</v>
      </c>
      <c r="T38" s="458">
        <v>1528</v>
      </c>
      <c r="U38" s="305">
        <f t="shared" si="49"/>
        <v>1528</v>
      </c>
      <c r="V38" s="458">
        <v>1463</v>
      </c>
      <c r="W38" s="288">
        <f t="shared" si="50"/>
        <v>1463</v>
      </c>
      <c r="X38" s="688"/>
      <c r="Y38" s="683"/>
      <c r="Z38" s="683"/>
      <c r="AA38" s="684"/>
      <c r="AB38" s="404" t="s">
        <v>453</v>
      </c>
    </row>
    <row r="39" spans="1:28" ht="12.6" customHeight="1" x14ac:dyDescent="0.2">
      <c r="A39" s="18"/>
      <c r="B39" s="736" t="s">
        <v>456</v>
      </c>
      <c r="C39" s="678"/>
      <c r="D39" s="678"/>
      <c r="E39" s="678"/>
      <c r="F39" s="287">
        <v>616</v>
      </c>
      <c r="G39" s="312">
        <f t="shared" ref="G39" si="66">+F39*$X$1</f>
        <v>616</v>
      </c>
      <c r="H39" s="826" t="s">
        <v>44</v>
      </c>
      <c r="I39" s="826"/>
      <c r="J39" s="827"/>
      <c r="K39" s="828"/>
      <c r="L39" s="281"/>
      <c r="M39" s="342"/>
      <c r="N39" s="86">
        <v>1890</v>
      </c>
      <c r="O39" s="312">
        <f t="shared" ref="O39:O40" si="67">+N39*$X$1</f>
        <v>1890</v>
      </c>
      <c r="P39" s="320">
        <v>1745</v>
      </c>
      <c r="Q39" s="634">
        <f t="shared" si="48"/>
        <v>1745</v>
      </c>
      <c r="R39" s="603">
        <v>1633</v>
      </c>
      <c r="S39" s="255">
        <f t="shared" si="48"/>
        <v>1633</v>
      </c>
      <c r="T39" s="603">
        <v>1528</v>
      </c>
      <c r="U39" s="255">
        <f t="shared" si="49"/>
        <v>1528</v>
      </c>
      <c r="V39" s="603">
        <v>1430</v>
      </c>
      <c r="W39" s="287">
        <f t="shared" si="50"/>
        <v>1430</v>
      </c>
      <c r="X39" s="688"/>
      <c r="Y39" s="683"/>
      <c r="Z39" s="683"/>
      <c r="AA39" s="684"/>
      <c r="AB39" s="404" t="s">
        <v>458</v>
      </c>
    </row>
    <row r="40" spans="1:28" ht="12.6" customHeight="1" x14ac:dyDescent="0.2">
      <c r="A40" s="18"/>
      <c r="B40" s="748" t="s">
        <v>457</v>
      </c>
      <c r="C40" s="693"/>
      <c r="D40" s="693"/>
      <c r="E40" s="693"/>
      <c r="F40" s="288">
        <v>616</v>
      </c>
      <c r="G40" s="311">
        <f t="shared" ref="G40" si="68">+F40*$X$1</f>
        <v>616</v>
      </c>
      <c r="H40" s="823" t="s">
        <v>44</v>
      </c>
      <c r="I40" s="823"/>
      <c r="J40" s="824"/>
      <c r="K40" s="825"/>
      <c r="L40" s="280"/>
      <c r="M40" s="343"/>
      <c r="N40" s="90">
        <v>1610</v>
      </c>
      <c r="O40" s="311">
        <f t="shared" si="67"/>
        <v>1610</v>
      </c>
      <c r="P40" s="282">
        <v>1476</v>
      </c>
      <c r="Q40" s="633">
        <f t="shared" ref="Q40" si="69">+P40*$X$1</f>
        <v>1476</v>
      </c>
      <c r="R40" s="458">
        <v>1351</v>
      </c>
      <c r="S40" s="305">
        <f t="shared" ref="S40" si="70">+R40*$X$1</f>
        <v>1351</v>
      </c>
      <c r="T40" s="458">
        <v>1261</v>
      </c>
      <c r="U40" s="305">
        <f t="shared" ref="U40" si="71">+T40*$X$1</f>
        <v>1261</v>
      </c>
      <c r="V40" s="458">
        <v>1197</v>
      </c>
      <c r="W40" s="288">
        <f t="shared" ref="W40" si="72">+V40*$X$1</f>
        <v>1197</v>
      </c>
      <c r="X40" s="688"/>
      <c r="Y40" s="683"/>
      <c r="Z40" s="683"/>
      <c r="AA40" s="684"/>
      <c r="AB40" s="404" t="s">
        <v>459</v>
      </c>
    </row>
    <row r="41" spans="1:28" ht="12.6" customHeight="1" x14ac:dyDescent="0.2">
      <c r="A41" s="18"/>
      <c r="B41" s="736" t="s">
        <v>58</v>
      </c>
      <c r="C41" s="678"/>
      <c r="D41" s="678"/>
      <c r="E41" s="678"/>
      <c r="F41" s="287">
        <v>1290</v>
      </c>
      <c r="G41" s="312">
        <f t="shared" ref="G41:G49" si="73">+F41*$X$1</f>
        <v>1290</v>
      </c>
      <c r="H41" s="863" t="s">
        <v>59</v>
      </c>
      <c r="I41" s="863"/>
      <c r="J41" s="864"/>
      <c r="K41" s="865"/>
      <c r="L41" s="281"/>
      <c r="M41" s="342"/>
      <c r="N41" s="86">
        <v>2290</v>
      </c>
      <c r="O41" s="312">
        <f t="shared" si="47"/>
        <v>2290</v>
      </c>
      <c r="P41" s="320">
        <v>2124</v>
      </c>
      <c r="Q41" s="634">
        <f t="shared" si="48"/>
        <v>2124</v>
      </c>
      <c r="R41" s="603">
        <v>1952</v>
      </c>
      <c r="S41" s="255">
        <f t="shared" si="48"/>
        <v>1952</v>
      </c>
      <c r="T41" s="603">
        <v>1819</v>
      </c>
      <c r="U41" s="255">
        <f t="shared" si="49"/>
        <v>1819</v>
      </c>
      <c r="V41" s="603">
        <v>1742</v>
      </c>
      <c r="W41" s="287">
        <f t="shared" si="50"/>
        <v>1742</v>
      </c>
      <c r="X41" s="688"/>
      <c r="Y41" s="683"/>
      <c r="Z41" s="683"/>
      <c r="AA41" s="684"/>
      <c r="AB41" s="405" t="s">
        <v>60</v>
      </c>
    </row>
    <row r="42" spans="1:28" ht="12.6" customHeight="1" x14ac:dyDescent="0.2">
      <c r="A42" s="18"/>
      <c r="B42" s="748" t="s">
        <v>61</v>
      </c>
      <c r="C42" s="693"/>
      <c r="D42" s="693"/>
      <c r="E42" s="693"/>
      <c r="F42" s="288">
        <v>1290</v>
      </c>
      <c r="G42" s="311">
        <f t="shared" si="73"/>
        <v>1290</v>
      </c>
      <c r="H42" s="950" t="s">
        <v>59</v>
      </c>
      <c r="I42" s="950"/>
      <c r="J42" s="951"/>
      <c r="K42" s="952"/>
      <c r="L42" s="280"/>
      <c r="M42" s="343"/>
      <c r="N42" s="90">
        <v>2290</v>
      </c>
      <c r="O42" s="311">
        <f t="shared" ref="O42:O43" si="74">+N42*$X$1</f>
        <v>2290</v>
      </c>
      <c r="P42" s="282">
        <v>2124</v>
      </c>
      <c r="Q42" s="633">
        <f t="shared" ref="Q42:Q43" si="75">+P42*$X$1</f>
        <v>2124</v>
      </c>
      <c r="R42" s="458">
        <v>1952</v>
      </c>
      <c r="S42" s="305">
        <f t="shared" ref="S42:S43" si="76">+R42*$X$1</f>
        <v>1952</v>
      </c>
      <c r="T42" s="458">
        <v>1819</v>
      </c>
      <c r="U42" s="305">
        <f t="shared" ref="U42:U43" si="77">+T42*$X$1</f>
        <v>1819</v>
      </c>
      <c r="V42" s="458">
        <v>1742</v>
      </c>
      <c r="W42" s="288">
        <f t="shared" ref="W42:W43" si="78">+V42*$X$1</f>
        <v>1742</v>
      </c>
      <c r="X42" s="688"/>
      <c r="Y42" s="683"/>
      <c r="Z42" s="683"/>
      <c r="AA42" s="684"/>
      <c r="AB42" s="405" t="s">
        <v>62</v>
      </c>
    </row>
    <row r="43" spans="1:28" ht="12.6" customHeight="1" x14ac:dyDescent="0.2">
      <c r="A43" s="18"/>
      <c r="B43" s="736" t="s">
        <v>63</v>
      </c>
      <c r="C43" s="678"/>
      <c r="D43" s="678"/>
      <c r="E43" s="678"/>
      <c r="F43" s="287">
        <v>1290</v>
      </c>
      <c r="G43" s="312">
        <f t="shared" si="73"/>
        <v>1290</v>
      </c>
      <c r="H43" s="826" t="s">
        <v>59</v>
      </c>
      <c r="I43" s="826"/>
      <c r="J43" s="827"/>
      <c r="K43" s="828"/>
      <c r="L43" s="281"/>
      <c r="M43" s="342"/>
      <c r="N43" s="86">
        <v>2290</v>
      </c>
      <c r="O43" s="312">
        <f t="shared" si="74"/>
        <v>2290</v>
      </c>
      <c r="P43" s="320">
        <v>2124</v>
      </c>
      <c r="Q43" s="634">
        <f t="shared" si="75"/>
        <v>2124</v>
      </c>
      <c r="R43" s="603">
        <v>1952</v>
      </c>
      <c r="S43" s="255">
        <f t="shared" si="76"/>
        <v>1952</v>
      </c>
      <c r="T43" s="603">
        <v>1819</v>
      </c>
      <c r="U43" s="255">
        <f t="shared" si="77"/>
        <v>1819</v>
      </c>
      <c r="V43" s="603">
        <v>1742</v>
      </c>
      <c r="W43" s="287">
        <f t="shared" si="78"/>
        <v>1742</v>
      </c>
      <c r="X43" s="688"/>
      <c r="Y43" s="683"/>
      <c r="Z43" s="683"/>
      <c r="AA43" s="684"/>
      <c r="AB43" s="405" t="s">
        <v>64</v>
      </c>
    </row>
    <row r="44" spans="1:28" ht="12.6" customHeight="1" x14ac:dyDescent="0.2">
      <c r="A44" s="18"/>
      <c r="B44" s="748" t="s">
        <v>545</v>
      </c>
      <c r="C44" s="693"/>
      <c r="D44" s="693"/>
      <c r="E44" s="693"/>
      <c r="F44" s="288">
        <v>1386</v>
      </c>
      <c r="G44" s="311">
        <f t="shared" ref="G44" si="79">+F44*$X$1</f>
        <v>1386</v>
      </c>
      <c r="H44" s="854" t="s">
        <v>59</v>
      </c>
      <c r="I44" s="854"/>
      <c r="J44" s="855"/>
      <c r="K44" s="856"/>
      <c r="L44" s="280"/>
      <c r="M44" s="343"/>
      <c r="N44" s="90">
        <v>2425</v>
      </c>
      <c r="O44" s="311">
        <f t="shared" ref="O44" si="80">+N44*$X$1</f>
        <v>2425</v>
      </c>
      <c r="P44" s="282">
        <v>2260</v>
      </c>
      <c r="Q44" s="633">
        <f t="shared" ref="Q44" si="81">+P44*$X$1</f>
        <v>2260</v>
      </c>
      <c r="R44" s="458">
        <v>2060</v>
      </c>
      <c r="S44" s="305">
        <f t="shared" ref="S44" si="82">+R44*$X$1</f>
        <v>2060</v>
      </c>
      <c r="T44" s="458">
        <v>1935</v>
      </c>
      <c r="U44" s="305">
        <f t="shared" ref="U44" si="83">+T44*$X$1</f>
        <v>1935</v>
      </c>
      <c r="V44" s="458">
        <v>1843</v>
      </c>
      <c r="W44" s="288">
        <f t="shared" ref="W44" si="84">+V44*$X$1</f>
        <v>1843</v>
      </c>
      <c r="X44" s="688"/>
      <c r="Y44" s="683"/>
      <c r="Z44" s="683"/>
      <c r="AA44" s="684"/>
      <c r="AB44" s="406" t="s">
        <v>555</v>
      </c>
    </row>
    <row r="45" spans="1:28" ht="12.6" customHeight="1" x14ac:dyDescent="0.2">
      <c r="A45" s="18"/>
      <c r="B45" s="736" t="s">
        <v>546</v>
      </c>
      <c r="C45" s="678"/>
      <c r="D45" s="678"/>
      <c r="E45" s="678"/>
      <c r="F45" s="287">
        <v>1386</v>
      </c>
      <c r="G45" s="312">
        <f t="shared" ref="G45" si="85">+F45*$X$1</f>
        <v>1386</v>
      </c>
      <c r="H45" s="863" t="s">
        <v>59</v>
      </c>
      <c r="I45" s="863"/>
      <c r="J45" s="864"/>
      <c r="K45" s="865"/>
      <c r="L45" s="281"/>
      <c r="M45" s="342"/>
      <c r="N45" s="86">
        <v>2425</v>
      </c>
      <c r="O45" s="312">
        <f t="shared" ref="O45:O46" si="86">+N45*$X$1</f>
        <v>2425</v>
      </c>
      <c r="P45" s="320">
        <v>2260</v>
      </c>
      <c r="Q45" s="634">
        <f t="shared" ref="Q45:Q46" si="87">+P45*$X$1</f>
        <v>2260</v>
      </c>
      <c r="R45" s="603">
        <v>2060</v>
      </c>
      <c r="S45" s="255">
        <f t="shared" ref="S45:S46" si="88">+R45*$X$1</f>
        <v>2060</v>
      </c>
      <c r="T45" s="603">
        <v>1935</v>
      </c>
      <c r="U45" s="255">
        <f t="shared" ref="U45:U46" si="89">+T45*$X$1</f>
        <v>1935</v>
      </c>
      <c r="V45" s="603">
        <v>1843</v>
      </c>
      <c r="W45" s="287">
        <f t="shared" ref="W45:W46" si="90">+V45*$X$1</f>
        <v>1843</v>
      </c>
      <c r="X45" s="688"/>
      <c r="Y45" s="683"/>
      <c r="Z45" s="683"/>
      <c r="AA45" s="684"/>
      <c r="AB45" s="406" t="s">
        <v>556</v>
      </c>
    </row>
    <row r="46" spans="1:28" ht="12.6" customHeight="1" x14ac:dyDescent="0.2">
      <c r="A46" s="18"/>
      <c r="B46" s="748" t="s">
        <v>547</v>
      </c>
      <c r="C46" s="693"/>
      <c r="D46" s="693"/>
      <c r="E46" s="693"/>
      <c r="F46" s="288">
        <v>1386</v>
      </c>
      <c r="G46" s="311">
        <f t="shared" ref="G46" si="91">+F46*$X$1</f>
        <v>1386</v>
      </c>
      <c r="H46" s="854" t="s">
        <v>59</v>
      </c>
      <c r="I46" s="854"/>
      <c r="J46" s="855"/>
      <c r="K46" s="856"/>
      <c r="L46" s="280"/>
      <c r="M46" s="343"/>
      <c r="N46" s="90">
        <v>2425</v>
      </c>
      <c r="O46" s="311">
        <f t="shared" si="86"/>
        <v>2425</v>
      </c>
      <c r="P46" s="282">
        <v>2260</v>
      </c>
      <c r="Q46" s="633">
        <f t="shared" si="87"/>
        <v>2260</v>
      </c>
      <c r="R46" s="458">
        <v>2060</v>
      </c>
      <c r="S46" s="305">
        <f t="shared" si="88"/>
        <v>2060</v>
      </c>
      <c r="T46" s="458">
        <v>1935</v>
      </c>
      <c r="U46" s="305">
        <f t="shared" si="89"/>
        <v>1935</v>
      </c>
      <c r="V46" s="458">
        <v>1843</v>
      </c>
      <c r="W46" s="288">
        <f t="shared" si="90"/>
        <v>1843</v>
      </c>
      <c r="X46" s="688"/>
      <c r="Y46" s="683"/>
      <c r="Z46" s="683"/>
      <c r="AA46" s="684"/>
      <c r="AB46" s="406" t="s">
        <v>557</v>
      </c>
    </row>
    <row r="47" spans="1:28" ht="12.6" customHeight="1" x14ac:dyDescent="0.2">
      <c r="A47" s="18"/>
      <c r="B47" s="736" t="s">
        <v>65</v>
      </c>
      <c r="C47" s="678"/>
      <c r="D47" s="678"/>
      <c r="E47" s="678"/>
      <c r="F47" s="287">
        <v>1737</v>
      </c>
      <c r="G47" s="312">
        <f t="shared" si="73"/>
        <v>1737</v>
      </c>
      <c r="H47" s="826" t="s">
        <v>59</v>
      </c>
      <c r="I47" s="826"/>
      <c r="J47" s="827"/>
      <c r="K47" s="828"/>
      <c r="L47" s="281"/>
      <c r="M47" s="342"/>
      <c r="N47" s="71">
        <v>3190</v>
      </c>
      <c r="O47" s="307">
        <f t="shared" ref="O47" si="92">+N47*$X$1</f>
        <v>3190</v>
      </c>
      <c r="P47" s="320">
        <v>2950</v>
      </c>
      <c r="Q47" s="322">
        <f t="shared" si="48"/>
        <v>2950</v>
      </c>
      <c r="R47" s="603">
        <v>2717</v>
      </c>
      <c r="S47" s="287">
        <f t="shared" si="48"/>
        <v>2717</v>
      </c>
      <c r="T47" s="603">
        <v>2526</v>
      </c>
      <c r="U47" s="287">
        <f t="shared" si="49"/>
        <v>2526</v>
      </c>
      <c r="V47" s="603">
        <v>2435</v>
      </c>
      <c r="W47" s="287">
        <f t="shared" si="50"/>
        <v>2435</v>
      </c>
      <c r="X47" s="688"/>
      <c r="Y47" s="683"/>
      <c r="Z47" s="683"/>
      <c r="AA47" s="684"/>
      <c r="AB47" s="406" t="s">
        <v>66</v>
      </c>
    </row>
    <row r="48" spans="1:28" ht="12.6" customHeight="1" x14ac:dyDescent="0.2">
      <c r="A48" s="18"/>
      <c r="B48" s="748" t="s">
        <v>67</v>
      </c>
      <c r="C48" s="693"/>
      <c r="D48" s="693"/>
      <c r="E48" s="693"/>
      <c r="F48" s="288">
        <v>1737</v>
      </c>
      <c r="G48" s="311">
        <f t="shared" si="73"/>
        <v>1737</v>
      </c>
      <c r="H48" s="854" t="s">
        <v>59</v>
      </c>
      <c r="I48" s="854"/>
      <c r="J48" s="855"/>
      <c r="K48" s="856"/>
      <c r="L48" s="280"/>
      <c r="M48" s="343"/>
      <c r="N48" s="89">
        <v>3190</v>
      </c>
      <c r="O48" s="339">
        <f t="shared" ref="O48:O49" si="93">+N48*$X$1</f>
        <v>3190</v>
      </c>
      <c r="P48" s="282">
        <v>2950</v>
      </c>
      <c r="Q48" s="321">
        <f t="shared" ref="Q48:Q49" si="94">+P48*$X$1</f>
        <v>2950</v>
      </c>
      <c r="R48" s="458">
        <v>2717</v>
      </c>
      <c r="S48" s="288">
        <f t="shared" ref="S48:S49" si="95">+R48*$X$1</f>
        <v>2717</v>
      </c>
      <c r="T48" s="458">
        <v>2526</v>
      </c>
      <c r="U48" s="288">
        <f t="shared" ref="U48:U49" si="96">+T48*$X$1</f>
        <v>2526</v>
      </c>
      <c r="V48" s="458">
        <v>2435</v>
      </c>
      <c r="W48" s="288">
        <f t="shared" ref="W48:W49" si="97">+V48*$X$1</f>
        <v>2435</v>
      </c>
      <c r="X48" s="688"/>
      <c r="Y48" s="683"/>
      <c r="Z48" s="683"/>
      <c r="AA48" s="684"/>
      <c r="AB48" s="406" t="s">
        <v>68</v>
      </c>
    </row>
    <row r="49" spans="1:35" ht="12.6" customHeight="1" x14ac:dyDescent="0.2">
      <c r="A49" s="18"/>
      <c r="B49" s="736" t="s">
        <v>69</v>
      </c>
      <c r="C49" s="678"/>
      <c r="D49" s="678"/>
      <c r="E49" s="678"/>
      <c r="F49" s="287">
        <v>1737</v>
      </c>
      <c r="G49" s="338">
        <f t="shared" si="73"/>
        <v>1737</v>
      </c>
      <c r="H49" s="826" t="s">
        <v>59</v>
      </c>
      <c r="I49" s="826"/>
      <c r="J49" s="827"/>
      <c r="K49" s="831"/>
      <c r="L49" s="281"/>
      <c r="M49" s="342"/>
      <c r="N49" s="71">
        <v>3190</v>
      </c>
      <c r="O49" s="307">
        <f t="shared" si="93"/>
        <v>3190</v>
      </c>
      <c r="P49" s="320">
        <v>2950</v>
      </c>
      <c r="Q49" s="322">
        <f t="shared" si="94"/>
        <v>2950</v>
      </c>
      <c r="R49" s="603">
        <v>2717</v>
      </c>
      <c r="S49" s="287">
        <f t="shared" si="95"/>
        <v>2717</v>
      </c>
      <c r="T49" s="603">
        <v>2526</v>
      </c>
      <c r="U49" s="287">
        <f t="shared" si="96"/>
        <v>2526</v>
      </c>
      <c r="V49" s="603">
        <v>2435</v>
      </c>
      <c r="W49" s="287">
        <f t="shared" si="97"/>
        <v>2435</v>
      </c>
      <c r="X49" s="688"/>
      <c r="Y49" s="683"/>
      <c r="Z49" s="683"/>
      <c r="AA49" s="684"/>
      <c r="AB49" s="406" t="s">
        <v>70</v>
      </c>
    </row>
    <row r="50" spans="1:35" ht="12.6" customHeight="1" x14ac:dyDescent="0.2">
      <c r="A50" s="18"/>
      <c r="B50" s="748" t="s">
        <v>71</v>
      </c>
      <c r="C50" s="693"/>
      <c r="D50" s="693"/>
      <c r="E50" s="829"/>
      <c r="F50" s="857" t="s">
        <v>412</v>
      </c>
      <c r="G50" s="827"/>
      <c r="H50" s="827"/>
      <c r="I50" s="827"/>
      <c r="J50" s="260"/>
      <c r="K50" s="385"/>
      <c r="L50" s="386"/>
      <c r="M50" s="288"/>
      <c r="N50" s="387"/>
      <c r="O50" s="311"/>
      <c r="P50" s="280"/>
      <c r="Q50" s="321"/>
      <c r="R50" s="102"/>
      <c r="S50" s="305"/>
      <c r="T50" s="102"/>
      <c r="U50" s="305"/>
      <c r="V50" s="102"/>
      <c r="W50" s="288"/>
      <c r="X50" s="131"/>
      <c r="Y50" s="131"/>
      <c r="Z50" s="131"/>
      <c r="AA50" s="131"/>
      <c r="AB50" s="404" t="s">
        <v>72</v>
      </c>
    </row>
    <row r="51" spans="1:35" ht="12.6" customHeight="1" x14ac:dyDescent="0.2">
      <c r="A51" s="18"/>
      <c r="B51" s="736" t="s">
        <v>73</v>
      </c>
      <c r="C51" s="678"/>
      <c r="D51" s="678"/>
      <c r="E51" s="830"/>
      <c r="F51" s="827"/>
      <c r="G51" s="827"/>
      <c r="H51" s="827"/>
      <c r="I51" s="827"/>
      <c r="J51" s="17"/>
      <c r="K51" s="285"/>
      <c r="L51" s="261"/>
      <c r="M51" s="287"/>
      <c r="N51" s="211"/>
      <c r="O51" s="312"/>
      <c r="P51" s="285"/>
      <c r="Q51" s="322"/>
      <c r="R51" s="316"/>
      <c r="S51" s="255"/>
      <c r="T51" s="316"/>
      <c r="U51" s="255"/>
      <c r="V51" s="316"/>
      <c r="W51" s="287"/>
      <c r="X51" s="131"/>
      <c r="Y51" s="131"/>
      <c r="Z51" s="131"/>
      <c r="AA51" s="131"/>
      <c r="AB51" s="404" t="s">
        <v>74</v>
      </c>
    </row>
    <row r="52" spans="1:35" ht="12.6" customHeight="1" x14ac:dyDescent="0.2">
      <c r="A52" s="18"/>
      <c r="B52" s="748" t="s">
        <v>431</v>
      </c>
      <c r="C52" s="693"/>
      <c r="D52" s="693"/>
      <c r="E52" s="829"/>
      <c r="F52" s="827"/>
      <c r="G52" s="827"/>
      <c r="H52" s="827"/>
      <c r="I52" s="827"/>
      <c r="J52" s="260"/>
      <c r="K52" s="280"/>
      <c r="L52" s="300"/>
      <c r="M52" s="288"/>
      <c r="N52" s="301"/>
      <c r="O52" s="352"/>
      <c r="P52" s="280"/>
      <c r="Q52" s="321"/>
      <c r="R52" s="95"/>
      <c r="S52" s="347"/>
      <c r="T52" s="95"/>
      <c r="U52" s="347"/>
      <c r="V52" s="95"/>
      <c r="W52" s="288"/>
      <c r="X52" s="131"/>
      <c r="Y52" s="131"/>
      <c r="Z52" s="131"/>
      <c r="AA52" s="131"/>
      <c r="AB52" s="36">
        <v>48</v>
      </c>
      <c r="AC52" s="407" t="s">
        <v>75</v>
      </c>
      <c r="AD52" s="407" t="s">
        <v>76</v>
      </c>
      <c r="AE52" s="407" t="s">
        <v>77</v>
      </c>
    </row>
    <row r="53" spans="1:35" ht="12.6" customHeight="1" x14ac:dyDescent="0.2">
      <c r="A53" s="18"/>
      <c r="B53" s="860" t="s">
        <v>78</v>
      </c>
      <c r="C53" s="861"/>
      <c r="D53" s="861"/>
      <c r="E53" s="861"/>
      <c r="F53" s="827"/>
      <c r="G53" s="827"/>
      <c r="H53" s="827"/>
      <c r="I53" s="827"/>
      <c r="J53" s="17"/>
      <c r="K53" s="17"/>
      <c r="L53" s="261"/>
      <c r="M53" s="258"/>
      <c r="N53" s="211"/>
      <c r="O53" s="234"/>
      <c r="P53" s="116"/>
      <c r="Q53" s="263"/>
      <c r="R53" s="234"/>
      <c r="S53" s="234"/>
      <c r="T53" s="234"/>
      <c r="U53" s="234"/>
      <c r="V53" s="92"/>
      <c r="W53" s="92"/>
      <c r="X53" s="164"/>
      <c r="Y53" s="164"/>
      <c r="Z53" s="164"/>
      <c r="AA53" s="164"/>
      <c r="AB53" s="192">
        <v>54</v>
      </c>
    </row>
    <row r="54" spans="1:35" ht="12.6" customHeight="1" x14ac:dyDescent="0.2">
      <c r="A54" s="18"/>
      <c r="B54" s="748" t="s">
        <v>79</v>
      </c>
      <c r="C54" s="693"/>
      <c r="D54" s="693"/>
      <c r="E54" s="693"/>
      <c r="F54" s="288">
        <v>1096</v>
      </c>
      <c r="G54" s="305">
        <f t="shared" ref="G54:G57" si="98">+F54*$X$1</f>
        <v>1096</v>
      </c>
      <c r="H54" s="123"/>
      <c r="I54" s="288"/>
      <c r="J54" s="458">
        <f>F54+240</f>
        <v>1336</v>
      </c>
      <c r="K54" s="288">
        <f t="shared" ref="K54" si="99">+J54*$X$1</f>
        <v>1336</v>
      </c>
      <c r="L54" s="458">
        <f>F54+160</f>
        <v>1256</v>
      </c>
      <c r="M54" s="288">
        <f t="shared" ref="M54" si="100">+L54*$X$1</f>
        <v>1256</v>
      </c>
      <c r="N54" s="102">
        <f>F54+120</f>
        <v>1216</v>
      </c>
      <c r="O54" s="305">
        <f t="shared" ref="O54" si="101">+N54*$X$1</f>
        <v>1216</v>
      </c>
      <c r="P54" s="102">
        <f>F54+100</f>
        <v>1196</v>
      </c>
      <c r="Q54" s="288">
        <f t="shared" si="48"/>
        <v>1196</v>
      </c>
      <c r="R54" s="102">
        <f>F54+86</f>
        <v>1182</v>
      </c>
      <c r="S54" s="305">
        <f t="shared" ref="S54" si="102">+R54*$X$1</f>
        <v>1182</v>
      </c>
      <c r="T54" s="102">
        <f>F54+79</f>
        <v>1175</v>
      </c>
      <c r="U54" s="305">
        <f t="shared" ref="U54" si="103">+T54*$X$1</f>
        <v>1175</v>
      </c>
      <c r="V54" s="102">
        <f>F54+72</f>
        <v>1168</v>
      </c>
      <c r="W54" s="288">
        <f t="shared" ref="W54" si="104">+V54*$X$1</f>
        <v>1168</v>
      </c>
      <c r="X54" s="130"/>
      <c r="Y54" s="131"/>
      <c r="Z54" s="131"/>
      <c r="AA54" s="131"/>
      <c r="AB54" s="404">
        <v>60</v>
      </c>
    </row>
    <row r="55" spans="1:35" ht="12.6" customHeight="1" x14ac:dyDescent="0.2">
      <c r="A55" s="18"/>
      <c r="B55" s="736" t="s">
        <v>525</v>
      </c>
      <c r="C55" s="678"/>
      <c r="D55" s="678"/>
      <c r="E55" s="678"/>
      <c r="F55" s="287">
        <v>1216</v>
      </c>
      <c r="G55" s="255">
        <f t="shared" si="98"/>
        <v>1216</v>
      </c>
      <c r="H55" s="122"/>
      <c r="I55" s="287"/>
      <c r="J55" s="670">
        <f>F55+240</f>
        <v>1456</v>
      </c>
      <c r="K55" s="287">
        <f t="shared" ref="K55:K57" si="105">+J55*$X$1</f>
        <v>1456</v>
      </c>
      <c r="L55" s="670">
        <f>F55+160</f>
        <v>1376</v>
      </c>
      <c r="M55" s="287">
        <f t="shared" ref="M55:M57" si="106">+L55*$X$1</f>
        <v>1376</v>
      </c>
      <c r="N55" s="103">
        <f>F55+120</f>
        <v>1336</v>
      </c>
      <c r="O55" s="255">
        <f t="shared" ref="O55:O57" si="107">+N55*$X$1</f>
        <v>1336</v>
      </c>
      <c r="P55" s="103">
        <f>F55+100</f>
        <v>1316</v>
      </c>
      <c r="Q55" s="287">
        <f t="shared" ref="Q55:Q57" si="108">+P55*$X$1</f>
        <v>1316</v>
      </c>
      <c r="R55" s="103">
        <f>F55+86</f>
        <v>1302</v>
      </c>
      <c r="S55" s="255">
        <f t="shared" ref="S55:S57" si="109">+R55*$X$1</f>
        <v>1302</v>
      </c>
      <c r="T55" s="103">
        <f>F55+79</f>
        <v>1295</v>
      </c>
      <c r="U55" s="255">
        <f t="shared" ref="U55:U57" si="110">+T55*$X$1</f>
        <v>1295</v>
      </c>
      <c r="V55" s="103">
        <f>F55+72</f>
        <v>1288</v>
      </c>
      <c r="W55" s="287">
        <f t="shared" ref="W55:W57" si="111">+V55*$X$1</f>
        <v>1288</v>
      </c>
      <c r="X55" s="130"/>
      <c r="Y55" s="131"/>
      <c r="Z55" s="131"/>
      <c r="AA55" s="131"/>
      <c r="AB55" s="404">
        <v>61</v>
      </c>
    </row>
    <row r="56" spans="1:35" ht="12.6" customHeight="1" x14ac:dyDescent="0.2">
      <c r="A56" s="18"/>
      <c r="B56" s="843" t="s">
        <v>80</v>
      </c>
      <c r="C56" s="844"/>
      <c r="D56" s="844"/>
      <c r="E56" s="844"/>
      <c r="F56" s="290">
        <v>1157</v>
      </c>
      <c r="G56" s="347">
        <f t="shared" si="98"/>
        <v>1157</v>
      </c>
      <c r="H56" s="431"/>
      <c r="I56" s="288"/>
      <c r="J56" s="458">
        <f>F56+240</f>
        <v>1397</v>
      </c>
      <c r="K56" s="288">
        <f t="shared" si="105"/>
        <v>1397</v>
      </c>
      <c r="L56" s="458">
        <f>F56+160</f>
        <v>1317</v>
      </c>
      <c r="M56" s="288">
        <f t="shared" si="106"/>
        <v>1317</v>
      </c>
      <c r="N56" s="102">
        <f>F56+120</f>
        <v>1277</v>
      </c>
      <c r="O56" s="305">
        <f t="shared" si="107"/>
        <v>1277</v>
      </c>
      <c r="P56" s="102">
        <f>F56+100</f>
        <v>1257</v>
      </c>
      <c r="Q56" s="288">
        <f t="shared" si="108"/>
        <v>1257</v>
      </c>
      <c r="R56" s="102">
        <f>F56+86</f>
        <v>1243</v>
      </c>
      <c r="S56" s="305">
        <f t="shared" si="109"/>
        <v>1243</v>
      </c>
      <c r="T56" s="102">
        <f>F56+79</f>
        <v>1236</v>
      </c>
      <c r="U56" s="305">
        <f t="shared" si="110"/>
        <v>1236</v>
      </c>
      <c r="V56" s="102">
        <f>F56+72</f>
        <v>1229</v>
      </c>
      <c r="W56" s="288">
        <f t="shared" si="111"/>
        <v>1229</v>
      </c>
      <c r="X56" s="130"/>
      <c r="Y56" s="131"/>
      <c r="Z56" s="131"/>
      <c r="AA56" s="131"/>
      <c r="AB56" s="404">
        <v>62</v>
      </c>
    </row>
    <row r="57" spans="1:35" ht="12.6" customHeight="1" x14ac:dyDescent="0.2">
      <c r="A57" s="18"/>
      <c r="B57" s="736" t="s">
        <v>81</v>
      </c>
      <c r="C57" s="702"/>
      <c r="D57" s="702"/>
      <c r="E57" s="702"/>
      <c r="F57" s="287">
        <v>1277</v>
      </c>
      <c r="G57" s="287">
        <f t="shared" si="98"/>
        <v>1277</v>
      </c>
      <c r="H57" s="122"/>
      <c r="I57" s="287"/>
      <c r="J57" s="670">
        <f>F57+240</f>
        <v>1517</v>
      </c>
      <c r="K57" s="287">
        <f t="shared" si="105"/>
        <v>1517</v>
      </c>
      <c r="L57" s="670">
        <f>F57+160</f>
        <v>1437</v>
      </c>
      <c r="M57" s="287">
        <f t="shared" si="106"/>
        <v>1437</v>
      </c>
      <c r="N57" s="103">
        <f>F57+120</f>
        <v>1397</v>
      </c>
      <c r="O57" s="255">
        <f t="shared" si="107"/>
        <v>1397</v>
      </c>
      <c r="P57" s="103">
        <f>F57+100</f>
        <v>1377</v>
      </c>
      <c r="Q57" s="287">
        <f t="shared" si="108"/>
        <v>1377</v>
      </c>
      <c r="R57" s="103">
        <f>F57+86</f>
        <v>1363</v>
      </c>
      <c r="S57" s="255">
        <f t="shared" si="109"/>
        <v>1363</v>
      </c>
      <c r="T57" s="103">
        <f>F57+79</f>
        <v>1356</v>
      </c>
      <c r="U57" s="255">
        <f t="shared" si="110"/>
        <v>1356</v>
      </c>
      <c r="V57" s="103">
        <f>F57+72</f>
        <v>1349</v>
      </c>
      <c r="W57" s="287">
        <f t="shared" si="111"/>
        <v>1349</v>
      </c>
      <c r="X57" s="130"/>
      <c r="Y57" s="131"/>
      <c r="Z57" s="131"/>
      <c r="AA57" s="131"/>
      <c r="AB57" s="404">
        <v>63</v>
      </c>
      <c r="AD57" s="4"/>
      <c r="AE57" s="4"/>
      <c r="AF57" s="4"/>
      <c r="AG57" s="4"/>
      <c r="AH57" s="4"/>
      <c r="AI57" s="4"/>
    </row>
    <row r="58" spans="1:35" ht="12.6" customHeight="1" x14ac:dyDescent="0.2">
      <c r="A58" s="18"/>
      <c r="B58" s="748" t="s">
        <v>521</v>
      </c>
      <c r="C58" s="693"/>
      <c r="D58" s="693"/>
      <c r="E58" s="693"/>
      <c r="F58" s="288">
        <v>1316</v>
      </c>
      <c r="G58" s="288">
        <f t="shared" ref="G58" si="112">+F58*$X$1</f>
        <v>1316</v>
      </c>
      <c r="H58" s="123"/>
      <c r="I58" s="288"/>
      <c r="J58" s="458">
        <f>F58+360</f>
        <v>1676</v>
      </c>
      <c r="K58" s="288">
        <f t="shared" ref="K58" si="113">+J58*$X$1</f>
        <v>1676</v>
      </c>
      <c r="L58" s="458">
        <f>F58+280</f>
        <v>1596</v>
      </c>
      <c r="M58" s="288">
        <f t="shared" ref="M58:M60" si="114">+L58*$X$1</f>
        <v>1596</v>
      </c>
      <c r="N58" s="102">
        <f>F58+220</f>
        <v>1536</v>
      </c>
      <c r="O58" s="305">
        <f t="shared" ref="O58:O60" si="115">+N58*$X$1</f>
        <v>1536</v>
      </c>
      <c r="P58" s="102">
        <f>F58+190</f>
        <v>1506</v>
      </c>
      <c r="Q58" s="288">
        <f t="shared" ref="Q58:Q60" si="116">+P58*$X$1</f>
        <v>1506</v>
      </c>
      <c r="R58" s="102">
        <f>F58+170</f>
        <v>1486</v>
      </c>
      <c r="S58" s="305">
        <f t="shared" ref="S58:S60" si="117">+R58*$X$1</f>
        <v>1486</v>
      </c>
      <c r="T58" s="102">
        <f>F58+156</f>
        <v>1472</v>
      </c>
      <c r="U58" s="305">
        <f t="shared" ref="U58:U60" si="118">+T58*$X$1</f>
        <v>1472</v>
      </c>
      <c r="V58" s="102">
        <f>F58+147</f>
        <v>1463</v>
      </c>
      <c r="W58" s="288">
        <f t="shared" ref="W58:W60" si="119">+V58*$X$1</f>
        <v>1463</v>
      </c>
      <c r="X58" s="130"/>
      <c r="Y58" s="131"/>
      <c r="Z58" s="131"/>
      <c r="AA58" s="131"/>
      <c r="AB58" s="404">
        <v>64</v>
      </c>
    </row>
    <row r="59" spans="1:35" ht="12.6" customHeight="1" x14ac:dyDescent="0.2">
      <c r="A59" s="18"/>
      <c r="B59" s="862" t="s">
        <v>874</v>
      </c>
      <c r="C59" s="853"/>
      <c r="D59" s="853"/>
      <c r="E59" s="853"/>
      <c r="F59" s="543">
        <v>310</v>
      </c>
      <c r="G59" s="543">
        <f t="shared" ref="G59:G69" si="120">+F59*$X$1</f>
        <v>310</v>
      </c>
      <c r="H59" s="545"/>
      <c r="I59" s="548"/>
      <c r="J59" s="558"/>
      <c r="K59" s="543"/>
      <c r="L59" s="669">
        <f t="shared" ref="L59:L64" si="121">F59+150</f>
        <v>460</v>
      </c>
      <c r="M59" s="544">
        <f t="shared" si="114"/>
        <v>460</v>
      </c>
      <c r="N59" s="669">
        <f t="shared" ref="N59:N66" si="122">F59+110</f>
        <v>420</v>
      </c>
      <c r="O59" s="544">
        <f t="shared" si="115"/>
        <v>420</v>
      </c>
      <c r="P59" s="669">
        <f t="shared" ref="P59:P66" si="123">F59+100</f>
        <v>410</v>
      </c>
      <c r="Q59" s="544">
        <f t="shared" si="116"/>
        <v>410</v>
      </c>
      <c r="R59" s="669">
        <f t="shared" ref="R59:R66" si="124">F59+80</f>
        <v>390</v>
      </c>
      <c r="S59" s="544">
        <f t="shared" si="117"/>
        <v>390</v>
      </c>
      <c r="T59" s="669">
        <f t="shared" ref="T59:T66" si="125">F59+65</f>
        <v>375</v>
      </c>
      <c r="U59" s="544">
        <f t="shared" si="118"/>
        <v>375</v>
      </c>
      <c r="V59" s="669">
        <f t="shared" ref="V59:V66" si="126">F59+56</f>
        <v>366</v>
      </c>
      <c r="W59" s="544">
        <f t="shared" si="119"/>
        <v>366</v>
      </c>
      <c r="X59" s="131"/>
      <c r="Y59" s="131"/>
      <c r="Z59" s="131"/>
      <c r="AA59" s="131"/>
      <c r="AB59" s="404">
        <v>85</v>
      </c>
    </row>
    <row r="60" spans="1:35" ht="12.6" customHeight="1" x14ac:dyDescent="0.2">
      <c r="A60" s="18"/>
      <c r="B60" s="742" t="s">
        <v>595</v>
      </c>
      <c r="C60" s="743"/>
      <c r="D60" s="743"/>
      <c r="E60" s="743"/>
      <c r="F60" s="319">
        <v>1100</v>
      </c>
      <c r="G60" s="505">
        <f t="shared" si="120"/>
        <v>1100</v>
      </c>
      <c r="H60" s="280"/>
      <c r="I60" s="343"/>
      <c r="J60" s="439"/>
      <c r="K60" s="319"/>
      <c r="L60" s="458">
        <f t="shared" si="121"/>
        <v>1250</v>
      </c>
      <c r="M60" s="288">
        <f t="shared" si="114"/>
        <v>1250</v>
      </c>
      <c r="N60" s="458">
        <f t="shared" si="122"/>
        <v>1210</v>
      </c>
      <c r="O60" s="288">
        <f t="shared" si="115"/>
        <v>1210</v>
      </c>
      <c r="P60" s="458">
        <f t="shared" si="123"/>
        <v>1200</v>
      </c>
      <c r="Q60" s="288">
        <f t="shared" si="116"/>
        <v>1200</v>
      </c>
      <c r="R60" s="458">
        <f t="shared" si="124"/>
        <v>1180</v>
      </c>
      <c r="S60" s="288">
        <f t="shared" si="117"/>
        <v>1180</v>
      </c>
      <c r="T60" s="458">
        <f t="shared" si="125"/>
        <v>1165</v>
      </c>
      <c r="U60" s="288">
        <f t="shared" si="118"/>
        <v>1165</v>
      </c>
      <c r="V60" s="458">
        <f t="shared" si="126"/>
        <v>1156</v>
      </c>
      <c r="W60" s="288">
        <f t="shared" si="119"/>
        <v>1156</v>
      </c>
      <c r="X60" s="131"/>
      <c r="Y60" s="131"/>
      <c r="Z60" s="131"/>
      <c r="AA60" s="131"/>
      <c r="AB60" s="404" t="s">
        <v>783</v>
      </c>
    </row>
    <row r="61" spans="1:35" ht="12.6" customHeight="1" x14ac:dyDescent="0.2">
      <c r="A61" s="18"/>
      <c r="B61" s="866" t="s">
        <v>594</v>
      </c>
      <c r="C61" s="807"/>
      <c r="D61" s="807"/>
      <c r="E61" s="807"/>
      <c r="F61" s="306">
        <v>780</v>
      </c>
      <c r="G61" s="338">
        <f t="shared" ref="G61" si="127">+F61*$X$1</f>
        <v>780</v>
      </c>
      <c r="H61" s="281"/>
      <c r="I61" s="342"/>
      <c r="J61" s="438"/>
      <c r="K61" s="306"/>
      <c r="L61" s="670">
        <f t="shared" si="121"/>
        <v>930</v>
      </c>
      <c r="M61" s="287">
        <f t="shared" ref="M61:M62" si="128">+L61*$X$1</f>
        <v>930</v>
      </c>
      <c r="N61" s="670">
        <f t="shared" si="122"/>
        <v>890</v>
      </c>
      <c r="O61" s="287">
        <f t="shared" ref="O61:O62" si="129">+N61*$X$1</f>
        <v>890</v>
      </c>
      <c r="P61" s="670">
        <f t="shared" si="123"/>
        <v>880</v>
      </c>
      <c r="Q61" s="287">
        <f t="shared" ref="Q61:Q62" si="130">+P61*$X$1</f>
        <v>880</v>
      </c>
      <c r="R61" s="670">
        <f t="shared" si="124"/>
        <v>860</v>
      </c>
      <c r="S61" s="287">
        <f t="shared" ref="S61:S62" si="131">+R61*$X$1</f>
        <v>860</v>
      </c>
      <c r="T61" s="670">
        <f t="shared" si="125"/>
        <v>845</v>
      </c>
      <c r="U61" s="287">
        <f t="shared" ref="U61:U62" si="132">+T61*$X$1</f>
        <v>845</v>
      </c>
      <c r="V61" s="670">
        <f t="shared" si="126"/>
        <v>836</v>
      </c>
      <c r="W61" s="287">
        <f t="shared" ref="W61:W62" si="133">+V61*$X$1</f>
        <v>836</v>
      </c>
      <c r="X61" s="131"/>
      <c r="Y61" s="131"/>
      <c r="Z61" s="131"/>
      <c r="AA61" s="131"/>
      <c r="AB61" s="404" t="s">
        <v>784</v>
      </c>
    </row>
    <row r="62" spans="1:35" ht="12.6" customHeight="1" x14ac:dyDescent="0.2">
      <c r="A62" s="18"/>
      <c r="B62" s="858" t="s">
        <v>767</v>
      </c>
      <c r="C62" s="859"/>
      <c r="D62" s="859"/>
      <c r="E62" s="859"/>
      <c r="F62" s="319">
        <v>760</v>
      </c>
      <c r="G62" s="505">
        <f t="shared" ref="G62:G63" si="134">+F62*$X$1</f>
        <v>760</v>
      </c>
      <c r="H62" s="280"/>
      <c r="I62" s="343"/>
      <c r="J62" s="439"/>
      <c r="K62" s="319"/>
      <c r="L62" s="458">
        <f t="shared" si="121"/>
        <v>910</v>
      </c>
      <c r="M62" s="288">
        <f t="shared" si="128"/>
        <v>910</v>
      </c>
      <c r="N62" s="458">
        <f t="shared" si="122"/>
        <v>870</v>
      </c>
      <c r="O62" s="288">
        <f t="shared" si="129"/>
        <v>870</v>
      </c>
      <c r="P62" s="458">
        <f t="shared" si="123"/>
        <v>860</v>
      </c>
      <c r="Q62" s="288">
        <f t="shared" si="130"/>
        <v>860</v>
      </c>
      <c r="R62" s="458">
        <f t="shared" si="124"/>
        <v>840</v>
      </c>
      <c r="S62" s="288">
        <f t="shared" si="131"/>
        <v>840</v>
      </c>
      <c r="T62" s="458">
        <f t="shared" si="125"/>
        <v>825</v>
      </c>
      <c r="U62" s="288">
        <f t="shared" si="132"/>
        <v>825</v>
      </c>
      <c r="V62" s="458">
        <f t="shared" si="126"/>
        <v>816</v>
      </c>
      <c r="W62" s="288">
        <f t="shared" si="133"/>
        <v>816</v>
      </c>
      <c r="X62" s="131"/>
      <c r="Y62" s="131"/>
      <c r="Z62" s="131"/>
      <c r="AA62" s="131"/>
      <c r="AB62" s="404" t="s">
        <v>782</v>
      </c>
    </row>
    <row r="63" spans="1:35" ht="12.6" customHeight="1" x14ac:dyDescent="0.2">
      <c r="A63" s="18"/>
      <c r="B63" s="866" t="s">
        <v>780</v>
      </c>
      <c r="C63" s="807"/>
      <c r="D63" s="807"/>
      <c r="E63" s="807"/>
      <c r="F63" s="379">
        <f>2.55*X2</f>
        <v>2764.2</v>
      </c>
      <c r="G63" s="287">
        <f t="shared" si="134"/>
        <v>2764.2</v>
      </c>
      <c r="H63" s="71"/>
      <c r="I63" s="287"/>
      <c r="J63" s="71">
        <f>F63+200</f>
        <v>2964.2</v>
      </c>
      <c r="K63" s="287">
        <f t="shared" ref="K63" si="135">+J63*$X$1</f>
        <v>2964.2</v>
      </c>
      <c r="L63" s="670">
        <f t="shared" si="121"/>
        <v>2914.2</v>
      </c>
      <c r="M63" s="287">
        <f t="shared" ref="M63" si="136">+L63*$X$1</f>
        <v>2914.2</v>
      </c>
      <c r="N63" s="670">
        <f t="shared" si="122"/>
        <v>2874.2</v>
      </c>
      <c r="O63" s="287">
        <f t="shared" ref="O63" si="137">+N63*$X$1</f>
        <v>2874.2</v>
      </c>
      <c r="P63" s="670">
        <f t="shared" si="123"/>
        <v>2864.2</v>
      </c>
      <c r="Q63" s="287">
        <f t="shared" ref="Q63" si="138">+P63*$X$1</f>
        <v>2864.2</v>
      </c>
      <c r="R63" s="670">
        <f t="shared" si="124"/>
        <v>2844.2</v>
      </c>
      <c r="S63" s="287">
        <f t="shared" ref="S63" si="139">+R63*$X$1</f>
        <v>2844.2</v>
      </c>
      <c r="T63" s="670">
        <f t="shared" si="125"/>
        <v>2829.2</v>
      </c>
      <c r="U63" s="287">
        <f t="shared" ref="U63" si="140">+T63*$X$1</f>
        <v>2829.2</v>
      </c>
      <c r="V63" s="670">
        <f t="shared" si="126"/>
        <v>2820.2</v>
      </c>
      <c r="W63" s="287">
        <f t="shared" ref="W63" si="141">+V63*$X$1</f>
        <v>2820.2</v>
      </c>
      <c r="X63" s="131"/>
      <c r="Y63" s="131"/>
      <c r="Z63" s="131"/>
      <c r="AA63" s="131"/>
      <c r="AB63" s="404" t="s">
        <v>781</v>
      </c>
    </row>
    <row r="64" spans="1:35" ht="12.6" customHeight="1" x14ac:dyDescent="0.2">
      <c r="A64" s="18"/>
      <c r="B64" s="756" t="s">
        <v>407</v>
      </c>
      <c r="C64" s="757"/>
      <c r="D64" s="757"/>
      <c r="E64" s="758"/>
      <c r="F64" s="319">
        <v>1030</v>
      </c>
      <c r="G64" s="505">
        <f t="shared" si="120"/>
        <v>1030</v>
      </c>
      <c r="H64" s="280"/>
      <c r="I64" s="343"/>
      <c r="J64" s="89">
        <f>F64+200</f>
        <v>1230</v>
      </c>
      <c r="K64" s="288">
        <f t="shared" ref="K64" si="142">+J64*$X$1</f>
        <v>1230</v>
      </c>
      <c r="L64" s="458">
        <f t="shared" si="121"/>
        <v>1180</v>
      </c>
      <c r="M64" s="288">
        <f t="shared" ref="M64" si="143">+L64*$X$1</f>
        <v>1180</v>
      </c>
      <c r="N64" s="458">
        <f t="shared" si="122"/>
        <v>1140</v>
      </c>
      <c r="O64" s="288">
        <f t="shared" ref="O64" si="144">+N64*$X$1</f>
        <v>1140</v>
      </c>
      <c r="P64" s="458">
        <f t="shared" si="123"/>
        <v>1130</v>
      </c>
      <c r="Q64" s="288">
        <f t="shared" ref="Q64" si="145">+P64*$X$1</f>
        <v>1130</v>
      </c>
      <c r="R64" s="458">
        <f t="shared" si="124"/>
        <v>1110</v>
      </c>
      <c r="S64" s="288">
        <f t="shared" ref="S64" si="146">+R64*$X$1</f>
        <v>1110</v>
      </c>
      <c r="T64" s="458">
        <f t="shared" si="125"/>
        <v>1095</v>
      </c>
      <c r="U64" s="288">
        <f t="shared" ref="U64" si="147">+T64*$X$1</f>
        <v>1095</v>
      </c>
      <c r="V64" s="458">
        <f t="shared" si="126"/>
        <v>1086</v>
      </c>
      <c r="W64" s="288">
        <f t="shared" ref="W64" si="148">+V64*$X$1</f>
        <v>1086</v>
      </c>
      <c r="X64" s="131"/>
      <c r="Y64" s="131"/>
      <c r="Z64" s="131"/>
      <c r="AA64" s="131"/>
      <c r="AB64" s="404">
        <v>89</v>
      </c>
    </row>
    <row r="65" spans="1:38" ht="12.6" customHeight="1" x14ac:dyDescent="0.2">
      <c r="A65" s="18"/>
      <c r="B65" s="736" t="s">
        <v>501</v>
      </c>
      <c r="C65" s="678"/>
      <c r="D65" s="678"/>
      <c r="E65" s="678"/>
      <c r="F65" s="287">
        <v>578</v>
      </c>
      <c r="G65" s="338">
        <f t="shared" si="120"/>
        <v>578</v>
      </c>
      <c r="H65" s="281"/>
      <c r="I65" s="342"/>
      <c r="J65" s="71"/>
      <c r="K65" s="255"/>
      <c r="L65" s="670"/>
      <c r="M65" s="255"/>
      <c r="N65" s="670">
        <f t="shared" si="122"/>
        <v>688</v>
      </c>
      <c r="O65" s="287">
        <f t="shared" ref="O65:O66" si="149">+N65*$X$1</f>
        <v>688</v>
      </c>
      <c r="P65" s="670">
        <f t="shared" si="123"/>
        <v>678</v>
      </c>
      <c r="Q65" s="287">
        <f t="shared" ref="Q65:Q66" si="150">+P65*$X$1</f>
        <v>678</v>
      </c>
      <c r="R65" s="670">
        <f t="shared" si="124"/>
        <v>658</v>
      </c>
      <c r="S65" s="287">
        <f t="shared" ref="S65:S66" si="151">+R65*$X$1</f>
        <v>658</v>
      </c>
      <c r="T65" s="670">
        <f t="shared" si="125"/>
        <v>643</v>
      </c>
      <c r="U65" s="287">
        <f t="shared" ref="U65:U66" si="152">+T65*$X$1</f>
        <v>643</v>
      </c>
      <c r="V65" s="670">
        <f t="shared" si="126"/>
        <v>634</v>
      </c>
      <c r="W65" s="287">
        <f t="shared" ref="W65:W66" si="153">+V65*$X$1</f>
        <v>634</v>
      </c>
      <c r="X65" s="143"/>
      <c r="Y65" s="143"/>
      <c r="Z65" s="143" t="s">
        <v>82</v>
      </c>
      <c r="AA65" s="131"/>
      <c r="AB65" s="404">
        <v>91</v>
      </c>
    </row>
    <row r="66" spans="1:38" ht="12.6" customHeight="1" x14ac:dyDescent="0.2">
      <c r="A66" s="18"/>
      <c r="B66" s="838" t="s">
        <v>83</v>
      </c>
      <c r="C66" s="839"/>
      <c r="D66" s="839"/>
      <c r="E66" s="840"/>
      <c r="F66" s="288">
        <v>245</v>
      </c>
      <c r="G66" s="311">
        <f t="shared" si="120"/>
        <v>245</v>
      </c>
      <c r="H66" s="280"/>
      <c r="I66" s="343"/>
      <c r="J66" s="89"/>
      <c r="K66" s="305"/>
      <c r="L66" s="458"/>
      <c r="M66" s="305"/>
      <c r="N66" s="458">
        <f t="shared" si="122"/>
        <v>355</v>
      </c>
      <c r="O66" s="288">
        <f t="shared" si="149"/>
        <v>355</v>
      </c>
      <c r="P66" s="458">
        <f t="shared" si="123"/>
        <v>345</v>
      </c>
      <c r="Q66" s="288">
        <f t="shared" si="150"/>
        <v>345</v>
      </c>
      <c r="R66" s="458">
        <f t="shared" si="124"/>
        <v>325</v>
      </c>
      <c r="S66" s="288">
        <f t="shared" si="151"/>
        <v>325</v>
      </c>
      <c r="T66" s="458">
        <f t="shared" si="125"/>
        <v>310</v>
      </c>
      <c r="U66" s="288">
        <f t="shared" si="152"/>
        <v>310</v>
      </c>
      <c r="V66" s="458">
        <f t="shared" si="126"/>
        <v>301</v>
      </c>
      <c r="W66" s="288">
        <f t="shared" si="153"/>
        <v>301</v>
      </c>
      <c r="X66" s="143"/>
      <c r="Y66" s="143"/>
      <c r="Z66" s="143"/>
      <c r="AA66" s="131"/>
      <c r="AB66" s="404" t="s">
        <v>84</v>
      </c>
    </row>
    <row r="67" spans="1:38" ht="12.6" customHeight="1" x14ac:dyDescent="0.2">
      <c r="A67" s="18"/>
      <c r="B67" s="860" t="s">
        <v>344</v>
      </c>
      <c r="C67" s="861"/>
      <c r="D67" s="861"/>
      <c r="E67" s="964"/>
      <c r="F67" s="287"/>
      <c r="G67" s="312"/>
      <c r="H67" s="281"/>
      <c r="I67" s="281"/>
      <c r="J67" s="71"/>
      <c r="K67" s="96"/>
      <c r="L67" s="603"/>
      <c r="M67" s="255"/>
      <c r="N67" s="103"/>
      <c r="O67" s="255"/>
      <c r="P67" s="103"/>
      <c r="Q67" s="287"/>
      <c r="R67" s="103"/>
      <c r="S67" s="255"/>
      <c r="T67" s="103"/>
      <c r="U67" s="255"/>
      <c r="V67" s="103"/>
      <c r="W67" s="287"/>
      <c r="X67" s="143"/>
      <c r="Y67" s="143"/>
      <c r="Z67" s="143"/>
      <c r="AA67" s="131"/>
      <c r="AB67" s="35"/>
    </row>
    <row r="68" spans="1:38" ht="12.6" customHeight="1" x14ac:dyDescent="0.2">
      <c r="A68" s="18"/>
      <c r="B68" s="838" t="s">
        <v>345</v>
      </c>
      <c r="C68" s="839"/>
      <c r="D68" s="839"/>
      <c r="E68" s="840"/>
      <c r="F68" s="288"/>
      <c r="G68" s="311"/>
      <c r="H68" s="280"/>
      <c r="I68" s="280"/>
      <c r="J68" s="89"/>
      <c r="K68" s="94"/>
      <c r="L68" s="458"/>
      <c r="M68" s="305"/>
      <c r="N68" s="102"/>
      <c r="O68" s="305"/>
      <c r="P68" s="102"/>
      <c r="Q68" s="288"/>
      <c r="R68" s="102"/>
      <c r="S68" s="305"/>
      <c r="T68" s="102"/>
      <c r="U68" s="305"/>
      <c r="V68" s="102"/>
      <c r="W68" s="288"/>
      <c r="X68" s="143"/>
      <c r="Y68" s="143"/>
      <c r="Z68" s="143"/>
      <c r="AA68" s="131"/>
      <c r="AB68" s="35"/>
    </row>
    <row r="69" spans="1:38" ht="12.6" customHeight="1" x14ac:dyDescent="0.2">
      <c r="A69" s="18"/>
      <c r="B69" s="736" t="s">
        <v>85</v>
      </c>
      <c r="C69" s="678"/>
      <c r="D69" s="678"/>
      <c r="E69" s="678"/>
      <c r="F69" s="287">
        <v>5345</v>
      </c>
      <c r="G69" s="312">
        <f t="shared" si="120"/>
        <v>5345</v>
      </c>
      <c r="H69" s="71">
        <f>F69+600</f>
        <v>5945</v>
      </c>
      <c r="I69" s="287">
        <f>+H69*$X$1</f>
        <v>5945</v>
      </c>
      <c r="J69" s="71">
        <f>F69+200</f>
        <v>5545</v>
      </c>
      <c r="K69" s="287">
        <f t="shared" ref="K69" si="154">+J69*$X$1</f>
        <v>5545</v>
      </c>
      <c r="L69" s="670">
        <f>F69+150</f>
        <v>5495</v>
      </c>
      <c r="M69" s="287">
        <f t="shared" ref="M69" si="155">+L69*$X$1</f>
        <v>5495</v>
      </c>
      <c r="N69" s="670">
        <f>F69+110</f>
        <v>5455</v>
      </c>
      <c r="O69" s="287">
        <f t="shared" ref="O69" si="156">+N69*$X$1</f>
        <v>5455</v>
      </c>
      <c r="P69" s="670">
        <f>F69+100</f>
        <v>5445</v>
      </c>
      <c r="Q69" s="287">
        <f t="shared" ref="Q69" si="157">+P69*$X$1</f>
        <v>5445</v>
      </c>
      <c r="R69" s="670">
        <f>F69+80</f>
        <v>5425</v>
      </c>
      <c r="S69" s="287">
        <f t="shared" ref="S69" si="158">+R69*$X$1</f>
        <v>5425</v>
      </c>
      <c r="T69" s="670">
        <f>F69+65</f>
        <v>5410</v>
      </c>
      <c r="U69" s="287">
        <f t="shared" ref="U69" si="159">+T69*$X$1</f>
        <v>5410</v>
      </c>
      <c r="V69" s="670">
        <f>F69+56</f>
        <v>5401</v>
      </c>
      <c r="W69" s="287">
        <f t="shared" ref="W69" si="160">+V69*$X$1</f>
        <v>5401</v>
      </c>
      <c r="X69" s="133"/>
      <c r="Y69" s="131"/>
      <c r="Z69" s="131"/>
      <c r="AA69" s="131"/>
      <c r="AB69" s="404">
        <v>92</v>
      </c>
    </row>
    <row r="70" spans="1:38" ht="12.6" customHeight="1" x14ac:dyDescent="0.25">
      <c r="A70" s="57"/>
      <c r="B70" s="748" t="s">
        <v>469</v>
      </c>
      <c r="C70" s="747"/>
      <c r="D70" s="747"/>
      <c r="E70" s="747"/>
      <c r="F70" s="288"/>
      <c r="G70" s="305"/>
      <c r="H70" s="247"/>
      <c r="I70" s="845" t="s">
        <v>477</v>
      </c>
      <c r="J70" s="846"/>
      <c r="K70" s="846"/>
      <c r="L70" s="847"/>
      <c r="M70" s="848"/>
      <c r="N70" s="458">
        <v>850</v>
      </c>
      <c r="O70" s="311">
        <f>+N70*$X$1</f>
        <v>850</v>
      </c>
      <c r="P70" s="282">
        <v>847</v>
      </c>
      <c r="Q70" s="339">
        <f>+P70*$X$1</f>
        <v>847</v>
      </c>
      <c r="R70" s="458">
        <v>795</v>
      </c>
      <c r="S70" s="305">
        <f>+R70*$X$1</f>
        <v>795</v>
      </c>
      <c r="T70" s="458">
        <v>755</v>
      </c>
      <c r="U70" s="288">
        <f>+T70*$X$1</f>
        <v>755</v>
      </c>
      <c r="V70" s="458">
        <v>692</v>
      </c>
      <c r="W70" s="288">
        <f>+V70*$X$1</f>
        <v>692</v>
      </c>
      <c r="X70" s="835"/>
      <c r="Y70" s="835"/>
      <c r="Z70" s="835"/>
      <c r="AA70" s="835"/>
      <c r="AB70" s="192" t="s">
        <v>470</v>
      </c>
    </row>
    <row r="71" spans="1:38" ht="12.6" customHeight="1" x14ac:dyDescent="0.25">
      <c r="A71" s="57"/>
      <c r="B71" s="736" t="s">
        <v>334</v>
      </c>
      <c r="C71" s="702"/>
      <c r="D71" s="702"/>
      <c r="E71" s="702"/>
      <c r="F71" s="287"/>
      <c r="G71" s="255"/>
      <c r="H71" s="106"/>
      <c r="I71" s="954" t="s">
        <v>477</v>
      </c>
      <c r="J71" s="955"/>
      <c r="K71" s="955"/>
      <c r="L71" s="956"/>
      <c r="M71" s="957"/>
      <c r="N71" s="538">
        <v>912</v>
      </c>
      <c r="O71" s="312">
        <f>+N71*$X$1</f>
        <v>912</v>
      </c>
      <c r="P71" s="296">
        <v>909</v>
      </c>
      <c r="Q71" s="307">
        <f>+P71*$X$1</f>
        <v>909</v>
      </c>
      <c r="R71" s="538">
        <v>853</v>
      </c>
      <c r="S71" s="255">
        <f>+R71*$X$1</f>
        <v>853</v>
      </c>
      <c r="T71" s="538">
        <v>827</v>
      </c>
      <c r="U71" s="287">
        <f>+T71*$X$1</f>
        <v>827</v>
      </c>
      <c r="V71" s="538">
        <v>750</v>
      </c>
      <c r="W71" s="287">
        <f>+V71*$X$1</f>
        <v>750</v>
      </c>
      <c r="X71" s="835"/>
      <c r="Y71" s="835"/>
      <c r="Z71" s="835"/>
      <c r="AA71" s="835"/>
      <c r="AB71" s="192" t="s">
        <v>86</v>
      </c>
    </row>
    <row r="72" spans="1:38" ht="12.6" customHeight="1" x14ac:dyDescent="0.25">
      <c r="A72" s="57"/>
      <c r="B72" s="748" t="s">
        <v>471</v>
      </c>
      <c r="C72" s="747"/>
      <c r="D72" s="747"/>
      <c r="E72" s="747"/>
      <c r="F72" s="288"/>
      <c r="G72" s="305"/>
      <c r="H72" s="247"/>
      <c r="I72" s="845" t="s">
        <v>477</v>
      </c>
      <c r="J72" s="846"/>
      <c r="K72" s="846"/>
      <c r="L72" s="847"/>
      <c r="M72" s="848"/>
      <c r="N72" s="458">
        <v>1270</v>
      </c>
      <c r="O72" s="311">
        <f>+N72*$X$1</f>
        <v>1270</v>
      </c>
      <c r="P72" s="295">
        <v>1265</v>
      </c>
      <c r="Q72" s="339">
        <f>+P72*$X$1</f>
        <v>1265</v>
      </c>
      <c r="R72" s="458">
        <v>1207</v>
      </c>
      <c r="S72" s="305">
        <f>+R72*$X$1</f>
        <v>1207</v>
      </c>
      <c r="T72" s="458">
        <v>1180</v>
      </c>
      <c r="U72" s="288">
        <f>+T72*$X$1</f>
        <v>1180</v>
      </c>
      <c r="V72" s="458">
        <v>1103</v>
      </c>
      <c r="W72" s="288">
        <f>+V72*$X$1</f>
        <v>1103</v>
      </c>
      <c r="X72" s="835"/>
      <c r="Y72" s="835"/>
      <c r="Z72" s="835"/>
      <c r="AA72" s="835"/>
      <c r="AB72" s="192" t="s">
        <v>472</v>
      </c>
    </row>
    <row r="73" spans="1:38" ht="12.6" customHeight="1" x14ac:dyDescent="0.25">
      <c r="A73" s="18"/>
      <c r="B73" s="736" t="s">
        <v>335</v>
      </c>
      <c r="C73" s="702"/>
      <c r="D73" s="702"/>
      <c r="E73" s="702"/>
      <c r="F73" s="287"/>
      <c r="G73" s="255"/>
      <c r="H73" s="106"/>
      <c r="I73" s="841"/>
      <c r="J73" s="842"/>
      <c r="K73" s="842"/>
      <c r="L73" s="281"/>
      <c r="M73" s="342"/>
      <c r="N73" s="538"/>
      <c r="O73" s="312"/>
      <c r="P73" s="538"/>
      <c r="Q73" s="287"/>
      <c r="R73" s="538"/>
      <c r="S73" s="255"/>
      <c r="T73" s="538"/>
      <c r="U73" s="287"/>
      <c r="V73" s="112"/>
      <c r="W73" s="287"/>
      <c r="X73" s="835"/>
      <c r="Y73" s="835"/>
      <c r="Z73" s="835"/>
      <c r="AA73" s="835"/>
      <c r="AB73" s="192" t="s">
        <v>87</v>
      </c>
      <c r="AH73" s="4"/>
      <c r="AI73" s="4"/>
      <c r="AJ73" s="4"/>
    </row>
    <row r="74" spans="1:38" s="6" customFormat="1" ht="12.6" customHeight="1" x14ac:dyDescent="0.25">
      <c r="A74" s="57"/>
      <c r="B74" s="953" t="s">
        <v>396</v>
      </c>
      <c r="C74" s="740"/>
      <c r="D74" s="740"/>
      <c r="E74" s="741"/>
      <c r="F74" s="288"/>
      <c r="G74" s="305"/>
      <c r="H74" s="458"/>
      <c r="I74" s="311"/>
      <c r="J74" s="291"/>
      <c r="K74" s="360"/>
      <c r="L74" s="462">
        <v>2410</v>
      </c>
      <c r="M74" s="288">
        <f>+L74*$X$1</f>
        <v>2410</v>
      </c>
      <c r="N74" s="458">
        <v>2140</v>
      </c>
      <c r="O74" s="311">
        <f>+N74*$X$1</f>
        <v>2140</v>
      </c>
      <c r="P74" s="389">
        <v>1961</v>
      </c>
      <c r="Q74" s="339">
        <f>+P74*$X$1</f>
        <v>1961</v>
      </c>
      <c r="R74" s="458">
        <v>1958</v>
      </c>
      <c r="S74" s="305">
        <f>+R74*$X$1</f>
        <v>1958</v>
      </c>
      <c r="T74" s="458">
        <v>1890</v>
      </c>
      <c r="U74" s="288">
        <f>+T74*$X$1</f>
        <v>1890</v>
      </c>
      <c r="V74" s="536"/>
      <c r="W74" s="358"/>
      <c r="X74" s="245"/>
      <c r="Y74" s="246"/>
      <c r="Z74" s="246"/>
      <c r="AA74" s="246"/>
      <c r="AB74" s="192" t="s">
        <v>88</v>
      </c>
      <c r="AC74" s="8"/>
      <c r="AD74" s="8"/>
      <c r="AE74" s="8"/>
      <c r="AF74" s="8"/>
      <c r="AG74" s="8"/>
      <c r="AH74" s="56"/>
      <c r="AI74" s="24"/>
      <c r="AJ74" s="56"/>
      <c r="AK74" s="8"/>
      <c r="AL74" s="8"/>
    </row>
    <row r="75" spans="1:38" s="6" customFormat="1" ht="12.6" customHeight="1" x14ac:dyDescent="0.25">
      <c r="A75" s="57"/>
      <c r="B75" s="832" t="s">
        <v>397</v>
      </c>
      <c r="C75" s="833"/>
      <c r="D75" s="833"/>
      <c r="E75" s="834"/>
      <c r="F75" s="287"/>
      <c r="G75" s="459"/>
      <c r="H75" s="316"/>
      <c r="I75" s="460"/>
      <c r="J75" s="317"/>
      <c r="K75" s="359"/>
      <c r="L75" s="461">
        <v>3250</v>
      </c>
      <c r="M75" s="287">
        <f>+L75*$X$1</f>
        <v>3250</v>
      </c>
      <c r="N75" s="538">
        <v>2996</v>
      </c>
      <c r="O75" s="460">
        <f>+N75*$X$1</f>
        <v>2996</v>
      </c>
      <c r="P75" s="388">
        <v>2913</v>
      </c>
      <c r="Q75" s="307">
        <f>+P75*$X$1</f>
        <v>2913</v>
      </c>
      <c r="R75" s="538">
        <v>2909</v>
      </c>
      <c r="S75" s="459">
        <f>+R75*$X$1</f>
        <v>2909</v>
      </c>
      <c r="T75" s="538">
        <v>2713</v>
      </c>
      <c r="U75" s="287">
        <f>+T75*$X$1</f>
        <v>2713</v>
      </c>
      <c r="V75" s="537"/>
      <c r="W75" s="357"/>
      <c r="X75" s="836"/>
      <c r="Y75" s="837"/>
      <c r="Z75" s="837"/>
      <c r="AA75" s="837"/>
      <c r="AB75" s="192" t="s">
        <v>89</v>
      </c>
      <c r="AC75" s="8"/>
      <c r="AD75" s="8"/>
      <c r="AE75" s="8"/>
      <c r="AF75" s="8"/>
      <c r="AG75" s="8"/>
      <c r="AH75" s="56"/>
      <c r="AI75" s="56"/>
      <c r="AJ75" s="56"/>
      <c r="AK75" s="8"/>
      <c r="AL75" s="8"/>
    </row>
    <row r="76" spans="1:38" ht="12.6" customHeight="1" x14ac:dyDescent="0.2">
      <c r="A76" s="97"/>
      <c r="B76" s="108"/>
      <c r="C76" s="67"/>
      <c r="D76" s="67"/>
      <c r="E76" s="67"/>
      <c r="F76" s="183"/>
      <c r="G76" s="183"/>
      <c r="H76" s="183"/>
      <c r="I76" s="183"/>
      <c r="J76" s="183"/>
      <c r="K76" s="183"/>
      <c r="L76" s="109"/>
      <c r="M76" s="109"/>
      <c r="N76" s="110"/>
      <c r="O76" s="110"/>
      <c r="P76" s="110"/>
      <c r="Q76" s="111"/>
      <c r="R76" s="88"/>
      <c r="S76" s="63"/>
      <c r="T76" s="63"/>
      <c r="U76" s="63"/>
      <c r="V76" s="63"/>
      <c r="W76" s="63"/>
      <c r="X76" s="76"/>
      <c r="AB76" s="107"/>
    </row>
    <row r="77" spans="1:38" ht="12.6" customHeight="1" x14ac:dyDescent="0.2">
      <c r="A77" s="97"/>
      <c r="B77" s="108"/>
      <c r="C77" s="315"/>
      <c r="D77" s="315"/>
      <c r="E77" s="315"/>
      <c r="F77" s="235"/>
      <c r="G77" s="235"/>
      <c r="H77" s="235"/>
      <c r="I77" s="235"/>
      <c r="J77" s="235"/>
      <c r="K77" s="235"/>
      <c r="L77" s="109"/>
      <c r="M77" s="109"/>
      <c r="N77" s="110"/>
      <c r="O77" s="110"/>
      <c r="P77" s="110"/>
      <c r="Q77" s="111"/>
      <c r="R77" s="88"/>
      <c r="S77" s="63"/>
      <c r="T77" s="63"/>
      <c r="U77" s="63"/>
      <c r="V77" s="63"/>
      <c r="W77" s="63"/>
      <c r="X77" s="76"/>
      <c r="AB77" s="107"/>
    </row>
    <row r="78" spans="1:38" ht="12.6" customHeight="1" x14ac:dyDescent="0.2">
      <c r="A78" s="97"/>
      <c r="B78" s="108"/>
      <c r="C78" s="236"/>
      <c r="D78" s="236"/>
      <c r="E78" s="236"/>
      <c r="F78" s="235"/>
      <c r="G78" s="235"/>
      <c r="H78" s="235"/>
      <c r="I78" s="235"/>
      <c r="J78" s="235"/>
      <c r="K78" s="235"/>
      <c r="L78" s="109"/>
      <c r="M78" s="109"/>
      <c r="N78" s="110"/>
      <c r="O78" s="110"/>
      <c r="P78" s="110"/>
      <c r="Q78" s="111"/>
      <c r="R78" s="88"/>
      <c r="S78" s="63"/>
      <c r="T78" s="63"/>
      <c r="U78" s="63"/>
      <c r="V78" s="63"/>
      <c r="W78" s="63"/>
      <c r="X78" s="76"/>
      <c r="AB78" s="107"/>
    </row>
    <row r="79" spans="1:38" ht="15.75" customHeight="1" x14ac:dyDescent="0.2">
      <c r="A79" s="18"/>
      <c r="B79" s="798" t="s">
        <v>11</v>
      </c>
      <c r="C79" s="767" t="s">
        <v>12</v>
      </c>
      <c r="D79" s="768"/>
      <c r="E79" s="768"/>
      <c r="F79" s="754" t="s">
        <v>13</v>
      </c>
      <c r="G79" s="754" t="s">
        <v>13</v>
      </c>
      <c r="H79" s="738" t="s">
        <v>809</v>
      </c>
      <c r="I79" s="738"/>
      <c r="J79" s="739"/>
      <c r="K79" s="739"/>
      <c r="L79" s="739"/>
      <c r="M79" s="739"/>
      <c r="N79" s="739"/>
      <c r="O79" s="739"/>
      <c r="P79" s="739"/>
      <c r="Q79" s="739"/>
      <c r="R79" s="739"/>
      <c r="S79" s="739"/>
      <c r="T79" s="739"/>
      <c r="U79" s="739"/>
      <c r="V79" s="739"/>
      <c r="W79" s="739"/>
      <c r="X79" s="715" t="s">
        <v>14</v>
      </c>
      <c r="Y79" s="716"/>
      <c r="Z79" s="716"/>
      <c r="AA79" s="717"/>
      <c r="AB79" s="721" t="s">
        <v>15</v>
      </c>
      <c r="AF79" s="703" t="s">
        <v>3</v>
      </c>
      <c r="AG79" s="704"/>
      <c r="AH79" s="704"/>
    </row>
    <row r="80" spans="1:38" ht="12" customHeight="1" x14ac:dyDescent="0.2">
      <c r="A80" s="18"/>
      <c r="B80" s="798"/>
      <c r="C80" s="768"/>
      <c r="D80" s="768"/>
      <c r="E80" s="768"/>
      <c r="F80" s="755"/>
      <c r="G80" s="755"/>
      <c r="H80" s="474"/>
      <c r="I80" s="472" t="s">
        <v>289</v>
      </c>
      <c r="J80" s="474"/>
      <c r="K80" s="472" t="s">
        <v>17</v>
      </c>
      <c r="L80" s="475"/>
      <c r="M80" s="475" t="s">
        <v>18</v>
      </c>
      <c r="N80" s="475"/>
      <c r="O80" s="472" t="s">
        <v>19</v>
      </c>
      <c r="P80" s="475"/>
      <c r="Q80" s="475" t="s">
        <v>291</v>
      </c>
      <c r="R80" s="475"/>
      <c r="S80" s="475" t="s">
        <v>20</v>
      </c>
      <c r="T80" s="475"/>
      <c r="U80" s="475" t="s">
        <v>21</v>
      </c>
      <c r="V80" s="475"/>
      <c r="W80" s="475" t="s">
        <v>22</v>
      </c>
      <c r="X80" s="718"/>
      <c r="Y80" s="719"/>
      <c r="Z80" s="719"/>
      <c r="AA80" s="720"/>
      <c r="AB80" s="691"/>
    </row>
    <row r="81" spans="1:34" ht="12.6" customHeight="1" x14ac:dyDescent="0.2">
      <c r="A81" s="18"/>
      <c r="B81" s="765" t="s">
        <v>90</v>
      </c>
      <c r="C81" s="743"/>
      <c r="D81" s="743"/>
      <c r="E81" s="970"/>
      <c r="F81" s="973" t="s">
        <v>669</v>
      </c>
      <c r="G81" s="974"/>
      <c r="H81" s="974"/>
      <c r="I81" s="974"/>
      <c r="J81" s="611"/>
      <c r="K81" s="606"/>
      <c r="L81" s="609"/>
      <c r="M81" s="319"/>
      <c r="N81" s="102"/>
      <c r="O81" s="505"/>
      <c r="P81" s="610"/>
      <c r="Q81" s="505"/>
      <c r="R81" s="102"/>
      <c r="S81" s="319"/>
      <c r="T81" s="102"/>
      <c r="U81" s="319"/>
      <c r="V81" s="102"/>
      <c r="W81" s="319"/>
      <c r="X81" s="131"/>
      <c r="Y81" s="131"/>
      <c r="Z81" s="131"/>
      <c r="AA81" s="131"/>
      <c r="AB81" s="411" t="s">
        <v>91</v>
      </c>
      <c r="AC81" s="407" t="s">
        <v>92</v>
      </c>
      <c r="AD81" s="407" t="s">
        <v>93</v>
      </c>
      <c r="AE81" s="407" t="s">
        <v>94</v>
      </c>
      <c r="AF81" s="407" t="s">
        <v>95</v>
      </c>
      <c r="AG81" s="407" t="s">
        <v>96</v>
      </c>
    </row>
    <row r="82" spans="1:34" ht="12.6" customHeight="1" x14ac:dyDescent="0.2">
      <c r="A82" s="18"/>
      <c r="B82" s="677" t="s">
        <v>97</v>
      </c>
      <c r="C82" s="678"/>
      <c r="D82" s="678"/>
      <c r="E82" s="830"/>
      <c r="F82" s="975"/>
      <c r="G82" s="974"/>
      <c r="H82" s="974"/>
      <c r="I82" s="974"/>
      <c r="J82" s="262"/>
      <c r="K82" s="281"/>
      <c r="L82" s="494"/>
      <c r="M82" s="287"/>
      <c r="N82" s="103"/>
      <c r="O82" s="312"/>
      <c r="P82" s="320"/>
      <c r="Q82" s="307"/>
      <c r="R82" s="103"/>
      <c r="S82" s="255"/>
      <c r="T82" s="103"/>
      <c r="U82" s="287"/>
      <c r="V82" s="600"/>
      <c r="W82" s="287"/>
      <c r="X82" s="134"/>
      <c r="Y82" s="134"/>
      <c r="Z82" s="134"/>
      <c r="AA82" s="134"/>
      <c r="AB82" s="411" t="s">
        <v>98</v>
      </c>
      <c r="AC82" s="407" t="s">
        <v>99</v>
      </c>
      <c r="AD82" s="407" t="s">
        <v>100</v>
      </c>
      <c r="AE82" s="407" t="s">
        <v>101</v>
      </c>
      <c r="AF82" s="407" t="s">
        <v>102</v>
      </c>
      <c r="AG82" s="407" t="s">
        <v>103</v>
      </c>
      <c r="AH82" s="407" t="s">
        <v>104</v>
      </c>
    </row>
    <row r="83" spans="1:34" ht="12.6" customHeight="1" x14ac:dyDescent="0.25">
      <c r="A83" s="18"/>
      <c r="B83" s="692" t="s">
        <v>105</v>
      </c>
      <c r="C83" s="693"/>
      <c r="D83" s="693"/>
      <c r="E83" s="829"/>
      <c r="F83" s="975"/>
      <c r="G83" s="974"/>
      <c r="H83" s="974"/>
      <c r="I83" s="974"/>
      <c r="J83" s="262"/>
      <c r="K83" s="280"/>
      <c r="L83" s="302"/>
      <c r="M83" s="288"/>
      <c r="N83" s="458"/>
      <c r="O83" s="311"/>
      <c r="P83" s="282"/>
      <c r="Q83" s="339"/>
      <c r="R83" s="458"/>
      <c r="S83" s="305"/>
      <c r="T83" s="458"/>
      <c r="U83" s="288"/>
      <c r="V83" s="458"/>
      <c r="W83" s="288"/>
      <c r="X83" s="849"/>
      <c r="Y83" s="850"/>
      <c r="Z83" s="850"/>
      <c r="AA83" s="185"/>
      <c r="AB83" s="411" t="s">
        <v>106</v>
      </c>
      <c r="AC83" s="407" t="s">
        <v>107</v>
      </c>
      <c r="AD83" s="407" t="s">
        <v>108</v>
      </c>
      <c r="AE83" s="407" t="s">
        <v>109</v>
      </c>
      <c r="AF83" s="407" t="s">
        <v>110</v>
      </c>
      <c r="AG83" s="412" t="s">
        <v>111</v>
      </c>
      <c r="AH83" s="407" t="s">
        <v>112</v>
      </c>
    </row>
    <row r="84" spans="1:34" ht="12.6" customHeight="1" x14ac:dyDescent="0.25">
      <c r="A84" s="18"/>
      <c r="B84" s="677" t="s">
        <v>113</v>
      </c>
      <c r="C84" s="678"/>
      <c r="D84" s="678"/>
      <c r="E84" s="830"/>
      <c r="F84" s="975"/>
      <c r="G84" s="974"/>
      <c r="H84" s="974"/>
      <c r="I84" s="974"/>
      <c r="J84" s="262"/>
      <c r="K84" s="281"/>
      <c r="L84" s="494"/>
      <c r="M84" s="287"/>
      <c r="N84" s="600"/>
      <c r="O84" s="312"/>
      <c r="P84" s="320"/>
      <c r="Q84" s="307"/>
      <c r="R84" s="600"/>
      <c r="S84" s="255"/>
      <c r="T84" s="600"/>
      <c r="U84" s="287"/>
      <c r="V84" s="600"/>
      <c r="W84" s="287"/>
      <c r="X84" s="849"/>
      <c r="Y84" s="850"/>
      <c r="Z84" s="850"/>
      <c r="AA84" s="185"/>
      <c r="AB84" s="411" t="s">
        <v>114</v>
      </c>
      <c r="AC84" s="413" t="s">
        <v>115</v>
      </c>
      <c r="AD84" s="413" t="s">
        <v>116</v>
      </c>
      <c r="AE84" s="413" t="s">
        <v>117</v>
      </c>
      <c r="AF84" s="413" t="s">
        <v>118</v>
      </c>
      <c r="AG84" s="30"/>
    </row>
    <row r="85" spans="1:34" ht="12.6" customHeight="1" x14ac:dyDescent="0.2">
      <c r="A85" s="18"/>
      <c r="B85" s="692" t="s">
        <v>119</v>
      </c>
      <c r="C85" s="693"/>
      <c r="D85" s="693"/>
      <c r="E85" s="829"/>
      <c r="F85" s="975"/>
      <c r="G85" s="974"/>
      <c r="H85" s="974"/>
      <c r="I85" s="974"/>
      <c r="J85" s="262"/>
      <c r="K85" s="280"/>
      <c r="L85" s="302"/>
      <c r="M85" s="288"/>
      <c r="N85" s="458"/>
      <c r="O85" s="311"/>
      <c r="P85" s="282"/>
      <c r="Q85" s="339"/>
      <c r="R85" s="458"/>
      <c r="S85" s="305"/>
      <c r="T85" s="458"/>
      <c r="U85" s="288"/>
      <c r="V85" s="458"/>
      <c r="W85" s="288"/>
      <c r="X85" s="148"/>
      <c r="Y85" s="148"/>
      <c r="Z85" s="148"/>
      <c r="AA85" s="148"/>
      <c r="AB85" s="31" t="s">
        <v>120</v>
      </c>
      <c r="AC85" s="407" t="s">
        <v>121</v>
      </c>
      <c r="AD85" s="407" t="s">
        <v>122</v>
      </c>
      <c r="AE85" s="407" t="s">
        <v>123</v>
      </c>
      <c r="AF85" s="407" t="s">
        <v>124</v>
      </c>
      <c r="AG85" s="407" t="s">
        <v>125</v>
      </c>
    </row>
    <row r="86" spans="1:34" ht="12.6" customHeight="1" x14ac:dyDescent="0.2">
      <c r="A86" s="18"/>
      <c r="B86" s="677" t="s">
        <v>126</v>
      </c>
      <c r="C86" s="678"/>
      <c r="D86" s="678"/>
      <c r="E86" s="830"/>
      <c r="F86" s="975"/>
      <c r="G86" s="974"/>
      <c r="H86" s="974"/>
      <c r="I86" s="974"/>
      <c r="J86" s="262"/>
      <c r="K86" s="281"/>
      <c r="L86" s="494"/>
      <c r="M86" s="287"/>
      <c r="N86" s="600"/>
      <c r="O86" s="312"/>
      <c r="P86" s="320"/>
      <c r="Q86" s="307"/>
      <c r="R86" s="600"/>
      <c r="S86" s="255"/>
      <c r="T86" s="600"/>
      <c r="U86" s="287"/>
      <c r="V86" s="600"/>
      <c r="W86" s="287"/>
      <c r="X86" s="148"/>
      <c r="Y86" s="148"/>
      <c r="Z86" s="148"/>
      <c r="AA86" s="148"/>
      <c r="AB86" s="31" t="s">
        <v>127</v>
      </c>
      <c r="AC86" s="413" t="s">
        <v>128</v>
      </c>
      <c r="AD86" s="413" t="s">
        <v>129</v>
      </c>
      <c r="AE86" s="413" t="s">
        <v>130</v>
      </c>
    </row>
    <row r="87" spans="1:34" ht="12.6" customHeight="1" x14ac:dyDescent="0.25">
      <c r="A87" s="18"/>
      <c r="B87" s="692" t="s">
        <v>131</v>
      </c>
      <c r="C87" s="693"/>
      <c r="D87" s="693"/>
      <c r="E87" s="829"/>
      <c r="F87" s="975"/>
      <c r="G87" s="974"/>
      <c r="H87" s="974"/>
      <c r="I87" s="974"/>
      <c r="J87" s="260"/>
      <c r="K87" s="280"/>
      <c r="L87" s="302"/>
      <c r="M87" s="288"/>
      <c r="N87" s="458"/>
      <c r="O87" s="311"/>
      <c r="P87" s="282"/>
      <c r="Q87" s="339"/>
      <c r="R87" s="458"/>
      <c r="S87" s="305"/>
      <c r="T87" s="458"/>
      <c r="U87" s="288"/>
      <c r="V87" s="458"/>
      <c r="W87" s="288"/>
      <c r="X87" s="849"/>
      <c r="Y87" s="850"/>
      <c r="Z87" s="850"/>
      <c r="AA87" s="185"/>
      <c r="AB87" s="31" t="s">
        <v>132</v>
      </c>
      <c r="AC87" s="407" t="s">
        <v>133</v>
      </c>
      <c r="AD87" s="407" t="s">
        <v>134</v>
      </c>
      <c r="AE87" s="407" t="s">
        <v>135</v>
      </c>
      <c r="AF87" s="407" t="s">
        <v>136</v>
      </c>
      <c r="AG87" s="407" t="s">
        <v>137</v>
      </c>
      <c r="AH87" s="407" t="s">
        <v>138</v>
      </c>
    </row>
    <row r="88" spans="1:34" ht="12.6" customHeight="1" x14ac:dyDescent="0.25">
      <c r="A88" s="18"/>
      <c r="B88" s="677" t="s">
        <v>139</v>
      </c>
      <c r="C88" s="678"/>
      <c r="D88" s="678"/>
      <c r="E88" s="830"/>
      <c r="F88" s="975"/>
      <c r="G88" s="974"/>
      <c r="H88" s="974"/>
      <c r="I88" s="974"/>
      <c r="J88" s="262"/>
      <c r="K88" s="281"/>
      <c r="L88" s="494"/>
      <c r="M88" s="287"/>
      <c r="N88" s="600"/>
      <c r="O88" s="312"/>
      <c r="P88" s="320"/>
      <c r="Q88" s="307"/>
      <c r="R88" s="600"/>
      <c r="S88" s="255"/>
      <c r="T88" s="600"/>
      <c r="U88" s="287"/>
      <c r="V88" s="600"/>
      <c r="W88" s="287"/>
      <c r="X88" s="849"/>
      <c r="Y88" s="850"/>
      <c r="Z88" s="850"/>
      <c r="AA88" s="185"/>
      <c r="AB88" s="409" t="s">
        <v>140</v>
      </c>
      <c r="AC88" s="64"/>
      <c r="AD88" s="64"/>
      <c r="AE88" s="64"/>
      <c r="AF88" s="64"/>
      <c r="AG88" s="64"/>
    </row>
    <row r="89" spans="1:34" ht="12.6" customHeight="1" x14ac:dyDescent="0.2">
      <c r="A89" s="18"/>
      <c r="B89" s="692" t="s">
        <v>141</v>
      </c>
      <c r="C89" s="693"/>
      <c r="D89" s="693"/>
      <c r="E89" s="829"/>
      <c r="F89" s="975"/>
      <c r="G89" s="974"/>
      <c r="H89" s="974"/>
      <c r="I89" s="974"/>
      <c r="J89" s="260"/>
      <c r="K89" s="280"/>
      <c r="L89" s="302"/>
      <c r="M89" s="288"/>
      <c r="N89" s="458"/>
      <c r="O89" s="311"/>
      <c r="P89" s="282"/>
      <c r="Q89" s="339"/>
      <c r="R89" s="458"/>
      <c r="S89" s="305"/>
      <c r="T89" s="458"/>
      <c r="U89" s="288"/>
      <c r="V89" s="458"/>
      <c r="W89" s="288"/>
      <c r="X89" s="147"/>
      <c r="Y89" s="147"/>
      <c r="Z89" s="147"/>
      <c r="AA89" s="147"/>
      <c r="AB89" s="407" t="s">
        <v>142</v>
      </c>
      <c r="AC89" s="64"/>
      <c r="AD89" s="64"/>
      <c r="AE89" s="64"/>
      <c r="AF89" s="64"/>
      <c r="AG89" s="64"/>
    </row>
    <row r="90" spans="1:34" ht="12.6" customHeight="1" x14ac:dyDescent="0.2">
      <c r="A90" s="18"/>
      <c r="B90" s="677" t="s">
        <v>143</v>
      </c>
      <c r="C90" s="678"/>
      <c r="D90" s="678"/>
      <c r="E90" s="830"/>
      <c r="F90" s="975"/>
      <c r="G90" s="974"/>
      <c r="H90" s="974"/>
      <c r="I90" s="974"/>
      <c r="J90" s="262"/>
      <c r="K90" s="281"/>
      <c r="L90" s="494"/>
      <c r="M90" s="287"/>
      <c r="N90" s="600"/>
      <c r="O90" s="312"/>
      <c r="P90" s="320"/>
      <c r="Q90" s="312"/>
      <c r="R90" s="600"/>
      <c r="S90" s="312"/>
      <c r="T90" s="600"/>
      <c r="U90" s="287"/>
      <c r="V90" s="600"/>
      <c r="W90" s="287"/>
      <c r="X90" s="147"/>
      <c r="Y90" s="147"/>
      <c r="Z90" s="147"/>
      <c r="AA90" s="147"/>
      <c r="AB90" s="407" t="s">
        <v>144</v>
      </c>
      <c r="AC90" s="64"/>
      <c r="AD90" s="64"/>
      <c r="AE90" s="64"/>
      <c r="AF90" s="64"/>
      <c r="AG90" s="64"/>
    </row>
    <row r="91" spans="1:34" ht="12.6" customHeight="1" x14ac:dyDescent="0.2">
      <c r="A91" s="18"/>
      <c r="B91" s="692" t="s">
        <v>145</v>
      </c>
      <c r="C91" s="693"/>
      <c r="D91" s="693"/>
      <c r="E91" s="829"/>
      <c r="F91" s="976"/>
      <c r="G91" s="977"/>
      <c r="H91" s="977"/>
      <c r="I91" s="977"/>
      <c r="J91" s="260"/>
      <c r="K91" s="280"/>
      <c r="L91" s="302"/>
      <c r="M91" s="288"/>
      <c r="N91" s="458"/>
      <c r="O91" s="352"/>
      <c r="P91" s="282"/>
      <c r="Q91" s="339"/>
      <c r="R91" s="95"/>
      <c r="S91" s="347"/>
      <c r="T91" s="458"/>
      <c r="U91" s="288"/>
      <c r="V91" s="458"/>
      <c r="W91" s="288"/>
      <c r="X91" s="131"/>
      <c r="Y91" s="131"/>
      <c r="Z91" s="131"/>
      <c r="AA91" s="131"/>
      <c r="AB91" s="410" t="s">
        <v>146</v>
      </c>
      <c r="AC91" s="407" t="s">
        <v>147</v>
      </c>
      <c r="AD91" s="407" t="s">
        <v>148</v>
      </c>
      <c r="AE91" s="407" t="s">
        <v>149</v>
      </c>
      <c r="AF91" s="407" t="s">
        <v>150</v>
      </c>
      <c r="AG91" s="407" t="s">
        <v>151</v>
      </c>
    </row>
    <row r="92" spans="1:34" ht="12.6" customHeight="1" x14ac:dyDescent="0.2">
      <c r="A92" s="18"/>
      <c r="B92" s="677" t="s">
        <v>465</v>
      </c>
      <c r="C92" s="678"/>
      <c r="D92" s="678"/>
      <c r="E92" s="678"/>
      <c r="F92" s="287"/>
      <c r="G92" s="307"/>
      <c r="H92" s="262"/>
      <c r="I92" s="608"/>
      <c r="J92" s="600"/>
      <c r="K92" s="287"/>
      <c r="L92" s="600"/>
      <c r="M92" s="287"/>
      <c r="N92" s="600"/>
      <c r="O92" s="287"/>
      <c r="P92" s="600"/>
      <c r="Q92" s="287"/>
      <c r="R92" s="600"/>
      <c r="S92" s="287"/>
      <c r="T92" s="600"/>
      <c r="U92" s="287"/>
      <c r="V92" s="71"/>
      <c r="W92" s="345"/>
      <c r="X92" s="158"/>
      <c r="Y92" s="134"/>
      <c r="Z92" s="134"/>
      <c r="AA92" s="137"/>
      <c r="AB92" s="408">
        <v>117</v>
      </c>
    </row>
    <row r="93" spans="1:34" ht="12.6" customHeight="1" x14ac:dyDescent="0.2">
      <c r="A93" s="18"/>
      <c r="B93" s="699" t="s">
        <v>483</v>
      </c>
      <c r="C93" s="740"/>
      <c r="D93" s="740"/>
      <c r="E93" s="741"/>
      <c r="F93" s="288"/>
      <c r="G93" s="339"/>
      <c r="H93" s="260"/>
      <c r="I93" s="280"/>
      <c r="J93" s="458"/>
      <c r="K93" s="288"/>
      <c r="L93" s="458"/>
      <c r="M93" s="288"/>
      <c r="N93" s="458"/>
      <c r="O93" s="288"/>
      <c r="P93" s="458"/>
      <c r="Q93" s="288"/>
      <c r="R93" s="458"/>
      <c r="S93" s="288"/>
      <c r="T93" s="458"/>
      <c r="U93" s="288"/>
      <c r="V93" s="89"/>
      <c r="W93" s="344"/>
      <c r="X93" s="158"/>
      <c r="Y93" s="134"/>
      <c r="Z93" s="134"/>
      <c r="AA93" s="137"/>
      <c r="AB93" s="408"/>
    </row>
    <row r="94" spans="1:34" ht="12.6" customHeight="1" x14ac:dyDescent="0.2">
      <c r="A94" s="18"/>
      <c r="B94" s="677" t="s">
        <v>466</v>
      </c>
      <c r="C94" s="678"/>
      <c r="D94" s="678"/>
      <c r="E94" s="678"/>
      <c r="F94" s="287"/>
      <c r="G94" s="307"/>
      <c r="H94" s="262"/>
      <c r="I94" s="281"/>
      <c r="J94" s="600"/>
      <c r="K94" s="287"/>
      <c r="L94" s="600"/>
      <c r="M94" s="287"/>
      <c r="N94" s="600"/>
      <c r="O94" s="287"/>
      <c r="P94" s="600"/>
      <c r="Q94" s="287"/>
      <c r="R94" s="600"/>
      <c r="S94" s="287"/>
      <c r="T94" s="600"/>
      <c r="U94" s="287"/>
      <c r="V94" s="71"/>
      <c r="W94" s="345"/>
      <c r="X94" s="158"/>
      <c r="Y94" s="134"/>
      <c r="Z94" s="134"/>
      <c r="AA94" s="137"/>
      <c r="AB94" s="408">
        <v>129</v>
      </c>
    </row>
    <row r="95" spans="1:34" ht="12.6" customHeight="1" x14ac:dyDescent="0.2">
      <c r="A95" s="104"/>
      <c r="B95" s="794" t="s">
        <v>389</v>
      </c>
      <c r="C95" s="853"/>
      <c r="D95" s="853"/>
      <c r="E95" s="853"/>
      <c r="F95" s="543">
        <v>480</v>
      </c>
      <c r="G95" s="552">
        <f t="shared" ref="G95:G100" si="161">+F95*$X$1</f>
        <v>480</v>
      </c>
      <c r="H95" s="553"/>
      <c r="I95" s="545"/>
      <c r="J95" s="554">
        <f>F95+180</f>
        <v>660</v>
      </c>
      <c r="K95" s="555">
        <f>+J95*$X$1</f>
        <v>660</v>
      </c>
      <c r="L95" s="556">
        <f>F95+120</f>
        <v>600</v>
      </c>
      <c r="M95" s="555">
        <f t="shared" ref="M95:M97" si="162">+L95*$X$1</f>
        <v>600</v>
      </c>
      <c r="N95" s="557">
        <f>F95+7.2</f>
        <v>487.2</v>
      </c>
      <c r="O95" s="968" t="s">
        <v>152</v>
      </c>
      <c r="P95" s="969"/>
      <c r="Q95" s="969"/>
      <c r="R95" s="969"/>
      <c r="S95" s="969"/>
      <c r="T95" s="969"/>
      <c r="U95" s="969"/>
      <c r="V95" s="969"/>
      <c r="W95" s="969"/>
      <c r="X95" s="159"/>
      <c r="Y95" s="134"/>
      <c r="Z95" s="134"/>
      <c r="AA95" s="137"/>
      <c r="AB95" s="414">
        <v>247</v>
      </c>
    </row>
    <row r="96" spans="1:34" ht="12.6" customHeight="1" x14ac:dyDescent="0.2">
      <c r="A96" s="97"/>
      <c r="B96" s="699" t="s">
        <v>497</v>
      </c>
      <c r="C96" s="740"/>
      <c r="D96" s="740"/>
      <c r="E96" s="741"/>
      <c r="F96" s="380">
        <f>2.631*X2</f>
        <v>2852.0039999999999</v>
      </c>
      <c r="G96" s="311">
        <f>+F96*$X$1</f>
        <v>2852.0039999999999</v>
      </c>
      <c r="H96" s="280"/>
      <c r="I96" s="280"/>
      <c r="J96" s="458">
        <f>F96+180</f>
        <v>3032.0039999999999</v>
      </c>
      <c r="K96" s="288">
        <f t="shared" ref="K96" si="163">+J96*$X$1</f>
        <v>3032.0039999999999</v>
      </c>
      <c r="L96" s="458">
        <f t="shared" ref="L96" si="164">F96+120</f>
        <v>2972.0039999999999</v>
      </c>
      <c r="M96" s="288">
        <f>+L96*$X$1</f>
        <v>2972.0039999999999</v>
      </c>
      <c r="N96" s="458">
        <f>F96+63</f>
        <v>2915.0039999999999</v>
      </c>
      <c r="O96" s="288">
        <f t="shared" ref="O96" si="165">+N96*$X$1</f>
        <v>2915.0039999999999</v>
      </c>
      <c r="P96" s="458">
        <f t="shared" ref="P96" si="166">F96+54</f>
        <v>2906.0039999999999</v>
      </c>
      <c r="Q96" s="288">
        <f>+P96*$X$1</f>
        <v>2906.0039999999999</v>
      </c>
      <c r="R96" s="458">
        <f>F96+45</f>
        <v>2897.0039999999999</v>
      </c>
      <c r="S96" s="288">
        <f t="shared" ref="S96" si="167">+R96*$X$1</f>
        <v>2897.0039999999999</v>
      </c>
      <c r="T96" s="102">
        <f>F96+37</f>
        <v>2889.0039999999999</v>
      </c>
      <c r="U96" s="305">
        <f t="shared" ref="U96" si="168">+T96*$X$1</f>
        <v>2889.0039999999999</v>
      </c>
      <c r="V96" s="102">
        <f>F96+32</f>
        <v>2884.0039999999999</v>
      </c>
      <c r="W96" s="305">
        <f>+V96*$X$1</f>
        <v>2884.0039999999999</v>
      </c>
      <c r="X96" s="159"/>
      <c r="Y96" s="134"/>
      <c r="Z96" s="134"/>
      <c r="AA96" s="137"/>
      <c r="AB96" s="414">
        <v>249</v>
      </c>
    </row>
    <row r="97" spans="1:29" ht="12.6" customHeight="1" x14ac:dyDescent="0.2">
      <c r="A97" s="104"/>
      <c r="B97" s="961" t="s">
        <v>388</v>
      </c>
      <c r="C97" s="686"/>
      <c r="D97" s="686"/>
      <c r="E97" s="686"/>
      <c r="F97" s="544">
        <v>80</v>
      </c>
      <c r="G97" s="550">
        <f t="shared" si="161"/>
        <v>80</v>
      </c>
      <c r="H97" s="551"/>
      <c r="I97" s="551"/>
      <c r="J97" s="547">
        <f>F97+200</f>
        <v>280</v>
      </c>
      <c r="K97" s="544">
        <f t="shared" ref="K97" si="169">+J97*$X$1</f>
        <v>280</v>
      </c>
      <c r="L97" s="546">
        <f>F97+140</f>
        <v>220</v>
      </c>
      <c r="M97" s="544">
        <f t="shared" si="162"/>
        <v>220</v>
      </c>
      <c r="N97" s="546">
        <f>F97+90</f>
        <v>170</v>
      </c>
      <c r="O97" s="544">
        <f t="shared" ref="O97" si="170">+N97*$X$1</f>
        <v>170</v>
      </c>
      <c r="P97" s="546">
        <f>F97+80</f>
        <v>160</v>
      </c>
      <c r="Q97" s="544">
        <f t="shared" ref="Q97" si="171">+P97*$X$1</f>
        <v>160</v>
      </c>
      <c r="R97" s="546">
        <f>F97+70</f>
        <v>150</v>
      </c>
      <c r="S97" s="544">
        <f t="shared" ref="S97" si="172">+R97*$X$1</f>
        <v>150</v>
      </c>
      <c r="T97" s="546">
        <f>F97+65</f>
        <v>145</v>
      </c>
      <c r="U97" s="544">
        <f t="shared" ref="U97" si="173">+T97*$X$1</f>
        <v>145</v>
      </c>
      <c r="V97" s="546">
        <f>F97+60</f>
        <v>140</v>
      </c>
      <c r="W97" s="544">
        <f t="shared" ref="W97" si="174">+V97*$X$1</f>
        <v>140</v>
      </c>
      <c r="X97" s="160"/>
      <c r="Y97" s="134"/>
      <c r="Z97" s="134"/>
      <c r="AA97" s="137"/>
      <c r="AB97" s="415">
        <v>251</v>
      </c>
    </row>
    <row r="98" spans="1:29" ht="12.6" customHeight="1" x14ac:dyDescent="0.2">
      <c r="A98" s="18"/>
      <c r="B98" s="692" t="s">
        <v>359</v>
      </c>
      <c r="C98" s="693"/>
      <c r="D98" s="693"/>
      <c r="E98" s="693"/>
      <c r="F98" s="288">
        <v>690</v>
      </c>
      <c r="G98" s="288">
        <f t="shared" si="161"/>
        <v>690</v>
      </c>
      <c r="H98" s="280"/>
      <c r="I98" s="280"/>
      <c r="J98" s="115">
        <f t="shared" ref="J98" si="175">F98+150</f>
        <v>840</v>
      </c>
      <c r="K98" s="288">
        <f t="shared" ref="K98:K104" si="176">+J98*$X$1</f>
        <v>840</v>
      </c>
      <c r="L98" s="458"/>
      <c r="M98" s="458"/>
      <c r="N98" s="458">
        <f>F98+23</f>
        <v>713</v>
      </c>
      <c r="O98" s="458"/>
      <c r="P98" s="280"/>
      <c r="Q98" s="280"/>
      <c r="R98" s="458">
        <f>F98+15</f>
        <v>705</v>
      </c>
      <c r="S98" s="458"/>
      <c r="T98" s="458">
        <f>F98+12</f>
        <v>702</v>
      </c>
      <c r="U98" s="458"/>
      <c r="V98" s="458">
        <f>F98+10</f>
        <v>700</v>
      </c>
      <c r="W98" s="458"/>
      <c r="X98" s="160"/>
      <c r="Y98" s="134"/>
      <c r="Z98" s="134"/>
      <c r="AA98" s="137"/>
      <c r="AB98" s="415" t="s">
        <v>153</v>
      </c>
    </row>
    <row r="99" spans="1:29" ht="12.6" customHeight="1" x14ac:dyDescent="0.2">
      <c r="A99" s="18"/>
      <c r="B99" s="732" t="s">
        <v>487</v>
      </c>
      <c r="C99" s="958"/>
      <c r="D99" s="958"/>
      <c r="E99" s="959"/>
      <c r="F99" s="379">
        <f>12.04*X2</f>
        <v>13051.359999999999</v>
      </c>
      <c r="G99" s="287">
        <f t="shared" si="161"/>
        <v>13051.359999999999</v>
      </c>
      <c r="H99" s="662">
        <f>F99+500</f>
        <v>13551.359999999999</v>
      </c>
      <c r="I99" s="287">
        <f t="shared" ref="I99:I104" si="177">+H99*$X$1</f>
        <v>13551.359999999999</v>
      </c>
      <c r="J99" s="662">
        <f t="shared" ref="J99:J105" si="178">F99+180</f>
        <v>13231.359999999999</v>
      </c>
      <c r="K99" s="287">
        <f t="shared" si="176"/>
        <v>13231.359999999999</v>
      </c>
      <c r="L99" s="662">
        <f t="shared" ref="L99:L104" si="179">F99+120</f>
        <v>13171.359999999999</v>
      </c>
      <c r="M99" s="287">
        <f t="shared" ref="M99:M105" si="180">+L99*$X$1</f>
        <v>13171.359999999999</v>
      </c>
      <c r="N99" s="662">
        <f t="shared" ref="N99:N105" si="181">F99+65</f>
        <v>13116.359999999999</v>
      </c>
      <c r="O99" s="287">
        <f t="shared" ref="O99:O104" si="182">+N99*$X$1</f>
        <v>13116.359999999999</v>
      </c>
      <c r="P99" s="662">
        <f t="shared" ref="P99:P104" si="183">F99+54</f>
        <v>13105.359999999999</v>
      </c>
      <c r="Q99" s="287">
        <f t="shared" ref="Q99:Q105" si="184">+P99*$X$1</f>
        <v>13105.359999999999</v>
      </c>
      <c r="R99" s="662">
        <f t="shared" ref="R99:R105" si="185">F99+45</f>
        <v>13096.359999999999</v>
      </c>
      <c r="S99" s="287">
        <f t="shared" ref="S99:S104" si="186">+R99*$X$1</f>
        <v>13096.359999999999</v>
      </c>
      <c r="T99" s="103">
        <f t="shared" ref="T99:T105" si="187">F99+37</f>
        <v>13088.359999999999</v>
      </c>
      <c r="U99" s="255">
        <f t="shared" ref="U99:U104" si="188">+T99*$X$1</f>
        <v>13088.359999999999</v>
      </c>
      <c r="V99" s="103">
        <f t="shared" ref="V99:V105" si="189">F99+32</f>
        <v>13083.359999999999</v>
      </c>
      <c r="W99" s="255">
        <f t="shared" ref="W99:W105" si="190">+V99*$X$1</f>
        <v>13083.359999999999</v>
      </c>
      <c r="X99" s="161"/>
      <c r="Y99" s="134"/>
      <c r="Z99" s="134"/>
      <c r="AA99" s="137"/>
      <c r="AB99" s="415">
        <v>268</v>
      </c>
    </row>
    <row r="100" spans="1:29" ht="12.6" customHeight="1" x14ac:dyDescent="0.2">
      <c r="A100" s="18"/>
      <c r="B100" s="692" t="s">
        <v>658</v>
      </c>
      <c r="C100" s="693"/>
      <c r="D100" s="693"/>
      <c r="E100" s="693"/>
      <c r="F100" s="380">
        <f>4.49*X2</f>
        <v>4867.16</v>
      </c>
      <c r="G100" s="288">
        <f t="shared" si="161"/>
        <v>4867.16</v>
      </c>
      <c r="H100" s="458">
        <f t="shared" ref="H100:H104" si="191">F100+500</f>
        <v>5367.16</v>
      </c>
      <c r="I100" s="288">
        <f t="shared" si="177"/>
        <v>5367.16</v>
      </c>
      <c r="J100" s="458">
        <f t="shared" si="178"/>
        <v>5047.16</v>
      </c>
      <c r="K100" s="288">
        <f t="shared" si="176"/>
        <v>5047.16</v>
      </c>
      <c r="L100" s="458">
        <f t="shared" si="179"/>
        <v>4987.16</v>
      </c>
      <c r="M100" s="288">
        <f t="shared" si="180"/>
        <v>4987.16</v>
      </c>
      <c r="N100" s="458">
        <f t="shared" si="181"/>
        <v>4932.16</v>
      </c>
      <c r="O100" s="288">
        <f t="shared" si="182"/>
        <v>4932.16</v>
      </c>
      <c r="P100" s="458">
        <f t="shared" si="183"/>
        <v>4921.16</v>
      </c>
      <c r="Q100" s="288">
        <f t="shared" si="184"/>
        <v>4921.16</v>
      </c>
      <c r="R100" s="458">
        <f t="shared" si="185"/>
        <v>4912.16</v>
      </c>
      <c r="S100" s="288">
        <f t="shared" si="186"/>
        <v>4912.16</v>
      </c>
      <c r="T100" s="102">
        <f t="shared" si="187"/>
        <v>4904.16</v>
      </c>
      <c r="U100" s="305">
        <f t="shared" si="188"/>
        <v>4904.16</v>
      </c>
      <c r="V100" s="102">
        <f t="shared" si="189"/>
        <v>4899.16</v>
      </c>
      <c r="W100" s="305">
        <f t="shared" si="190"/>
        <v>4899.16</v>
      </c>
      <c r="X100" s="161"/>
      <c r="Y100" s="138"/>
      <c r="Z100" s="134"/>
      <c r="AA100" s="137"/>
      <c r="AB100" s="415">
        <v>270</v>
      </c>
      <c r="AC100" s="30"/>
    </row>
    <row r="101" spans="1:29" ht="12.6" customHeight="1" x14ac:dyDescent="0.2">
      <c r="A101" s="18"/>
      <c r="B101" s="677" t="s">
        <v>154</v>
      </c>
      <c r="C101" s="678"/>
      <c r="D101" s="678"/>
      <c r="E101" s="678"/>
      <c r="F101" s="379">
        <f>13.1*X2</f>
        <v>14200.4</v>
      </c>
      <c r="G101" s="287">
        <f t="shared" ref="G101:G102" si="192">+F101*$X$1</f>
        <v>14200.4</v>
      </c>
      <c r="H101" s="662">
        <f t="shared" si="191"/>
        <v>14700.4</v>
      </c>
      <c r="I101" s="287">
        <f t="shared" si="177"/>
        <v>14700.4</v>
      </c>
      <c r="J101" s="662">
        <f t="shared" si="178"/>
        <v>14380.4</v>
      </c>
      <c r="K101" s="287">
        <f t="shared" si="176"/>
        <v>14380.4</v>
      </c>
      <c r="L101" s="662">
        <f t="shared" si="179"/>
        <v>14320.4</v>
      </c>
      <c r="M101" s="287">
        <f t="shared" si="180"/>
        <v>14320.4</v>
      </c>
      <c r="N101" s="662">
        <f t="shared" si="181"/>
        <v>14265.4</v>
      </c>
      <c r="O101" s="287">
        <f t="shared" si="182"/>
        <v>14265.4</v>
      </c>
      <c r="P101" s="662">
        <f t="shared" si="183"/>
        <v>14254.4</v>
      </c>
      <c r="Q101" s="287">
        <f t="shared" si="184"/>
        <v>14254.4</v>
      </c>
      <c r="R101" s="662">
        <f t="shared" si="185"/>
        <v>14245.4</v>
      </c>
      <c r="S101" s="287">
        <f t="shared" si="186"/>
        <v>14245.4</v>
      </c>
      <c r="T101" s="103">
        <f t="shared" si="187"/>
        <v>14237.4</v>
      </c>
      <c r="U101" s="255">
        <f t="shared" si="188"/>
        <v>14237.4</v>
      </c>
      <c r="V101" s="103">
        <f t="shared" si="189"/>
        <v>14232.4</v>
      </c>
      <c r="W101" s="255">
        <f t="shared" si="190"/>
        <v>14232.4</v>
      </c>
      <c r="X101" s="160"/>
      <c r="Y101" s="134"/>
      <c r="Z101" s="134"/>
      <c r="AA101" s="137"/>
      <c r="AB101" s="415">
        <v>273</v>
      </c>
      <c r="AC101" s="30"/>
    </row>
    <row r="102" spans="1:29" ht="12.6" customHeight="1" x14ac:dyDescent="0.2">
      <c r="A102" s="18"/>
      <c r="B102" s="692" t="s">
        <v>155</v>
      </c>
      <c r="C102" s="693"/>
      <c r="D102" s="693"/>
      <c r="E102" s="693"/>
      <c r="F102" s="380">
        <f>8.7*X2</f>
        <v>9430.7999999999993</v>
      </c>
      <c r="G102" s="288">
        <f t="shared" si="192"/>
        <v>9430.7999999999993</v>
      </c>
      <c r="H102" s="458">
        <f t="shared" si="191"/>
        <v>9930.7999999999993</v>
      </c>
      <c r="I102" s="288">
        <f t="shared" si="177"/>
        <v>9930.7999999999993</v>
      </c>
      <c r="J102" s="458">
        <f t="shared" si="178"/>
        <v>9610.7999999999993</v>
      </c>
      <c r="K102" s="288">
        <f t="shared" si="176"/>
        <v>9610.7999999999993</v>
      </c>
      <c r="L102" s="458">
        <f t="shared" si="179"/>
        <v>9550.7999999999993</v>
      </c>
      <c r="M102" s="288">
        <f t="shared" si="180"/>
        <v>9550.7999999999993</v>
      </c>
      <c r="N102" s="458">
        <f t="shared" si="181"/>
        <v>9495.7999999999993</v>
      </c>
      <c r="O102" s="288">
        <f t="shared" si="182"/>
        <v>9495.7999999999993</v>
      </c>
      <c r="P102" s="458">
        <f t="shared" si="183"/>
        <v>9484.7999999999993</v>
      </c>
      <c r="Q102" s="288">
        <f t="shared" si="184"/>
        <v>9484.7999999999993</v>
      </c>
      <c r="R102" s="458">
        <f t="shared" si="185"/>
        <v>9475.7999999999993</v>
      </c>
      <c r="S102" s="288">
        <f t="shared" si="186"/>
        <v>9475.7999999999993</v>
      </c>
      <c r="T102" s="102">
        <f t="shared" si="187"/>
        <v>9467.7999999999993</v>
      </c>
      <c r="U102" s="305">
        <f t="shared" si="188"/>
        <v>9467.7999999999993</v>
      </c>
      <c r="V102" s="102">
        <f t="shared" si="189"/>
        <v>9462.7999999999993</v>
      </c>
      <c r="W102" s="305">
        <f t="shared" si="190"/>
        <v>9462.7999999999993</v>
      </c>
      <c r="X102" s="161"/>
      <c r="Y102" s="138"/>
      <c r="Z102" s="134"/>
      <c r="AA102" s="137"/>
      <c r="AB102" s="415">
        <v>278</v>
      </c>
      <c r="AC102" s="30"/>
    </row>
    <row r="103" spans="1:29" ht="12.6" customHeight="1" x14ac:dyDescent="0.2">
      <c r="A103" s="18"/>
      <c r="B103" s="673" t="s">
        <v>971</v>
      </c>
      <c r="C103" s="674"/>
      <c r="D103" s="674"/>
      <c r="E103" s="674"/>
      <c r="F103" s="379">
        <f>1.55*X2</f>
        <v>1680.2</v>
      </c>
      <c r="G103" s="287">
        <f>+F103*$X$1</f>
        <v>1680.2</v>
      </c>
      <c r="H103" s="71"/>
      <c r="I103" s="287"/>
      <c r="J103" s="662">
        <f t="shared" ref="J103" si="193">F103+180</f>
        <v>1860.2</v>
      </c>
      <c r="K103" s="287">
        <f t="shared" si="176"/>
        <v>1860.2</v>
      </c>
      <c r="L103" s="662">
        <f t="shared" si="179"/>
        <v>1800.2</v>
      </c>
      <c r="M103" s="287">
        <f t="shared" ref="M103" si="194">+L103*$X$1</f>
        <v>1800.2</v>
      </c>
      <c r="N103" s="662">
        <f t="shared" ref="N103" si="195">F103+65</f>
        <v>1745.2</v>
      </c>
      <c r="O103" s="287">
        <f t="shared" si="182"/>
        <v>1745.2</v>
      </c>
      <c r="P103" s="662">
        <f t="shared" si="183"/>
        <v>1734.2</v>
      </c>
      <c r="Q103" s="287">
        <f t="shared" ref="Q103" si="196">+P103*$X$1</f>
        <v>1734.2</v>
      </c>
      <c r="R103" s="662">
        <f t="shared" ref="R103" si="197">F103+45</f>
        <v>1725.2</v>
      </c>
      <c r="S103" s="287">
        <f>+R103*$X$1</f>
        <v>1725.2</v>
      </c>
      <c r="T103" s="103">
        <f t="shared" ref="T103" si="198">F103+37</f>
        <v>1717.2</v>
      </c>
      <c r="U103" s="255">
        <f>+T103*$X$1</f>
        <v>1717.2</v>
      </c>
      <c r="V103" s="103">
        <f t="shared" ref="V103" si="199">F103+32</f>
        <v>1712.2</v>
      </c>
      <c r="W103" s="255">
        <f t="shared" ref="W103" si="200">+V103*$X$1</f>
        <v>1712.2</v>
      </c>
      <c r="X103" s="158"/>
      <c r="Y103" s="138"/>
      <c r="Z103" s="134"/>
      <c r="AA103" s="137"/>
      <c r="AB103" s="415">
        <v>285</v>
      </c>
      <c r="AC103" s="30"/>
    </row>
    <row r="104" spans="1:29" ht="12.6" customHeight="1" x14ac:dyDescent="0.2">
      <c r="A104" s="18"/>
      <c r="B104" s="971" t="s">
        <v>156</v>
      </c>
      <c r="C104" s="972"/>
      <c r="D104" s="972"/>
      <c r="E104" s="972"/>
      <c r="F104" s="380">
        <f>2.03*X2</f>
        <v>2200.52</v>
      </c>
      <c r="G104" s="288">
        <f>+F104*$X$1</f>
        <v>2200.52</v>
      </c>
      <c r="H104" s="458">
        <f t="shared" si="191"/>
        <v>2700.52</v>
      </c>
      <c r="I104" s="288">
        <f t="shared" si="177"/>
        <v>2700.52</v>
      </c>
      <c r="J104" s="458">
        <f t="shared" si="178"/>
        <v>2380.52</v>
      </c>
      <c r="K104" s="288">
        <f t="shared" si="176"/>
        <v>2380.52</v>
      </c>
      <c r="L104" s="458">
        <f t="shared" si="179"/>
        <v>2320.52</v>
      </c>
      <c r="M104" s="288">
        <f t="shared" si="180"/>
        <v>2320.52</v>
      </c>
      <c r="N104" s="458">
        <f t="shared" si="181"/>
        <v>2265.52</v>
      </c>
      <c r="O104" s="288">
        <f t="shared" si="182"/>
        <v>2265.52</v>
      </c>
      <c r="P104" s="458">
        <f t="shared" si="183"/>
        <v>2254.52</v>
      </c>
      <c r="Q104" s="288">
        <f t="shared" si="184"/>
        <v>2254.52</v>
      </c>
      <c r="R104" s="458">
        <f t="shared" si="185"/>
        <v>2245.52</v>
      </c>
      <c r="S104" s="288">
        <f t="shared" si="186"/>
        <v>2245.52</v>
      </c>
      <c r="T104" s="102">
        <f t="shared" si="187"/>
        <v>2237.52</v>
      </c>
      <c r="U104" s="305">
        <f t="shared" si="188"/>
        <v>2237.52</v>
      </c>
      <c r="V104" s="102">
        <f t="shared" si="189"/>
        <v>2232.52</v>
      </c>
      <c r="W104" s="305">
        <f t="shared" si="190"/>
        <v>2232.52</v>
      </c>
      <c r="X104" s="158"/>
      <c r="Y104" s="138"/>
      <c r="Z104" s="134"/>
      <c r="AA104" s="137"/>
      <c r="AB104" s="415">
        <v>288</v>
      </c>
      <c r="AC104" s="30"/>
    </row>
    <row r="105" spans="1:29" ht="12.6" customHeight="1" x14ac:dyDescent="0.2">
      <c r="A105" s="18"/>
      <c r="B105" s="677" t="s">
        <v>157</v>
      </c>
      <c r="C105" s="678"/>
      <c r="D105" s="678"/>
      <c r="E105" s="678"/>
      <c r="F105" s="287">
        <v>426</v>
      </c>
      <c r="G105" s="287">
        <f>+F105*$X$1</f>
        <v>426</v>
      </c>
      <c r="H105" s="71"/>
      <c r="I105" s="287"/>
      <c r="J105" s="600">
        <f t="shared" si="178"/>
        <v>606</v>
      </c>
      <c r="K105" s="287">
        <f t="shared" ref="K105" si="201">+J105*$X$1</f>
        <v>606</v>
      </c>
      <c r="L105" s="600">
        <f t="shared" ref="L105" si="202">F105+120</f>
        <v>546</v>
      </c>
      <c r="M105" s="287">
        <f t="shared" si="180"/>
        <v>546</v>
      </c>
      <c r="N105" s="600">
        <f t="shared" si="181"/>
        <v>491</v>
      </c>
      <c r="O105" s="287">
        <f t="shared" ref="O105" si="203">+N105*$X$1</f>
        <v>491</v>
      </c>
      <c r="P105" s="600">
        <f t="shared" ref="P105" si="204">F105+54</f>
        <v>480</v>
      </c>
      <c r="Q105" s="287">
        <f t="shared" si="184"/>
        <v>480</v>
      </c>
      <c r="R105" s="600">
        <f t="shared" si="185"/>
        <v>471</v>
      </c>
      <c r="S105" s="287">
        <f>+R105*$X$1</f>
        <v>471</v>
      </c>
      <c r="T105" s="103">
        <f t="shared" si="187"/>
        <v>463</v>
      </c>
      <c r="U105" s="255">
        <f>+T105*$X$1</f>
        <v>463</v>
      </c>
      <c r="V105" s="103">
        <f t="shared" si="189"/>
        <v>458</v>
      </c>
      <c r="W105" s="255">
        <f t="shared" si="190"/>
        <v>458</v>
      </c>
      <c r="X105" s="158"/>
      <c r="Y105" s="138"/>
      <c r="Z105" s="134"/>
      <c r="AA105" s="137"/>
      <c r="AB105" s="415">
        <v>289</v>
      </c>
      <c r="AC105" s="30"/>
    </row>
    <row r="106" spans="1:29" ht="12.6" customHeight="1" x14ac:dyDescent="0.2">
      <c r="A106" s="18"/>
      <c r="B106" s="692" t="s">
        <v>158</v>
      </c>
      <c r="C106" s="693"/>
      <c r="D106" s="693"/>
      <c r="E106" s="693"/>
      <c r="F106" s="288"/>
      <c r="G106" s="811" t="s">
        <v>580</v>
      </c>
      <c r="H106" s="812"/>
      <c r="I106" s="812"/>
      <c r="J106" s="812"/>
      <c r="K106" s="812"/>
      <c r="L106" s="812"/>
      <c r="M106" s="812"/>
      <c r="N106" s="812"/>
      <c r="O106" s="813"/>
      <c r="P106" s="282">
        <v>635</v>
      </c>
      <c r="Q106" s="288">
        <f t="shared" ref="Q106:Q109" si="205">+P106*$X$1</f>
        <v>635</v>
      </c>
      <c r="R106" s="113">
        <v>585</v>
      </c>
      <c r="S106" s="305">
        <f t="shared" ref="S106:S109" si="206">+R106*$X$1</f>
        <v>585</v>
      </c>
      <c r="T106" s="102">
        <v>551</v>
      </c>
      <c r="U106" s="305">
        <f t="shared" ref="U106:U109" si="207">+T106*$X$1</f>
        <v>551</v>
      </c>
      <c r="V106" s="102">
        <v>469</v>
      </c>
      <c r="W106" s="305">
        <f t="shared" ref="W106:W109" si="208">+V106*$X$1</f>
        <v>469</v>
      </c>
      <c r="X106" s="817"/>
      <c r="Y106" s="818"/>
      <c r="Z106" s="818"/>
      <c r="AA106" s="819"/>
      <c r="AB106" s="415">
        <v>290</v>
      </c>
    </row>
    <row r="107" spans="1:29" ht="12.6" customHeight="1" x14ac:dyDescent="0.2">
      <c r="A107" s="18"/>
      <c r="B107" s="677" t="s">
        <v>401</v>
      </c>
      <c r="C107" s="678"/>
      <c r="D107" s="678"/>
      <c r="E107" s="678"/>
      <c r="F107" s="287"/>
      <c r="G107" s="811" t="s">
        <v>581</v>
      </c>
      <c r="H107" s="812"/>
      <c r="I107" s="812"/>
      <c r="J107" s="812"/>
      <c r="K107" s="812"/>
      <c r="L107" s="812"/>
      <c r="M107" s="812"/>
      <c r="N107" s="812"/>
      <c r="O107" s="813"/>
      <c r="P107" s="283">
        <v>782</v>
      </c>
      <c r="Q107" s="287">
        <f t="shared" si="205"/>
        <v>782</v>
      </c>
      <c r="R107" s="402">
        <v>719</v>
      </c>
      <c r="S107" s="255">
        <f t="shared" si="206"/>
        <v>719</v>
      </c>
      <c r="T107" s="603">
        <v>677</v>
      </c>
      <c r="U107" s="255">
        <f t="shared" si="207"/>
        <v>677</v>
      </c>
      <c r="V107" s="603">
        <v>577</v>
      </c>
      <c r="W107" s="255">
        <f t="shared" si="208"/>
        <v>577</v>
      </c>
      <c r="X107" s="817"/>
      <c r="Y107" s="818"/>
      <c r="Z107" s="818"/>
      <c r="AA107" s="819"/>
      <c r="AB107" s="415" t="s">
        <v>159</v>
      </c>
    </row>
    <row r="108" spans="1:29" ht="12.6" customHeight="1" x14ac:dyDescent="0.2">
      <c r="A108" s="18"/>
      <c r="B108" s="692" t="s">
        <v>402</v>
      </c>
      <c r="C108" s="693"/>
      <c r="D108" s="693"/>
      <c r="E108" s="693"/>
      <c r="F108" s="288"/>
      <c r="G108" s="811" t="s">
        <v>582</v>
      </c>
      <c r="H108" s="812"/>
      <c r="I108" s="812"/>
      <c r="J108" s="812"/>
      <c r="K108" s="812"/>
      <c r="L108" s="812"/>
      <c r="M108" s="813"/>
      <c r="N108" s="282">
        <v>790</v>
      </c>
      <c r="O108" s="288">
        <f t="shared" ref="O108:O109" si="209">+N108*$X$1</f>
        <v>790</v>
      </c>
      <c r="P108" s="282">
        <v>786</v>
      </c>
      <c r="Q108" s="288">
        <f t="shared" si="205"/>
        <v>786</v>
      </c>
      <c r="R108" s="604">
        <v>727</v>
      </c>
      <c r="S108" s="305">
        <f t="shared" si="206"/>
        <v>727</v>
      </c>
      <c r="T108" s="458">
        <v>685</v>
      </c>
      <c r="U108" s="305">
        <f t="shared" si="207"/>
        <v>685</v>
      </c>
      <c r="V108" s="458">
        <v>583</v>
      </c>
      <c r="W108" s="305">
        <f t="shared" si="208"/>
        <v>583</v>
      </c>
      <c r="X108" s="817"/>
      <c r="Y108" s="818"/>
      <c r="Z108" s="818"/>
      <c r="AA108" s="819"/>
      <c r="AB108" s="415">
        <v>291</v>
      </c>
    </row>
    <row r="109" spans="1:29" ht="12.6" customHeight="1" x14ac:dyDescent="0.2">
      <c r="A109" s="18"/>
      <c r="B109" s="677" t="s">
        <v>403</v>
      </c>
      <c r="C109" s="678"/>
      <c r="D109" s="678"/>
      <c r="E109" s="678"/>
      <c r="F109" s="287"/>
      <c r="G109" s="811" t="s">
        <v>583</v>
      </c>
      <c r="H109" s="812"/>
      <c r="I109" s="812"/>
      <c r="J109" s="812"/>
      <c r="K109" s="812"/>
      <c r="L109" s="812"/>
      <c r="M109" s="813"/>
      <c r="N109" s="283">
        <v>1012</v>
      </c>
      <c r="O109" s="287">
        <f t="shared" si="209"/>
        <v>1012</v>
      </c>
      <c r="P109" s="283">
        <v>1008</v>
      </c>
      <c r="Q109" s="287">
        <f t="shared" si="205"/>
        <v>1008</v>
      </c>
      <c r="R109" s="402">
        <v>930</v>
      </c>
      <c r="S109" s="255">
        <f t="shared" si="206"/>
        <v>930</v>
      </c>
      <c r="T109" s="603">
        <v>875</v>
      </c>
      <c r="U109" s="255">
        <f t="shared" si="207"/>
        <v>875</v>
      </c>
      <c r="V109" s="603">
        <v>747</v>
      </c>
      <c r="W109" s="255">
        <f t="shared" si="208"/>
        <v>747</v>
      </c>
      <c r="X109" s="817"/>
      <c r="Y109" s="818"/>
      <c r="Z109" s="818"/>
      <c r="AA109" s="819"/>
      <c r="AB109" s="415" t="s">
        <v>160</v>
      </c>
    </row>
    <row r="110" spans="1:29" ht="12.6" customHeight="1" x14ac:dyDescent="0.2">
      <c r="A110" s="18"/>
      <c r="B110" s="765" t="s">
        <v>350</v>
      </c>
      <c r="C110" s="743"/>
      <c r="D110" s="743"/>
      <c r="E110" s="743"/>
      <c r="F110" s="319"/>
      <c r="G110" s="319"/>
      <c r="H110" s="93"/>
      <c r="I110" s="777" t="s">
        <v>351</v>
      </c>
      <c r="J110" s="778"/>
      <c r="K110" s="778"/>
      <c r="L110" s="778"/>
      <c r="M110" s="778"/>
      <c r="N110" s="778"/>
      <c r="O110" s="778"/>
      <c r="P110" s="778"/>
      <c r="Q110" s="778"/>
      <c r="R110" s="778"/>
      <c r="S110" s="778"/>
      <c r="T110" s="778"/>
      <c r="U110" s="778"/>
      <c r="V110" s="778"/>
      <c r="W110" s="965"/>
      <c r="X110" s="687"/>
      <c r="Y110" s="688"/>
      <c r="Z110" s="688"/>
      <c r="AA110" s="689"/>
      <c r="AB110" s="415"/>
    </row>
    <row r="111" spans="1:29" ht="12.6" customHeight="1" x14ac:dyDescent="0.2">
      <c r="A111" s="18"/>
      <c r="B111" s="696" t="s">
        <v>352</v>
      </c>
      <c r="C111" s="807"/>
      <c r="D111" s="807"/>
      <c r="E111" s="807"/>
      <c r="F111" s="306"/>
      <c r="G111" s="351"/>
      <c r="H111" s="118"/>
      <c r="I111" s="781"/>
      <c r="J111" s="782"/>
      <c r="K111" s="782"/>
      <c r="L111" s="787"/>
      <c r="M111" s="787"/>
      <c r="N111" s="787"/>
      <c r="O111" s="782"/>
      <c r="P111" s="782"/>
      <c r="Q111" s="782"/>
      <c r="R111" s="782"/>
      <c r="S111" s="782"/>
      <c r="T111" s="787"/>
      <c r="U111" s="787"/>
      <c r="V111" s="787"/>
      <c r="W111" s="966"/>
      <c r="X111" s="687"/>
      <c r="Y111" s="688"/>
      <c r="Z111" s="688"/>
      <c r="AA111" s="689"/>
      <c r="AB111" s="415"/>
    </row>
    <row r="112" spans="1:29" ht="12.6" customHeight="1" x14ac:dyDescent="0.2">
      <c r="A112" s="18"/>
      <c r="B112" s="692" t="s">
        <v>772</v>
      </c>
      <c r="C112" s="693"/>
      <c r="D112" s="693"/>
      <c r="E112" s="693"/>
      <c r="F112" s="355"/>
      <c r="G112" s="811" t="s">
        <v>400</v>
      </c>
      <c r="H112" s="812"/>
      <c r="I112" s="812"/>
      <c r="J112" s="812"/>
      <c r="K112" s="813"/>
      <c r="L112" s="465">
        <v>1908</v>
      </c>
      <c r="M112" s="288">
        <f t="shared" ref="M112:O125" si="210">+L112*$X$1</f>
        <v>1908</v>
      </c>
      <c r="N112" s="124">
        <v>1685</v>
      </c>
      <c r="O112" s="288">
        <f t="shared" si="210"/>
        <v>1685</v>
      </c>
      <c r="P112" s="390">
        <v>1682</v>
      </c>
      <c r="Q112" s="288">
        <f t="shared" ref="Q112:Q124" si="211">+P112*$X$1</f>
        <v>1682</v>
      </c>
      <c r="R112" s="458">
        <v>1552</v>
      </c>
      <c r="S112" s="288">
        <f t="shared" ref="S112:S125" si="212">+R112*$X$1</f>
        <v>1552</v>
      </c>
      <c r="T112" s="458">
        <v>1460</v>
      </c>
      <c r="U112" s="319">
        <f t="shared" ref="U112:U122" si="213">+T112*$X$1</f>
        <v>1460</v>
      </c>
      <c r="V112" s="458">
        <v>857</v>
      </c>
      <c r="W112" s="319">
        <f t="shared" ref="W112:W122" si="214">+V112*$X$1</f>
        <v>857</v>
      </c>
      <c r="X112" s="817"/>
      <c r="Y112" s="818"/>
      <c r="Z112" s="818"/>
      <c r="AA112" s="819"/>
      <c r="AB112" s="415">
        <v>301</v>
      </c>
    </row>
    <row r="113" spans="1:28" ht="12.6" customHeight="1" x14ac:dyDescent="0.2">
      <c r="A113" s="18"/>
      <c r="B113" s="677" t="s">
        <v>773</v>
      </c>
      <c r="C113" s="678"/>
      <c r="D113" s="678"/>
      <c r="E113" s="678"/>
      <c r="F113" s="356"/>
      <c r="G113" s="811" t="s">
        <v>400</v>
      </c>
      <c r="H113" s="812"/>
      <c r="I113" s="812"/>
      <c r="J113" s="812"/>
      <c r="K113" s="813"/>
      <c r="L113" s="303">
        <v>2080</v>
      </c>
      <c r="M113" s="631">
        <f t="shared" si="210"/>
        <v>2080</v>
      </c>
      <c r="N113" s="402">
        <v>1840</v>
      </c>
      <c r="O113" s="631">
        <f t="shared" si="210"/>
        <v>1840</v>
      </c>
      <c r="P113" s="304">
        <v>1837</v>
      </c>
      <c r="Q113" s="287">
        <f t="shared" si="211"/>
        <v>1837</v>
      </c>
      <c r="R113" s="118">
        <v>1693</v>
      </c>
      <c r="S113" s="631">
        <f t="shared" si="212"/>
        <v>1693</v>
      </c>
      <c r="T113" s="603">
        <v>1593</v>
      </c>
      <c r="U113" s="306">
        <f t="shared" si="213"/>
        <v>1593</v>
      </c>
      <c r="V113" s="603">
        <v>974</v>
      </c>
      <c r="W113" s="306">
        <f t="shared" si="214"/>
        <v>974</v>
      </c>
      <c r="X113" s="817"/>
      <c r="Y113" s="818"/>
      <c r="Z113" s="818"/>
      <c r="AA113" s="819"/>
      <c r="AB113" s="415" t="s">
        <v>161</v>
      </c>
    </row>
    <row r="114" spans="1:28" ht="12.6" customHeight="1" x14ac:dyDescent="0.2">
      <c r="A114" s="18"/>
      <c r="B114" s="692" t="s">
        <v>774</v>
      </c>
      <c r="C114" s="693"/>
      <c r="D114" s="693"/>
      <c r="E114" s="693"/>
      <c r="F114" s="355"/>
      <c r="G114" s="811" t="s">
        <v>400</v>
      </c>
      <c r="H114" s="812"/>
      <c r="I114" s="812"/>
      <c r="J114" s="812"/>
      <c r="K114" s="813"/>
      <c r="L114" s="465">
        <v>3461</v>
      </c>
      <c r="M114" s="288">
        <f t="shared" ref="M114" si="215">+L114*$X$1</f>
        <v>3461</v>
      </c>
      <c r="N114" s="124">
        <v>3060</v>
      </c>
      <c r="O114" s="288">
        <f t="shared" ref="O114" si="216">+N114*$X$1</f>
        <v>3060</v>
      </c>
      <c r="P114" s="390">
        <v>3055</v>
      </c>
      <c r="Q114" s="288">
        <f t="shared" ref="Q114" si="217">+P114*$X$1</f>
        <v>3055</v>
      </c>
      <c r="R114" s="458">
        <v>2817</v>
      </c>
      <c r="S114" s="288">
        <f t="shared" ref="S114" si="218">+R114*$X$1</f>
        <v>2817</v>
      </c>
      <c r="T114" s="458">
        <v>2650</v>
      </c>
      <c r="U114" s="319">
        <f t="shared" ref="U114" si="219">+T114*$X$1</f>
        <v>2650</v>
      </c>
      <c r="V114" s="458">
        <v>1899</v>
      </c>
      <c r="W114" s="319">
        <f t="shared" ref="W114" si="220">+V114*$X$1</f>
        <v>1899</v>
      </c>
      <c r="X114" s="817"/>
      <c r="Y114" s="818"/>
      <c r="Z114" s="818"/>
      <c r="AA114" s="819"/>
      <c r="AB114" s="415" t="s">
        <v>162</v>
      </c>
    </row>
    <row r="115" spans="1:28" ht="12.6" customHeight="1" x14ac:dyDescent="0.2">
      <c r="A115" s="18"/>
      <c r="B115" s="677" t="s">
        <v>797</v>
      </c>
      <c r="C115" s="737"/>
      <c r="D115" s="737"/>
      <c r="E115" s="737"/>
      <c r="F115" s="356"/>
      <c r="G115" s="811" t="s">
        <v>400</v>
      </c>
      <c r="H115" s="812"/>
      <c r="I115" s="812"/>
      <c r="J115" s="812"/>
      <c r="K115" s="813"/>
      <c r="L115" s="596">
        <v>3461</v>
      </c>
      <c r="M115" s="287">
        <f t="shared" ref="M115" si="221">+L115*$X$1</f>
        <v>3461</v>
      </c>
      <c r="N115" s="402">
        <v>3060</v>
      </c>
      <c r="O115" s="287">
        <f t="shared" ref="O115" si="222">+N115*$X$1</f>
        <v>3060</v>
      </c>
      <c r="P115" s="602">
        <v>3055</v>
      </c>
      <c r="Q115" s="287">
        <f t="shared" ref="Q115" si="223">+P115*$X$1</f>
        <v>3055</v>
      </c>
      <c r="R115" s="603">
        <v>2817</v>
      </c>
      <c r="S115" s="287">
        <f t="shared" ref="S115" si="224">+R115*$X$1</f>
        <v>2817</v>
      </c>
      <c r="T115" s="603">
        <v>2650</v>
      </c>
      <c r="U115" s="306">
        <f t="shared" ref="U115" si="225">+T115*$X$1</f>
        <v>2650</v>
      </c>
      <c r="V115" s="603">
        <v>1899</v>
      </c>
      <c r="W115" s="306">
        <f t="shared" ref="W115" si="226">+V115*$X$1</f>
        <v>1899</v>
      </c>
      <c r="X115" s="817"/>
      <c r="Y115" s="818"/>
      <c r="Z115" s="818"/>
      <c r="AA115" s="819"/>
      <c r="AB115" s="415" t="s">
        <v>800</v>
      </c>
    </row>
    <row r="116" spans="1:28" ht="12.6" customHeight="1" x14ac:dyDescent="0.2">
      <c r="A116" s="18"/>
      <c r="B116" s="673" t="s">
        <v>799</v>
      </c>
      <c r="C116" s="698"/>
      <c r="D116" s="698"/>
      <c r="E116" s="698"/>
      <c r="F116" s="355"/>
      <c r="G116" s="811" t="s">
        <v>400</v>
      </c>
      <c r="H116" s="812"/>
      <c r="I116" s="812"/>
      <c r="J116" s="812"/>
      <c r="K116" s="813"/>
      <c r="L116" s="465">
        <v>2534</v>
      </c>
      <c r="M116" s="288">
        <f t="shared" ref="M116" si="227">+L116*$X$1</f>
        <v>2534</v>
      </c>
      <c r="N116" s="89">
        <v>2241</v>
      </c>
      <c r="O116" s="288">
        <f t="shared" ref="O116" si="228">+N116*$X$1</f>
        <v>2241</v>
      </c>
      <c r="P116" s="282">
        <v>2238</v>
      </c>
      <c r="Q116" s="288">
        <f t="shared" ref="Q116" si="229">+P116*$X$1</f>
        <v>2238</v>
      </c>
      <c r="R116" s="458">
        <v>2062</v>
      </c>
      <c r="S116" s="288">
        <f t="shared" ref="S116" si="230">+R116*$X$1</f>
        <v>2062</v>
      </c>
      <c r="T116" s="458">
        <v>1941</v>
      </c>
      <c r="U116" s="288">
        <f t="shared" ref="U116" si="231">+T116*$X$1</f>
        <v>1941</v>
      </c>
      <c r="V116" s="458">
        <v>1278</v>
      </c>
      <c r="W116" s="288">
        <f t="shared" ref="W116" si="232">+V116*$X$1</f>
        <v>1278</v>
      </c>
      <c r="X116" s="817"/>
      <c r="Y116" s="818"/>
      <c r="Z116" s="818"/>
      <c r="AA116" s="819"/>
      <c r="AB116" s="415" t="s">
        <v>803</v>
      </c>
    </row>
    <row r="117" spans="1:28" ht="12.6" customHeight="1" x14ac:dyDescent="0.2">
      <c r="A117" s="18"/>
      <c r="B117" s="677" t="s">
        <v>404</v>
      </c>
      <c r="C117" s="678"/>
      <c r="D117" s="678"/>
      <c r="E117" s="678"/>
      <c r="F117" s="345"/>
      <c r="G117" s="811" t="s">
        <v>399</v>
      </c>
      <c r="H117" s="812"/>
      <c r="I117" s="812"/>
      <c r="J117" s="812"/>
      <c r="K117" s="813"/>
      <c r="L117" s="466">
        <v>1410</v>
      </c>
      <c r="M117" s="287">
        <f t="shared" si="210"/>
        <v>1410</v>
      </c>
      <c r="N117" s="71">
        <v>1247</v>
      </c>
      <c r="O117" s="287">
        <f t="shared" si="210"/>
        <v>1247</v>
      </c>
      <c r="P117" s="320">
        <v>1244</v>
      </c>
      <c r="Q117" s="287">
        <f t="shared" si="211"/>
        <v>1244</v>
      </c>
      <c r="R117" s="603">
        <v>1147</v>
      </c>
      <c r="S117" s="287">
        <f t="shared" si="212"/>
        <v>1147</v>
      </c>
      <c r="T117" s="603">
        <v>1080</v>
      </c>
      <c r="U117" s="287">
        <f t="shared" si="213"/>
        <v>1080</v>
      </c>
      <c r="V117" s="603">
        <v>655</v>
      </c>
      <c r="W117" s="287">
        <f t="shared" si="214"/>
        <v>655</v>
      </c>
      <c r="X117" s="817"/>
      <c r="Y117" s="818"/>
      <c r="Z117" s="818"/>
      <c r="AA117" s="819"/>
      <c r="AB117" s="415">
        <v>302</v>
      </c>
    </row>
    <row r="118" spans="1:28" ht="12.6" customHeight="1" x14ac:dyDescent="0.2">
      <c r="A118" s="18"/>
      <c r="B118" s="692" t="s">
        <v>405</v>
      </c>
      <c r="C118" s="693"/>
      <c r="D118" s="693"/>
      <c r="E118" s="693"/>
      <c r="F118" s="288"/>
      <c r="G118" s="811" t="s">
        <v>399</v>
      </c>
      <c r="H118" s="812"/>
      <c r="I118" s="812"/>
      <c r="J118" s="812"/>
      <c r="K118" s="813"/>
      <c r="L118" s="465">
        <v>1584</v>
      </c>
      <c r="M118" s="288">
        <f t="shared" si="210"/>
        <v>1584</v>
      </c>
      <c r="N118" s="89">
        <v>1400</v>
      </c>
      <c r="O118" s="288">
        <f t="shared" si="210"/>
        <v>1400</v>
      </c>
      <c r="P118" s="282">
        <v>1397</v>
      </c>
      <c r="Q118" s="288">
        <f t="shared" si="211"/>
        <v>1397</v>
      </c>
      <c r="R118" s="458">
        <v>1289</v>
      </c>
      <c r="S118" s="288">
        <f t="shared" si="212"/>
        <v>1289</v>
      </c>
      <c r="T118" s="458">
        <v>1213</v>
      </c>
      <c r="U118" s="288">
        <f t="shared" si="213"/>
        <v>1213</v>
      </c>
      <c r="V118" s="458">
        <v>771</v>
      </c>
      <c r="W118" s="288">
        <f t="shared" si="214"/>
        <v>771</v>
      </c>
      <c r="X118" s="817"/>
      <c r="Y118" s="818"/>
      <c r="Z118" s="818"/>
      <c r="AA118" s="819"/>
      <c r="AB118" s="415" t="s">
        <v>163</v>
      </c>
    </row>
    <row r="119" spans="1:28" ht="12.6" customHeight="1" x14ac:dyDescent="0.2">
      <c r="A119" s="18"/>
      <c r="B119" s="677" t="s">
        <v>373</v>
      </c>
      <c r="C119" s="678"/>
      <c r="D119" s="678"/>
      <c r="E119" s="678"/>
      <c r="F119" s="345"/>
      <c r="G119" s="811" t="s">
        <v>399</v>
      </c>
      <c r="H119" s="812"/>
      <c r="I119" s="812"/>
      <c r="J119" s="812"/>
      <c r="K119" s="813"/>
      <c r="L119" s="466">
        <v>2965</v>
      </c>
      <c r="M119" s="287">
        <f t="shared" ref="M119" si="233">+L119*$X$1</f>
        <v>2965</v>
      </c>
      <c r="N119" s="71">
        <v>2621</v>
      </c>
      <c r="O119" s="287">
        <f t="shared" ref="O119" si="234">+N119*$X$1</f>
        <v>2621</v>
      </c>
      <c r="P119" s="320">
        <v>2618</v>
      </c>
      <c r="Q119" s="287">
        <f t="shared" ref="Q119" si="235">+P119*$X$1</f>
        <v>2618</v>
      </c>
      <c r="R119" s="603">
        <v>2413</v>
      </c>
      <c r="S119" s="287">
        <f t="shared" ref="S119" si="236">+R119*$X$1</f>
        <v>2413</v>
      </c>
      <c r="T119" s="603">
        <v>2270</v>
      </c>
      <c r="U119" s="287">
        <f t="shared" ref="U119" si="237">+T119*$X$1</f>
        <v>2270</v>
      </c>
      <c r="V119" s="603">
        <v>1697</v>
      </c>
      <c r="W119" s="287">
        <f t="shared" ref="W119" si="238">+V119*$X$1</f>
        <v>1697</v>
      </c>
      <c r="X119" s="817"/>
      <c r="Y119" s="818"/>
      <c r="Z119" s="818"/>
      <c r="AA119" s="819"/>
      <c r="AB119" s="415" t="s">
        <v>164</v>
      </c>
    </row>
    <row r="120" spans="1:28" ht="12.6" customHeight="1" x14ac:dyDescent="0.2">
      <c r="A120" s="18"/>
      <c r="B120" s="692" t="s">
        <v>798</v>
      </c>
      <c r="C120" s="967"/>
      <c r="D120" s="967"/>
      <c r="E120" s="967"/>
      <c r="F120" s="344"/>
      <c r="G120" s="811" t="s">
        <v>399</v>
      </c>
      <c r="H120" s="812"/>
      <c r="I120" s="812"/>
      <c r="J120" s="812"/>
      <c r="K120" s="813"/>
      <c r="L120" s="595">
        <v>2965</v>
      </c>
      <c r="M120" s="288">
        <f t="shared" ref="M120" si="239">+L120*$X$1</f>
        <v>2965</v>
      </c>
      <c r="N120" s="89">
        <v>2621</v>
      </c>
      <c r="O120" s="288">
        <f t="shared" ref="O120" si="240">+N120*$X$1</f>
        <v>2621</v>
      </c>
      <c r="P120" s="282">
        <v>2618</v>
      </c>
      <c r="Q120" s="288">
        <f t="shared" ref="Q120" si="241">+P120*$X$1</f>
        <v>2618</v>
      </c>
      <c r="R120" s="458">
        <v>2413</v>
      </c>
      <c r="S120" s="288">
        <f t="shared" ref="S120" si="242">+R120*$X$1</f>
        <v>2413</v>
      </c>
      <c r="T120" s="458">
        <v>2270</v>
      </c>
      <c r="U120" s="288">
        <f t="shared" ref="U120" si="243">+T120*$X$1</f>
        <v>2270</v>
      </c>
      <c r="V120" s="458">
        <v>1697</v>
      </c>
      <c r="W120" s="288">
        <f t="shared" ref="W120" si="244">+V120*$X$1</f>
        <v>1697</v>
      </c>
      <c r="X120" s="817"/>
      <c r="Y120" s="818"/>
      <c r="Z120" s="818"/>
      <c r="AA120" s="819"/>
      <c r="AB120" s="415" t="s">
        <v>801</v>
      </c>
    </row>
    <row r="121" spans="1:28" ht="12.6" customHeight="1" x14ac:dyDescent="0.2">
      <c r="A121" s="18"/>
      <c r="B121" s="673" t="s">
        <v>802</v>
      </c>
      <c r="C121" s="698"/>
      <c r="D121" s="698"/>
      <c r="E121" s="698"/>
      <c r="F121" s="345"/>
      <c r="G121" s="811" t="s">
        <v>399</v>
      </c>
      <c r="H121" s="812"/>
      <c r="I121" s="812"/>
      <c r="J121" s="812"/>
      <c r="K121" s="813"/>
      <c r="L121" s="466">
        <v>2038</v>
      </c>
      <c r="M121" s="287">
        <f t="shared" ref="M121" si="245">+L121*$X$1</f>
        <v>2038</v>
      </c>
      <c r="N121" s="71">
        <v>1802</v>
      </c>
      <c r="O121" s="287">
        <f t="shared" ref="O121" si="246">+N121*$X$1</f>
        <v>1802</v>
      </c>
      <c r="P121" s="320">
        <v>1799</v>
      </c>
      <c r="Q121" s="287">
        <f t="shared" ref="Q121" si="247">+P121*$X$1</f>
        <v>1799</v>
      </c>
      <c r="R121" s="603">
        <v>1658</v>
      </c>
      <c r="S121" s="287">
        <f t="shared" ref="S121" si="248">+R121*$X$1</f>
        <v>1658</v>
      </c>
      <c r="T121" s="603">
        <v>1561</v>
      </c>
      <c r="U121" s="287">
        <f t="shared" ref="U121" si="249">+T121*$X$1</f>
        <v>1561</v>
      </c>
      <c r="V121" s="603">
        <v>1075</v>
      </c>
      <c r="W121" s="287">
        <f t="shared" ref="W121" si="250">+V121*$X$1</f>
        <v>1075</v>
      </c>
      <c r="X121" s="817"/>
      <c r="Y121" s="818"/>
      <c r="Z121" s="818"/>
      <c r="AA121" s="819"/>
      <c r="AB121" s="415" t="s">
        <v>805</v>
      </c>
    </row>
    <row r="122" spans="1:28" ht="12.6" customHeight="1" x14ac:dyDescent="0.2">
      <c r="A122" s="18"/>
      <c r="B122" s="765" t="s">
        <v>634</v>
      </c>
      <c r="C122" s="743"/>
      <c r="D122" s="743"/>
      <c r="E122" s="743"/>
      <c r="F122" s="319"/>
      <c r="G122" s="811" t="s">
        <v>400</v>
      </c>
      <c r="H122" s="812"/>
      <c r="I122" s="812"/>
      <c r="J122" s="812"/>
      <c r="K122" s="813"/>
      <c r="L122" s="465">
        <v>2107</v>
      </c>
      <c r="M122" s="288">
        <f t="shared" si="210"/>
        <v>2107</v>
      </c>
      <c r="N122" s="632">
        <v>1865</v>
      </c>
      <c r="O122" s="288">
        <f t="shared" si="210"/>
        <v>1865</v>
      </c>
      <c r="P122" s="390">
        <v>1862</v>
      </c>
      <c r="Q122" s="288">
        <f t="shared" si="211"/>
        <v>1862</v>
      </c>
      <c r="R122" s="458">
        <v>1715</v>
      </c>
      <c r="S122" s="288">
        <f t="shared" si="212"/>
        <v>1715</v>
      </c>
      <c r="T122" s="458">
        <v>1614</v>
      </c>
      <c r="U122" s="288">
        <f t="shared" si="213"/>
        <v>1614</v>
      </c>
      <c r="V122" s="458">
        <v>1375</v>
      </c>
      <c r="W122" s="288">
        <f t="shared" si="214"/>
        <v>1375</v>
      </c>
      <c r="X122" s="817"/>
      <c r="Y122" s="818"/>
      <c r="Z122" s="818"/>
      <c r="AA122" s="819"/>
      <c r="AB122" s="415">
        <v>303</v>
      </c>
    </row>
    <row r="123" spans="1:28" ht="12.6" customHeight="1" x14ac:dyDescent="0.2">
      <c r="A123" s="18"/>
      <c r="B123" s="673" t="s">
        <v>853</v>
      </c>
      <c r="C123" s="674"/>
      <c r="D123" s="674"/>
      <c r="E123" s="674"/>
      <c r="F123" s="287">
        <v>1990</v>
      </c>
      <c r="G123" s="287">
        <f>+F123*$X$1</f>
        <v>1990</v>
      </c>
      <c r="H123" s="71"/>
      <c r="I123" s="287"/>
      <c r="J123" s="542">
        <f>F123+180</f>
        <v>2170</v>
      </c>
      <c r="K123" s="287">
        <f t="shared" ref="K123" si="251">+J123*$X$1</f>
        <v>2170</v>
      </c>
      <c r="L123" s="542">
        <f t="shared" ref="L123" si="252">F123+120</f>
        <v>2110</v>
      </c>
      <c r="M123" s="287">
        <f>+L123*$X$1</f>
        <v>2110</v>
      </c>
      <c r="N123" s="603">
        <f>F123+63</f>
        <v>2053</v>
      </c>
      <c r="O123" s="287">
        <f t="shared" si="210"/>
        <v>2053</v>
      </c>
      <c r="P123" s="603">
        <f t="shared" ref="P123" si="253">F123+54</f>
        <v>2044</v>
      </c>
      <c r="Q123" s="287">
        <f>+P123*$X$1</f>
        <v>2044</v>
      </c>
      <c r="R123" s="603">
        <f>F123+45</f>
        <v>2035</v>
      </c>
      <c r="S123" s="287">
        <f>+R123*$X$1</f>
        <v>2035</v>
      </c>
      <c r="T123" s="603">
        <f>F123+37</f>
        <v>2027</v>
      </c>
      <c r="U123" s="287">
        <f>+T123*$X$1</f>
        <v>2027</v>
      </c>
      <c r="V123" s="603">
        <f>F123+32</f>
        <v>2022</v>
      </c>
      <c r="W123" s="287">
        <f>+V123*$X$1</f>
        <v>2022</v>
      </c>
      <c r="X123" s="687"/>
      <c r="Y123" s="688"/>
      <c r="Z123" s="688"/>
      <c r="AA123" s="689"/>
      <c r="AB123" s="415">
        <v>304</v>
      </c>
    </row>
    <row r="124" spans="1:28" ht="12.6" customHeight="1" x14ac:dyDescent="0.2">
      <c r="A124" s="18"/>
      <c r="B124" s="692" t="s">
        <v>771</v>
      </c>
      <c r="C124" s="693"/>
      <c r="D124" s="693"/>
      <c r="E124" s="693"/>
      <c r="F124" s="288">
        <v>2400</v>
      </c>
      <c r="G124" s="288">
        <f t="shared" ref="G124" si="254">+F124*$X$1</f>
        <v>2400</v>
      </c>
      <c r="H124" s="458"/>
      <c r="I124" s="288"/>
      <c r="J124" s="458"/>
      <c r="K124" s="288"/>
      <c r="L124" s="458">
        <f>F124+90</f>
        <v>2490</v>
      </c>
      <c r="M124" s="288">
        <f t="shared" si="210"/>
        <v>2490</v>
      </c>
      <c r="N124" s="458">
        <f>F124+55</f>
        <v>2455</v>
      </c>
      <c r="O124" s="288">
        <f>+N124*$X$1</f>
        <v>2455</v>
      </c>
      <c r="P124" s="458">
        <f>F124+49</f>
        <v>2449</v>
      </c>
      <c r="Q124" s="288">
        <f t="shared" si="211"/>
        <v>2449</v>
      </c>
      <c r="R124" s="458">
        <f>F124+42</f>
        <v>2442</v>
      </c>
      <c r="S124" s="288">
        <f>+R124*$X$1</f>
        <v>2442</v>
      </c>
      <c r="T124" s="458">
        <f>F124+36</f>
        <v>2436</v>
      </c>
      <c r="U124" s="288">
        <f t="shared" ref="U124:U129" si="255">+T124*$X$1</f>
        <v>2436</v>
      </c>
      <c r="V124" s="458">
        <f>F124+32</f>
        <v>2432</v>
      </c>
      <c r="W124" s="288">
        <f t="shared" ref="W124:W129" si="256">+V124*$X$1</f>
        <v>2432</v>
      </c>
      <c r="X124" s="687"/>
      <c r="Y124" s="688"/>
      <c r="Z124" s="688"/>
      <c r="AA124" s="689"/>
      <c r="AB124" s="415">
        <v>307</v>
      </c>
    </row>
    <row r="125" spans="1:28" ht="12.6" customHeight="1" x14ac:dyDescent="0.2">
      <c r="A125" s="18"/>
      <c r="B125" s="677" t="s">
        <v>544</v>
      </c>
      <c r="C125" s="678"/>
      <c r="D125" s="678"/>
      <c r="E125" s="678"/>
      <c r="F125" s="306">
        <v>1453</v>
      </c>
      <c r="G125" s="287">
        <f>+F125*$X$1</f>
        <v>1453</v>
      </c>
      <c r="H125" s="281"/>
      <c r="I125" s="342"/>
      <c r="J125" s="509"/>
      <c r="K125" s="287"/>
      <c r="L125" s="509">
        <v>3145</v>
      </c>
      <c r="M125" s="287">
        <f>+L125*$X$1</f>
        <v>3145</v>
      </c>
      <c r="N125" s="603">
        <v>2350</v>
      </c>
      <c r="O125" s="287">
        <f t="shared" si="210"/>
        <v>2350</v>
      </c>
      <c r="P125" s="320">
        <v>2171</v>
      </c>
      <c r="Q125" s="287">
        <f t="shared" ref="Q125" si="257">+P125*$X$1</f>
        <v>2171</v>
      </c>
      <c r="R125" s="603">
        <v>2001</v>
      </c>
      <c r="S125" s="287">
        <f t="shared" si="212"/>
        <v>2001</v>
      </c>
      <c r="T125" s="603">
        <v>1875</v>
      </c>
      <c r="U125" s="287">
        <f t="shared" si="255"/>
        <v>1875</v>
      </c>
      <c r="V125" s="603">
        <v>1787</v>
      </c>
      <c r="W125" s="287">
        <f t="shared" si="256"/>
        <v>1787</v>
      </c>
      <c r="X125" s="687"/>
      <c r="Y125" s="688"/>
      <c r="Z125" s="688"/>
      <c r="AA125" s="689"/>
      <c r="AB125" s="415">
        <v>308</v>
      </c>
    </row>
    <row r="126" spans="1:28" ht="12.6" customHeight="1" x14ac:dyDescent="0.2">
      <c r="A126" s="18"/>
      <c r="B126" s="692" t="s">
        <v>543</v>
      </c>
      <c r="C126" s="693"/>
      <c r="D126" s="693"/>
      <c r="E126" s="693"/>
      <c r="F126" s="319">
        <v>1453</v>
      </c>
      <c r="G126" s="288">
        <f>+F126*$X$1</f>
        <v>1453</v>
      </c>
      <c r="H126" s="280"/>
      <c r="I126" s="343"/>
      <c r="J126" s="458"/>
      <c r="K126" s="288"/>
      <c r="L126" s="458">
        <v>3145</v>
      </c>
      <c r="M126" s="288">
        <f>+L126*$X$1</f>
        <v>3145</v>
      </c>
      <c r="N126" s="458">
        <v>2350</v>
      </c>
      <c r="O126" s="288">
        <f t="shared" ref="O126" si="258">+N126*$X$1</f>
        <v>2350</v>
      </c>
      <c r="P126" s="282">
        <v>2171</v>
      </c>
      <c r="Q126" s="288">
        <f t="shared" ref="Q126" si="259">+P126*$X$1</f>
        <v>2171</v>
      </c>
      <c r="R126" s="458">
        <v>2001</v>
      </c>
      <c r="S126" s="288">
        <f t="shared" ref="S126" si="260">+R126*$X$1</f>
        <v>2001</v>
      </c>
      <c r="T126" s="458">
        <v>1875</v>
      </c>
      <c r="U126" s="288">
        <f t="shared" ref="U126" si="261">+T126*$X$1</f>
        <v>1875</v>
      </c>
      <c r="V126" s="458">
        <v>1787</v>
      </c>
      <c r="W126" s="288">
        <f t="shared" ref="W126" si="262">+V126*$X$1</f>
        <v>1787</v>
      </c>
      <c r="X126" s="687"/>
      <c r="Y126" s="688"/>
      <c r="Z126" s="688"/>
      <c r="AA126" s="689"/>
      <c r="AB126" s="415">
        <v>309</v>
      </c>
    </row>
    <row r="127" spans="1:28" ht="12.6" customHeight="1" x14ac:dyDescent="0.2">
      <c r="A127" s="18"/>
      <c r="B127" s="677" t="s">
        <v>869</v>
      </c>
      <c r="C127" s="678"/>
      <c r="D127" s="678"/>
      <c r="E127" s="678"/>
      <c r="F127" s="379">
        <f>0.77*X2</f>
        <v>834.68000000000006</v>
      </c>
      <c r="G127" s="287">
        <f>+F127*$X$1</f>
        <v>834.68000000000006</v>
      </c>
      <c r="H127" s="521"/>
      <c r="I127" s="287"/>
      <c r="J127" s="521">
        <f>F127+120</f>
        <v>954.68000000000006</v>
      </c>
      <c r="K127" s="287">
        <f t="shared" ref="K127" si="263">+J127*$X$1</f>
        <v>954.68000000000006</v>
      </c>
      <c r="L127" s="521">
        <f>F127+90</f>
        <v>924.68000000000006</v>
      </c>
      <c r="M127" s="287">
        <f t="shared" ref="M127" si="264">+L127*$X$1</f>
        <v>924.68000000000006</v>
      </c>
      <c r="N127" s="603">
        <f>F127+60</f>
        <v>894.68000000000006</v>
      </c>
      <c r="O127" s="287">
        <f>+N127*$X$1</f>
        <v>894.68000000000006</v>
      </c>
      <c r="P127" s="603">
        <f>F127+50</f>
        <v>884.68000000000006</v>
      </c>
      <c r="Q127" s="287">
        <f t="shared" ref="Q127" si="265">+P127*$X$1</f>
        <v>884.68000000000006</v>
      </c>
      <c r="R127" s="603">
        <f>F127+42</f>
        <v>876.68000000000006</v>
      </c>
      <c r="S127" s="287">
        <f>+R127*$X$1</f>
        <v>876.68000000000006</v>
      </c>
      <c r="T127" s="603">
        <f>F127+36</f>
        <v>870.68000000000006</v>
      </c>
      <c r="U127" s="287">
        <f t="shared" si="255"/>
        <v>870.68000000000006</v>
      </c>
      <c r="V127" s="603">
        <f>F127+32</f>
        <v>866.68000000000006</v>
      </c>
      <c r="W127" s="287">
        <f t="shared" si="256"/>
        <v>866.68000000000006</v>
      </c>
      <c r="X127" s="687"/>
      <c r="Y127" s="688"/>
      <c r="Z127" s="688"/>
      <c r="AA127" s="689"/>
      <c r="AB127" s="415">
        <v>310</v>
      </c>
    </row>
    <row r="128" spans="1:28" ht="12.6" customHeight="1" x14ac:dyDescent="0.2">
      <c r="A128" s="18"/>
      <c r="B128" s="692" t="s">
        <v>812</v>
      </c>
      <c r="C128" s="693"/>
      <c r="D128" s="693"/>
      <c r="E128" s="693"/>
      <c r="F128" s="380">
        <f>0.81*X2</f>
        <v>878.04000000000008</v>
      </c>
      <c r="G128" s="288">
        <f>+F128*$X$1</f>
        <v>878.04000000000008</v>
      </c>
      <c r="H128" s="458"/>
      <c r="I128" s="288"/>
      <c r="J128" s="458">
        <f>F128+120</f>
        <v>998.04000000000008</v>
      </c>
      <c r="K128" s="288">
        <f t="shared" ref="K128" si="266">+J128*$X$1</f>
        <v>998.04000000000008</v>
      </c>
      <c r="L128" s="458">
        <f>F128+90</f>
        <v>968.04000000000008</v>
      </c>
      <c r="M128" s="288">
        <f t="shared" ref="M128:M129" si="267">+L128*$X$1</f>
        <v>968.04000000000008</v>
      </c>
      <c r="N128" s="458">
        <f>F128+60</f>
        <v>938.04000000000008</v>
      </c>
      <c r="O128" s="288">
        <f>+N128*$X$1</f>
        <v>938.04000000000008</v>
      </c>
      <c r="P128" s="458">
        <f>F128+50</f>
        <v>928.04000000000008</v>
      </c>
      <c r="Q128" s="288">
        <f t="shared" ref="Q128:Q129" si="268">+P128*$X$1</f>
        <v>928.04000000000008</v>
      </c>
      <c r="R128" s="458">
        <f>F128+42</f>
        <v>920.04000000000008</v>
      </c>
      <c r="S128" s="288">
        <f>+R128*$X$1</f>
        <v>920.04000000000008</v>
      </c>
      <c r="T128" s="458">
        <f>F128+36</f>
        <v>914.04000000000008</v>
      </c>
      <c r="U128" s="288">
        <f t="shared" si="255"/>
        <v>914.04000000000008</v>
      </c>
      <c r="V128" s="458">
        <f>F128+32</f>
        <v>910.04000000000008</v>
      </c>
      <c r="W128" s="288">
        <f t="shared" si="256"/>
        <v>910.04000000000008</v>
      </c>
      <c r="X128" s="687"/>
      <c r="Y128" s="688"/>
      <c r="Z128" s="688"/>
      <c r="AA128" s="689"/>
      <c r="AB128" s="415">
        <v>311</v>
      </c>
    </row>
    <row r="129" spans="1:33" ht="12.6" customHeight="1" x14ac:dyDescent="0.2">
      <c r="A129" s="18"/>
      <c r="B129" s="677" t="s">
        <v>482</v>
      </c>
      <c r="C129" s="678"/>
      <c r="D129" s="678"/>
      <c r="E129" s="678"/>
      <c r="F129" s="379">
        <f>1.3*X2</f>
        <v>1409.2</v>
      </c>
      <c r="G129" s="287">
        <f t="shared" ref="G129" si="269">+F129*$X$1</f>
        <v>1409.2</v>
      </c>
      <c r="H129" s="521"/>
      <c r="I129" s="287"/>
      <c r="J129" s="521">
        <f>F129+120</f>
        <v>1529.2</v>
      </c>
      <c r="K129" s="287">
        <f t="shared" ref="K129" si="270">+J129*$X$1</f>
        <v>1529.2</v>
      </c>
      <c r="L129" s="521">
        <f>F129+90</f>
        <v>1499.2</v>
      </c>
      <c r="M129" s="287">
        <f t="shared" si="267"/>
        <v>1499.2</v>
      </c>
      <c r="N129" s="603">
        <f>F129+60</f>
        <v>1469.2</v>
      </c>
      <c r="O129" s="287">
        <f>+N129*$X$1</f>
        <v>1469.2</v>
      </c>
      <c r="P129" s="603">
        <f>F129+50</f>
        <v>1459.2</v>
      </c>
      <c r="Q129" s="287">
        <f t="shared" si="268"/>
        <v>1459.2</v>
      </c>
      <c r="R129" s="603">
        <f>F129+42</f>
        <v>1451.2</v>
      </c>
      <c r="S129" s="287">
        <f>+R129*$X$1</f>
        <v>1451.2</v>
      </c>
      <c r="T129" s="603">
        <f>F129+36</f>
        <v>1445.2</v>
      </c>
      <c r="U129" s="287">
        <f t="shared" si="255"/>
        <v>1445.2</v>
      </c>
      <c r="V129" s="603">
        <f>F129+32</f>
        <v>1441.2</v>
      </c>
      <c r="W129" s="287">
        <f t="shared" si="256"/>
        <v>1441.2</v>
      </c>
      <c r="X129" s="687"/>
      <c r="Y129" s="688"/>
      <c r="Z129" s="688"/>
      <c r="AA129" s="689"/>
      <c r="AB129" s="415">
        <v>312</v>
      </c>
    </row>
    <row r="130" spans="1:33" ht="12.6" customHeight="1" x14ac:dyDescent="0.2">
      <c r="A130" s="18"/>
      <c r="B130" s="699" t="s">
        <v>165</v>
      </c>
      <c r="C130" s="740"/>
      <c r="D130" s="740"/>
      <c r="E130" s="741"/>
      <c r="F130" s="288"/>
      <c r="G130" s="288"/>
      <c r="H130" s="458"/>
      <c r="I130" s="288"/>
      <c r="J130" s="89"/>
      <c r="K130" s="288"/>
      <c r="L130" s="458"/>
      <c r="M130" s="288"/>
      <c r="N130" s="458"/>
      <c r="O130" s="288"/>
      <c r="P130" s="458"/>
      <c r="Q130" s="288"/>
      <c r="R130" s="458"/>
      <c r="S130" s="288"/>
      <c r="T130" s="458"/>
      <c r="U130" s="288"/>
      <c r="V130" s="458"/>
      <c r="W130" s="288"/>
      <c r="X130" s="687"/>
      <c r="Y130" s="688"/>
      <c r="Z130" s="688"/>
      <c r="AA130" s="689"/>
      <c r="AB130" s="415" t="s">
        <v>166</v>
      </c>
    </row>
    <row r="131" spans="1:33" ht="12.6" customHeight="1" x14ac:dyDescent="0.2">
      <c r="A131" s="18"/>
      <c r="B131" s="793" t="s">
        <v>167</v>
      </c>
      <c r="C131" s="750"/>
      <c r="D131" s="750"/>
      <c r="E131" s="751"/>
      <c r="F131" s="306"/>
      <c r="G131" s="287"/>
      <c r="H131" s="521"/>
      <c r="I131" s="287"/>
      <c r="J131" s="71"/>
      <c r="K131" s="287"/>
      <c r="L131" s="521"/>
      <c r="M131" s="287"/>
      <c r="N131" s="521"/>
      <c r="O131" s="287"/>
      <c r="P131" s="521"/>
      <c r="Q131" s="287"/>
      <c r="R131" s="521"/>
      <c r="S131" s="287"/>
      <c r="T131" s="521"/>
      <c r="U131" s="287"/>
      <c r="V131" s="521"/>
      <c r="W131" s="287"/>
      <c r="X131" s="682"/>
      <c r="Y131" s="814"/>
      <c r="Z131" s="814"/>
      <c r="AA131" s="960"/>
      <c r="AB131" s="450" t="s">
        <v>168</v>
      </c>
    </row>
    <row r="132" spans="1:33" ht="12.6" customHeight="1" x14ac:dyDescent="0.2">
      <c r="A132" s="18"/>
      <c r="B132" s="699" t="s">
        <v>169</v>
      </c>
      <c r="C132" s="740"/>
      <c r="D132" s="740"/>
      <c r="E132" s="741"/>
      <c r="F132" s="288"/>
      <c r="G132" s="288"/>
      <c r="H132" s="458"/>
      <c r="I132" s="288"/>
      <c r="J132" s="89"/>
      <c r="K132" s="288"/>
      <c r="L132" s="458"/>
      <c r="M132" s="288"/>
      <c r="N132" s="458"/>
      <c r="O132" s="288"/>
      <c r="P132" s="458"/>
      <c r="Q132" s="288"/>
      <c r="R132" s="458"/>
      <c r="S132" s="288"/>
      <c r="T132" s="458"/>
      <c r="U132" s="288"/>
      <c r="V132" s="458"/>
      <c r="W132" s="288"/>
      <c r="X132" s="814"/>
      <c r="Y132" s="814"/>
      <c r="Z132" s="814"/>
      <c r="AA132" s="814"/>
      <c r="AB132" s="192" t="s">
        <v>170</v>
      </c>
    </row>
    <row r="133" spans="1:33" ht="12.6" customHeight="1" x14ac:dyDescent="0.2">
      <c r="A133" s="18"/>
      <c r="B133" s="732" t="s">
        <v>171</v>
      </c>
      <c r="C133" s="733"/>
      <c r="D133" s="733"/>
      <c r="E133" s="734"/>
      <c r="F133" s="287"/>
      <c r="G133" s="287"/>
      <c r="H133" s="521"/>
      <c r="I133" s="287"/>
      <c r="J133" s="71"/>
      <c r="K133" s="287"/>
      <c r="L133" s="521"/>
      <c r="M133" s="287"/>
      <c r="N133" s="521"/>
      <c r="O133" s="287"/>
      <c r="P133" s="521"/>
      <c r="Q133" s="287"/>
      <c r="R133" s="521"/>
      <c r="S133" s="287"/>
      <c r="T133" s="521"/>
      <c r="U133" s="287"/>
      <c r="V133" s="521"/>
      <c r="W133" s="287"/>
      <c r="X133" s="814"/>
      <c r="Y133" s="814"/>
      <c r="Z133" s="814"/>
      <c r="AA133" s="814"/>
      <c r="AB133" s="192" t="s">
        <v>172</v>
      </c>
    </row>
    <row r="134" spans="1:33" ht="12.6" customHeight="1" x14ac:dyDescent="0.2">
      <c r="A134" s="97"/>
      <c r="B134" s="699" t="s">
        <v>363</v>
      </c>
      <c r="C134" s="978"/>
      <c r="D134" s="978"/>
      <c r="E134" s="979"/>
      <c r="F134" s="288"/>
      <c r="G134" s="288"/>
      <c r="H134" s="89"/>
      <c r="I134" s="458"/>
      <c r="J134" s="458"/>
      <c r="K134" s="458"/>
      <c r="L134" s="458"/>
      <c r="M134" s="288"/>
      <c r="N134" s="458"/>
      <c r="O134" s="288"/>
      <c r="P134" s="458"/>
      <c r="Q134" s="288"/>
      <c r="R134" s="458"/>
      <c r="S134" s="288"/>
      <c r="T134" s="458"/>
      <c r="U134" s="288"/>
      <c r="V134" s="458"/>
      <c r="W134" s="288"/>
      <c r="X134" s="774"/>
      <c r="Y134" s="815"/>
      <c r="Z134" s="815"/>
      <c r="AA134" s="816"/>
      <c r="AB134" s="192"/>
    </row>
    <row r="135" spans="1:33" ht="12.6" customHeight="1" x14ac:dyDescent="0.2">
      <c r="A135" s="97"/>
      <c r="B135" s="677" t="s">
        <v>173</v>
      </c>
      <c r="C135" s="678"/>
      <c r="D135" s="678"/>
      <c r="E135" s="678"/>
      <c r="F135" s="287"/>
      <c r="G135" s="287"/>
      <c r="H135" s="71"/>
      <c r="I135" s="521"/>
      <c r="J135" s="521"/>
      <c r="K135" s="521"/>
      <c r="L135" s="521"/>
      <c r="M135" s="287"/>
      <c r="N135" s="521"/>
      <c r="O135" s="287"/>
      <c r="P135" s="521"/>
      <c r="Q135" s="287"/>
      <c r="R135" s="521"/>
      <c r="S135" s="287"/>
      <c r="T135" s="521"/>
      <c r="U135" s="287"/>
      <c r="V135" s="521"/>
      <c r="W135" s="287"/>
      <c r="X135" s="774"/>
      <c r="Y135" s="775"/>
      <c r="Z135" s="775"/>
      <c r="AA135" s="776"/>
      <c r="AB135" s="192">
        <v>316</v>
      </c>
      <c r="AC135" s="60"/>
      <c r="AD135" s="60"/>
      <c r="AE135" s="60"/>
      <c r="AF135" s="60"/>
    </row>
    <row r="136" spans="1:33" ht="12.6" customHeight="1" x14ac:dyDescent="0.2">
      <c r="A136" s="97"/>
      <c r="B136" s="692" t="s">
        <v>174</v>
      </c>
      <c r="C136" s="693"/>
      <c r="D136" s="693"/>
      <c r="E136" s="693"/>
      <c r="F136" s="288"/>
      <c r="G136" s="527"/>
      <c r="H136" s="89"/>
      <c r="I136" s="528"/>
      <c r="J136" s="458"/>
      <c r="K136" s="528"/>
      <c r="L136" s="458"/>
      <c r="M136" s="529"/>
      <c r="N136" s="458"/>
      <c r="O136" s="529"/>
      <c r="P136" s="458"/>
      <c r="Q136" s="529"/>
      <c r="R136" s="458"/>
      <c r="S136" s="529"/>
      <c r="T136" s="458"/>
      <c r="U136" s="288"/>
      <c r="V136" s="458"/>
      <c r="W136" s="288"/>
      <c r="X136" s="774"/>
      <c r="Y136" s="775"/>
      <c r="Z136" s="775"/>
      <c r="AA136" s="776"/>
      <c r="AB136" s="192">
        <v>318</v>
      </c>
      <c r="AC136" s="60"/>
      <c r="AD136" s="60"/>
      <c r="AE136" s="60"/>
      <c r="AF136" s="60"/>
    </row>
    <row r="137" spans="1:33" ht="12.6" customHeight="1" x14ac:dyDescent="0.2">
      <c r="A137" s="18"/>
      <c r="B137" s="763" t="s">
        <v>331</v>
      </c>
      <c r="C137" s="764"/>
      <c r="D137" s="764"/>
      <c r="E137" s="764"/>
      <c r="F137" s="287">
        <v>1147</v>
      </c>
      <c r="G137" s="312">
        <f>+F137*$X$1</f>
        <v>1147</v>
      </c>
      <c r="H137" s="193" t="s">
        <v>175</v>
      </c>
      <c r="I137" s="196"/>
      <c r="J137" s="85"/>
      <c r="K137" s="85"/>
      <c r="L137" s="165"/>
      <c r="M137" s="85"/>
      <c r="N137" s="85"/>
      <c r="O137" s="85"/>
      <c r="P137" s="82">
        <v>80</v>
      </c>
      <c r="Q137" s="195">
        <f>+P137*$X$1</f>
        <v>80</v>
      </c>
      <c r="R137" s="524"/>
      <c r="S137" s="525"/>
      <c r="T137" s="71"/>
      <c r="U137" s="287"/>
      <c r="V137" s="521"/>
      <c r="W137" s="287"/>
      <c r="X137" s="774"/>
      <c r="Y137" s="775"/>
      <c r="Z137" s="775"/>
      <c r="AA137" s="776"/>
      <c r="AB137" s="418"/>
      <c r="AC137" s="820"/>
      <c r="AD137" s="821"/>
      <c r="AE137" s="821"/>
      <c r="AF137" s="821"/>
      <c r="AG137" s="4"/>
    </row>
    <row r="138" spans="1:33" ht="12.6" customHeight="1" x14ac:dyDescent="0.2">
      <c r="A138" s="18"/>
      <c r="B138" s="962" t="s">
        <v>332</v>
      </c>
      <c r="C138" s="963"/>
      <c r="D138" s="963"/>
      <c r="E138" s="963"/>
      <c r="F138" s="288">
        <v>1267</v>
      </c>
      <c r="G138" s="352">
        <f>+F138*$X$1</f>
        <v>1267</v>
      </c>
      <c r="H138" s="264" t="s">
        <v>175</v>
      </c>
      <c r="I138" s="265"/>
      <c r="J138" s="266"/>
      <c r="K138" s="266"/>
      <c r="L138" s="267"/>
      <c r="M138" s="266"/>
      <c r="N138" s="266"/>
      <c r="O138" s="266"/>
      <c r="P138" s="268">
        <v>80</v>
      </c>
      <c r="Q138" s="269">
        <f>+P138*$X$1</f>
        <v>80</v>
      </c>
      <c r="R138" s="532"/>
      <c r="S138" s="530"/>
      <c r="T138" s="531"/>
      <c r="U138" s="290"/>
      <c r="V138" s="95"/>
      <c r="W138" s="290"/>
      <c r="X138" s="774"/>
      <c r="Y138" s="775"/>
      <c r="Z138" s="775"/>
      <c r="AA138" s="776"/>
      <c r="AB138" s="418"/>
    </row>
    <row r="139" spans="1:33" ht="12.6" customHeight="1" x14ac:dyDescent="0.2">
      <c r="A139" s="18"/>
      <c r="B139" s="763" t="s">
        <v>843</v>
      </c>
      <c r="C139" s="764"/>
      <c r="D139" s="764"/>
      <c r="E139" s="764"/>
      <c r="F139" s="287"/>
      <c r="G139" s="287"/>
      <c r="H139" s="271"/>
      <c r="I139" s="287"/>
      <c r="J139" s="670">
        <f>F138+250</f>
        <v>1517</v>
      </c>
      <c r="K139" s="287">
        <f t="shared" ref="K139:K140" si="271">+J139*$X$1</f>
        <v>1517</v>
      </c>
      <c r="L139" s="670">
        <f>F138+200</f>
        <v>1467</v>
      </c>
      <c r="M139" s="287">
        <f>+L139*$X$1</f>
        <v>1467</v>
      </c>
      <c r="N139" s="670">
        <f>F138+160</f>
        <v>1427</v>
      </c>
      <c r="O139" s="287">
        <f>+N139*$X$1</f>
        <v>1427</v>
      </c>
      <c r="P139" s="670">
        <f>F138+140</f>
        <v>1407</v>
      </c>
      <c r="Q139" s="287">
        <f t="shared" ref="Q139:Q140" si="272">+P139*$X$1</f>
        <v>1407</v>
      </c>
      <c r="R139" s="670">
        <f>F138+120</f>
        <v>1387</v>
      </c>
      <c r="S139" s="287">
        <f>+R139*$X$1</f>
        <v>1387</v>
      </c>
      <c r="T139" s="670">
        <f>F138+105</f>
        <v>1372</v>
      </c>
      <c r="U139" s="287">
        <f t="shared" ref="U139:U140" si="273">+T139*$X$1</f>
        <v>1372</v>
      </c>
      <c r="V139" s="670">
        <f>F138+90</f>
        <v>1357</v>
      </c>
      <c r="W139" s="287">
        <f>+V139*$X$1</f>
        <v>1357</v>
      </c>
      <c r="X139" s="774"/>
      <c r="Y139" s="775"/>
      <c r="Z139" s="775"/>
      <c r="AA139" s="776"/>
      <c r="AB139" s="415">
        <v>321</v>
      </c>
    </row>
    <row r="140" spans="1:33" ht="12.6" customHeight="1" x14ac:dyDescent="0.2">
      <c r="A140" s="18"/>
      <c r="B140" s="962" t="s">
        <v>539</v>
      </c>
      <c r="C140" s="963"/>
      <c r="D140" s="963"/>
      <c r="E140" s="963"/>
      <c r="F140" s="288"/>
      <c r="G140" s="288"/>
      <c r="H140" s="299"/>
      <c r="I140" s="288"/>
      <c r="J140" s="458">
        <f>F138+350</f>
        <v>1617</v>
      </c>
      <c r="K140" s="288">
        <f t="shared" si="271"/>
        <v>1617</v>
      </c>
      <c r="L140" s="458">
        <f>F138+300</f>
        <v>1567</v>
      </c>
      <c r="M140" s="288">
        <f>+L140*$X$1</f>
        <v>1567</v>
      </c>
      <c r="N140" s="458">
        <f>F138+275</f>
        <v>1542</v>
      </c>
      <c r="O140" s="288">
        <f>+N140*$X$1</f>
        <v>1542</v>
      </c>
      <c r="P140" s="458">
        <f>F138+250</f>
        <v>1517</v>
      </c>
      <c r="Q140" s="288">
        <f t="shared" si="272"/>
        <v>1517</v>
      </c>
      <c r="R140" s="458">
        <f>F138+230</f>
        <v>1497</v>
      </c>
      <c r="S140" s="288">
        <f>+R140*$X$1</f>
        <v>1497</v>
      </c>
      <c r="T140" s="458">
        <f>F138+200</f>
        <v>1467</v>
      </c>
      <c r="U140" s="288">
        <f t="shared" si="273"/>
        <v>1467</v>
      </c>
      <c r="V140" s="458">
        <f>F138+170</f>
        <v>1437</v>
      </c>
      <c r="W140" s="288">
        <f>+V140*$X$1</f>
        <v>1437</v>
      </c>
      <c r="X140" s="774"/>
      <c r="Y140" s="775"/>
      <c r="Z140" s="775"/>
      <c r="AA140" s="776"/>
      <c r="AB140" s="415">
        <v>322</v>
      </c>
    </row>
    <row r="141" spans="1:33" ht="12.6" customHeight="1" x14ac:dyDescent="0.2">
      <c r="A141" s="18"/>
      <c r="B141" s="763" t="s">
        <v>333</v>
      </c>
      <c r="C141" s="764"/>
      <c r="D141" s="764"/>
      <c r="E141" s="764"/>
      <c r="F141" s="287">
        <v>1435</v>
      </c>
      <c r="G141" s="312">
        <f>+F141*$X$1</f>
        <v>1435</v>
      </c>
      <c r="H141" s="457" t="s">
        <v>175</v>
      </c>
      <c r="I141" s="194"/>
      <c r="J141" s="83"/>
      <c r="K141" s="83"/>
      <c r="L141" s="83"/>
      <c r="M141" s="83"/>
      <c r="N141" s="83"/>
      <c r="O141" s="83"/>
      <c r="P141" s="84">
        <v>110</v>
      </c>
      <c r="Q141" s="270">
        <f>+P141*$X$1</f>
        <v>110</v>
      </c>
      <c r="R141" s="65"/>
      <c r="S141" s="348"/>
      <c r="T141" s="273"/>
      <c r="U141" s="353"/>
      <c r="V141" s="86"/>
      <c r="W141" s="526"/>
      <c r="X141" s="774"/>
      <c r="Y141" s="775"/>
      <c r="Z141" s="775"/>
      <c r="AA141" s="776"/>
      <c r="AB141" s="418"/>
    </row>
    <row r="142" spans="1:33" ht="12.6" customHeight="1" x14ac:dyDescent="0.2">
      <c r="A142" s="18"/>
      <c r="B142" s="692" t="s">
        <v>176</v>
      </c>
      <c r="C142" s="693"/>
      <c r="D142" s="693"/>
      <c r="E142" s="693"/>
      <c r="F142" s="290">
        <v>1555</v>
      </c>
      <c r="G142" s="352">
        <f>+F142*$X$1</f>
        <v>1555</v>
      </c>
      <c r="H142" s="264" t="s">
        <v>175</v>
      </c>
      <c r="I142" s="274"/>
      <c r="J142" s="83"/>
      <c r="K142" s="83"/>
      <c r="L142" s="83"/>
      <c r="M142" s="83"/>
      <c r="N142" s="83"/>
      <c r="O142" s="83"/>
      <c r="P142" s="84">
        <v>110</v>
      </c>
      <c r="Q142" s="195">
        <f>+P142*$X$1</f>
        <v>110</v>
      </c>
      <c r="R142" s="259"/>
      <c r="S142" s="341"/>
      <c r="T142" s="272"/>
      <c r="U142" s="354"/>
      <c r="V142" s="89"/>
      <c r="W142" s="319"/>
      <c r="X142" s="774"/>
      <c r="Y142" s="775"/>
      <c r="Z142" s="775"/>
      <c r="AA142" s="776"/>
      <c r="AB142" s="418"/>
    </row>
    <row r="143" spans="1:33" ht="12.6" customHeight="1" x14ac:dyDescent="0.2">
      <c r="A143" s="18"/>
      <c r="B143" s="677" t="s">
        <v>842</v>
      </c>
      <c r="C143" s="678"/>
      <c r="D143" s="678"/>
      <c r="E143" s="678"/>
      <c r="F143" s="345"/>
      <c r="G143" s="345"/>
      <c r="H143" s="281"/>
      <c r="I143" s="342"/>
      <c r="J143" s="670">
        <f>F142+250</f>
        <v>1805</v>
      </c>
      <c r="K143" s="287">
        <f t="shared" ref="K143:K144" si="274">+J143*$X$1</f>
        <v>1805</v>
      </c>
      <c r="L143" s="670">
        <f>F142+200</f>
        <v>1755</v>
      </c>
      <c r="M143" s="287">
        <f>+L143*$X$1</f>
        <v>1755</v>
      </c>
      <c r="N143" s="670">
        <f>F142+160</f>
        <v>1715</v>
      </c>
      <c r="O143" s="287">
        <f>+N143*$X$1</f>
        <v>1715</v>
      </c>
      <c r="P143" s="670">
        <f>F142+140</f>
        <v>1695</v>
      </c>
      <c r="Q143" s="287">
        <f t="shared" ref="Q143:Q144" si="275">+P143*$X$1</f>
        <v>1695</v>
      </c>
      <c r="R143" s="670">
        <f>F142+120</f>
        <v>1675</v>
      </c>
      <c r="S143" s="287">
        <f>+R143*$X$1</f>
        <v>1675</v>
      </c>
      <c r="T143" s="670">
        <f>F142+105</f>
        <v>1660</v>
      </c>
      <c r="U143" s="287">
        <f t="shared" ref="U143:U144" si="276">+T143*$X$1</f>
        <v>1660</v>
      </c>
      <c r="V143" s="670">
        <f>F142+90</f>
        <v>1645</v>
      </c>
      <c r="W143" s="287">
        <f>+V143*$X$1</f>
        <v>1645</v>
      </c>
      <c r="X143" s="774"/>
      <c r="Y143" s="775"/>
      <c r="Z143" s="775"/>
      <c r="AA143" s="776"/>
      <c r="AB143" s="415">
        <v>325</v>
      </c>
    </row>
    <row r="144" spans="1:33" ht="12.6" customHeight="1" x14ac:dyDescent="0.2">
      <c r="A144" s="18"/>
      <c r="B144" s="692" t="s">
        <v>538</v>
      </c>
      <c r="C144" s="693"/>
      <c r="D144" s="693"/>
      <c r="E144" s="693"/>
      <c r="F144" s="344"/>
      <c r="G144" s="344"/>
      <c r="H144" s="280"/>
      <c r="I144" s="343"/>
      <c r="J144" s="458">
        <f>F142+350</f>
        <v>1905</v>
      </c>
      <c r="K144" s="288">
        <f t="shared" si="274"/>
        <v>1905</v>
      </c>
      <c r="L144" s="458">
        <f>F142+300</f>
        <v>1855</v>
      </c>
      <c r="M144" s="288">
        <f>+L144*$X$1</f>
        <v>1855</v>
      </c>
      <c r="N144" s="458">
        <f>F142+275</f>
        <v>1830</v>
      </c>
      <c r="O144" s="288">
        <f>+N144*$X$1</f>
        <v>1830</v>
      </c>
      <c r="P144" s="458">
        <f>F142+250</f>
        <v>1805</v>
      </c>
      <c r="Q144" s="288">
        <f t="shared" si="275"/>
        <v>1805</v>
      </c>
      <c r="R144" s="458">
        <f>F142+230</f>
        <v>1785</v>
      </c>
      <c r="S144" s="288">
        <f>+R144*$X$1</f>
        <v>1785</v>
      </c>
      <c r="T144" s="458">
        <f>F142+200</f>
        <v>1755</v>
      </c>
      <c r="U144" s="288">
        <f t="shared" si="276"/>
        <v>1755</v>
      </c>
      <c r="V144" s="458">
        <f>F142+170</f>
        <v>1725</v>
      </c>
      <c r="W144" s="288">
        <f>+V144*$X$1</f>
        <v>1725</v>
      </c>
      <c r="X144" s="774"/>
      <c r="Y144" s="775"/>
      <c r="Z144" s="775"/>
      <c r="AA144" s="776"/>
      <c r="AB144" s="415">
        <v>326</v>
      </c>
    </row>
    <row r="145" spans="1:34" ht="12.6" customHeight="1" x14ac:dyDescent="0.2">
      <c r="A145" s="18"/>
      <c r="B145" s="677" t="s">
        <v>353</v>
      </c>
      <c r="C145" s="678"/>
      <c r="D145" s="678"/>
      <c r="E145" s="678"/>
      <c r="F145" s="379">
        <f>8.3*X2</f>
        <v>8997.2000000000007</v>
      </c>
      <c r="G145" s="287">
        <f>+F145*$X$1</f>
        <v>8997.2000000000007</v>
      </c>
      <c r="H145" s="521">
        <f>F145+400</f>
        <v>9397.2000000000007</v>
      </c>
      <c r="I145" s="287">
        <f t="shared" ref="I145" si="277">+H145*$X$1</f>
        <v>9397.2000000000007</v>
      </c>
      <c r="J145" s="521">
        <f>F145+150</f>
        <v>9147.2000000000007</v>
      </c>
      <c r="K145" s="287">
        <f t="shared" ref="K145" si="278">+J145*$X$1</f>
        <v>9147.2000000000007</v>
      </c>
      <c r="L145" s="521">
        <f>F145+90</f>
        <v>9087.2000000000007</v>
      </c>
      <c r="M145" s="287">
        <f t="shared" ref="M145" si="279">+L145*$X$1</f>
        <v>9087.2000000000007</v>
      </c>
      <c r="N145" s="521">
        <f>F145+63</f>
        <v>9060.2000000000007</v>
      </c>
      <c r="O145" s="287">
        <f>+N145*$X$1</f>
        <v>9060.2000000000007</v>
      </c>
      <c r="P145" s="521">
        <f>F145+55</f>
        <v>9052.2000000000007</v>
      </c>
      <c r="Q145" s="287">
        <f t="shared" ref="Q145" si="280">+P145*$X$1</f>
        <v>9052.2000000000007</v>
      </c>
      <c r="R145" s="521">
        <f>F145+49</f>
        <v>9046.2000000000007</v>
      </c>
      <c r="S145" s="287">
        <f>+R145*$X$1</f>
        <v>9046.2000000000007</v>
      </c>
      <c r="T145" s="521">
        <f>F145+43</f>
        <v>9040.2000000000007</v>
      </c>
      <c r="U145" s="287">
        <f>+T145*$X$1</f>
        <v>9040.2000000000007</v>
      </c>
      <c r="V145" s="521">
        <f>F145+38</f>
        <v>9035.2000000000007</v>
      </c>
      <c r="W145" s="287">
        <f>+V145*$X$1</f>
        <v>9035.2000000000007</v>
      </c>
      <c r="X145" s="726"/>
      <c r="Y145" s="799"/>
      <c r="Z145" s="799"/>
      <c r="AA145" s="728"/>
      <c r="AB145" s="192">
        <v>332</v>
      </c>
    </row>
    <row r="146" spans="1:34" ht="12.6" customHeight="1" x14ac:dyDescent="0.2">
      <c r="A146" s="20"/>
      <c r="B146" s="1133" t="s">
        <v>177</v>
      </c>
      <c r="C146" s="1134"/>
      <c r="D146" s="1134"/>
      <c r="E146" s="1134"/>
      <c r="F146" s="288">
        <v>490</v>
      </c>
      <c r="G146" s="288">
        <f t="shared" ref="G146" si="281">+F146*$X$1</f>
        <v>490</v>
      </c>
      <c r="H146" s="598"/>
      <c r="I146" s="598"/>
      <c r="J146" s="458">
        <f>F146+320</f>
        <v>810</v>
      </c>
      <c r="K146" s="288">
        <f t="shared" ref="K146" si="282">+J146*$X$1</f>
        <v>810</v>
      </c>
      <c r="L146" s="458">
        <f>F146+270</f>
        <v>760</v>
      </c>
      <c r="M146" s="288">
        <f>+L146*$X$1</f>
        <v>760</v>
      </c>
      <c r="N146" s="458">
        <f>F146+250</f>
        <v>740</v>
      </c>
      <c r="O146" s="288">
        <f>+N146*$X$1</f>
        <v>740</v>
      </c>
      <c r="P146" s="458">
        <f>F146+220</f>
        <v>710</v>
      </c>
      <c r="Q146" s="288">
        <f t="shared" ref="Q146" si="283">+P146*$X$1</f>
        <v>710</v>
      </c>
      <c r="R146" s="458">
        <f>F146+200</f>
        <v>690</v>
      </c>
      <c r="S146" s="288">
        <f>+R146*$X$1</f>
        <v>690</v>
      </c>
      <c r="T146" s="458">
        <f>F146+180</f>
        <v>670</v>
      </c>
      <c r="U146" s="288">
        <f t="shared" ref="U146" si="284">+T146*$X$1</f>
        <v>670</v>
      </c>
      <c r="V146" s="458">
        <f>F146+160</f>
        <v>650</v>
      </c>
      <c r="W146" s="288">
        <f>+V146*$X$1</f>
        <v>650</v>
      </c>
      <c r="X146" s="147"/>
      <c r="Y146" s="147"/>
      <c r="Z146" s="147"/>
      <c r="AA146" s="147"/>
      <c r="AB146" s="192">
        <v>347</v>
      </c>
    </row>
    <row r="147" spans="1:34" ht="12.6" customHeight="1" x14ac:dyDescent="0.2">
      <c r="A147" s="20"/>
      <c r="B147" s="677" t="s">
        <v>631</v>
      </c>
      <c r="C147" s="678"/>
      <c r="D147" s="678"/>
      <c r="E147" s="678"/>
      <c r="F147" s="298"/>
      <c r="G147" s="599"/>
      <c r="H147" s="600"/>
      <c r="I147" s="600"/>
      <c r="J147" s="600"/>
      <c r="K147" s="600"/>
      <c r="L147" s="262"/>
      <c r="M147" s="262"/>
      <c r="N147" s="278"/>
      <c r="O147" s="600"/>
      <c r="P147" s="262"/>
      <c r="Q147" s="262"/>
      <c r="R147" s="600"/>
      <c r="S147" s="600"/>
      <c r="T147" s="600"/>
      <c r="U147" s="96"/>
      <c r="V147" s="600"/>
      <c r="W147" s="96"/>
      <c r="X147" s="147"/>
      <c r="Y147" s="147"/>
      <c r="Z147" s="147"/>
      <c r="AA147" s="147"/>
      <c r="AB147" s="192">
        <v>348</v>
      </c>
    </row>
    <row r="148" spans="1:34" ht="12.6" customHeight="1" x14ac:dyDescent="0.2">
      <c r="A148" s="20"/>
      <c r="B148" s="692" t="s">
        <v>178</v>
      </c>
      <c r="C148" s="693"/>
      <c r="D148" s="693"/>
      <c r="E148" s="693"/>
      <c r="F148" s="297"/>
      <c r="G148" s="601"/>
      <c r="H148" s="458"/>
      <c r="I148" s="458"/>
      <c r="J148" s="458"/>
      <c r="K148" s="458"/>
      <c r="L148" s="260"/>
      <c r="M148" s="260"/>
      <c r="N148" s="284"/>
      <c r="O148" s="458"/>
      <c r="P148" s="260"/>
      <c r="Q148" s="260"/>
      <c r="R148" s="458"/>
      <c r="S148" s="458"/>
      <c r="T148" s="458"/>
      <c r="U148" s="94"/>
      <c r="V148" s="458"/>
      <c r="W148" s="94"/>
      <c r="X148" s="147"/>
      <c r="Y148" s="147"/>
      <c r="Z148" s="147"/>
      <c r="AA148" s="147"/>
      <c r="AB148" s="192">
        <v>349</v>
      </c>
    </row>
    <row r="149" spans="1:34" ht="12.6" customHeight="1" x14ac:dyDescent="0.2">
      <c r="A149" s="20"/>
      <c r="B149" s="677" t="s">
        <v>179</v>
      </c>
      <c r="C149" s="678"/>
      <c r="D149" s="678"/>
      <c r="E149" s="678"/>
      <c r="F149" s="298"/>
      <c r="G149" s="599"/>
      <c r="H149" s="600"/>
      <c r="I149" s="600"/>
      <c r="J149" s="600"/>
      <c r="K149" s="600"/>
      <c r="L149" s="262"/>
      <c r="M149" s="262"/>
      <c r="N149" s="278"/>
      <c r="O149" s="600"/>
      <c r="P149" s="262"/>
      <c r="Q149" s="262"/>
      <c r="R149" s="600"/>
      <c r="S149" s="600"/>
      <c r="T149" s="600"/>
      <c r="U149" s="96"/>
      <c r="V149" s="600"/>
      <c r="W149" s="96"/>
      <c r="X149" s="147"/>
      <c r="Y149" s="147"/>
      <c r="Z149" s="147"/>
      <c r="AA149" s="147"/>
      <c r="AB149" s="192">
        <v>350</v>
      </c>
    </row>
    <row r="150" spans="1:34" ht="12.6" customHeight="1" x14ac:dyDescent="0.2">
      <c r="A150" s="20"/>
      <c r="B150" s="692" t="s">
        <v>180</v>
      </c>
      <c r="C150" s="693"/>
      <c r="D150" s="693"/>
      <c r="E150" s="693"/>
      <c r="F150" s="297"/>
      <c r="G150" s="601"/>
      <c r="H150" s="458"/>
      <c r="I150" s="458"/>
      <c r="J150" s="458"/>
      <c r="K150" s="458"/>
      <c r="L150" s="260"/>
      <c r="M150" s="260"/>
      <c r="N150" s="284"/>
      <c r="O150" s="458"/>
      <c r="P150" s="260"/>
      <c r="Q150" s="260"/>
      <c r="R150" s="458"/>
      <c r="S150" s="458"/>
      <c r="T150" s="458"/>
      <c r="U150" s="94"/>
      <c r="V150" s="458"/>
      <c r="W150" s="94"/>
      <c r="X150" s="147"/>
      <c r="Y150" s="147"/>
      <c r="Z150" s="147"/>
      <c r="AA150" s="147"/>
      <c r="AB150" s="192">
        <v>351</v>
      </c>
    </row>
    <row r="151" spans="1:34" ht="12.6" customHeight="1" x14ac:dyDescent="0.2">
      <c r="A151" s="20"/>
      <c r="B151" s="677" t="s">
        <v>181</v>
      </c>
      <c r="C151" s="678"/>
      <c r="D151" s="678"/>
      <c r="E151" s="678"/>
      <c r="F151" s="298"/>
      <c r="G151" s="599"/>
      <c r="H151" s="600"/>
      <c r="I151" s="600"/>
      <c r="J151" s="600"/>
      <c r="K151" s="600"/>
      <c r="L151" s="262"/>
      <c r="M151" s="262"/>
      <c r="N151" s="103"/>
      <c r="O151" s="600"/>
      <c r="P151" s="262"/>
      <c r="Q151" s="262"/>
      <c r="R151" s="600"/>
      <c r="S151" s="600"/>
      <c r="T151" s="103"/>
      <c r="U151" s="612"/>
      <c r="V151" s="103"/>
      <c r="W151" s="612"/>
      <c r="X151" s="147"/>
      <c r="Y151" s="147"/>
      <c r="Z151" s="147"/>
      <c r="AA151" s="147"/>
      <c r="AB151" s="192">
        <v>352</v>
      </c>
    </row>
    <row r="152" spans="1:34" ht="12.6" customHeight="1" x14ac:dyDescent="0.2">
      <c r="A152" s="20"/>
      <c r="B152" s="699" t="s">
        <v>370</v>
      </c>
      <c r="C152" s="740"/>
      <c r="D152" s="740"/>
      <c r="E152" s="741"/>
      <c r="F152" s="383">
        <f>0.65*X2</f>
        <v>704.6</v>
      </c>
      <c r="G152" s="305">
        <f t="shared" ref="G152" si="285">+F152*$X$1</f>
        <v>704.6</v>
      </c>
      <c r="H152" s="563"/>
      <c r="I152" s="288"/>
      <c r="J152" s="458"/>
      <c r="K152" s="288"/>
      <c r="L152" s="458">
        <f>F152+120</f>
        <v>824.6</v>
      </c>
      <c r="M152" s="288">
        <f>+L152*$X$1</f>
        <v>824.6</v>
      </c>
      <c r="N152" s="458">
        <f>F152+63</f>
        <v>767.6</v>
      </c>
      <c r="O152" s="288">
        <f>+N152*$X$1</f>
        <v>767.6</v>
      </c>
      <c r="P152" s="458">
        <f>F152+54</f>
        <v>758.6</v>
      </c>
      <c r="Q152" s="288">
        <f>+P152*$X$1</f>
        <v>758.6</v>
      </c>
      <c r="R152" s="458">
        <f>F152+45</f>
        <v>749.6</v>
      </c>
      <c r="S152" s="288">
        <f>+R152*$X$1</f>
        <v>749.6</v>
      </c>
      <c r="T152" s="102">
        <f>F152+37</f>
        <v>741.6</v>
      </c>
      <c r="U152" s="305">
        <f>+T152*$X$1</f>
        <v>741.6</v>
      </c>
      <c r="V152" s="102">
        <f>F152+32</f>
        <v>736.6</v>
      </c>
      <c r="W152" s="305">
        <f>+V152*$X$1</f>
        <v>736.6</v>
      </c>
      <c r="X152" s="682"/>
      <c r="Y152" s="683"/>
      <c r="Z152" s="683"/>
      <c r="AA152" s="684"/>
      <c r="AB152" s="192">
        <v>370</v>
      </c>
    </row>
    <row r="153" spans="1:34" ht="12.6" customHeight="1" x14ac:dyDescent="0.2">
      <c r="A153" s="20"/>
      <c r="B153" s="793" t="s">
        <v>542</v>
      </c>
      <c r="C153" s="750"/>
      <c r="D153" s="750"/>
      <c r="E153" s="751"/>
      <c r="F153" s="306">
        <v>1094</v>
      </c>
      <c r="G153" s="255">
        <f t="shared" ref="G153" si="286">+F153*$X$1</f>
        <v>1094</v>
      </c>
      <c r="H153" s="522"/>
      <c r="I153" s="287"/>
      <c r="J153" s="620">
        <f>F153+180</f>
        <v>1274</v>
      </c>
      <c r="K153" s="287">
        <f t="shared" ref="K153" si="287">+J153*$X$1</f>
        <v>1274</v>
      </c>
      <c r="L153" s="600">
        <f>F153+120</f>
        <v>1214</v>
      </c>
      <c r="M153" s="287">
        <f>+L153*$X$1</f>
        <v>1214</v>
      </c>
      <c r="N153" s="600">
        <f>F153+63</f>
        <v>1157</v>
      </c>
      <c r="O153" s="287">
        <f>+N153*$X$1</f>
        <v>1157</v>
      </c>
      <c r="P153" s="600">
        <f>F153+54</f>
        <v>1148</v>
      </c>
      <c r="Q153" s="287">
        <f>+P153*$X$1</f>
        <v>1148</v>
      </c>
      <c r="R153" s="600">
        <f>F153+45</f>
        <v>1139</v>
      </c>
      <c r="S153" s="287">
        <f>+R153*$X$1</f>
        <v>1139</v>
      </c>
      <c r="T153" s="103">
        <f>F153+37</f>
        <v>1131</v>
      </c>
      <c r="U153" s="255">
        <f>+T153*$X$1</f>
        <v>1131</v>
      </c>
      <c r="V153" s="103">
        <f>F153+32</f>
        <v>1126</v>
      </c>
      <c r="W153" s="255">
        <f>+V153*$X$1</f>
        <v>1126</v>
      </c>
      <c r="X153" s="682"/>
      <c r="Y153" s="683"/>
      <c r="Z153" s="683"/>
      <c r="AA153" s="684"/>
      <c r="AB153" s="404">
        <v>373</v>
      </c>
    </row>
    <row r="154" spans="1:34" ht="12.6" customHeight="1" x14ac:dyDescent="0.2">
      <c r="A154" s="20"/>
      <c r="B154" s="699" t="s">
        <v>182</v>
      </c>
      <c r="C154" s="740"/>
      <c r="D154" s="740"/>
      <c r="E154" s="741"/>
      <c r="F154" s="380">
        <f>1.36*X2</f>
        <v>1474.24</v>
      </c>
      <c r="G154" s="305">
        <f>+F154*$X$1</f>
        <v>1474.24</v>
      </c>
      <c r="H154" s="458"/>
      <c r="I154" s="288"/>
      <c r="J154" s="458">
        <f>F154+180</f>
        <v>1654.24</v>
      </c>
      <c r="K154" s="288">
        <f t="shared" ref="K154" si="288">+J154*$X$1</f>
        <v>1654.24</v>
      </c>
      <c r="L154" s="458">
        <f>F154+120</f>
        <v>1594.24</v>
      </c>
      <c r="M154" s="288">
        <f>+L154*$X$1</f>
        <v>1594.24</v>
      </c>
      <c r="N154" s="458">
        <f>F154+63</f>
        <v>1537.24</v>
      </c>
      <c r="O154" s="288">
        <f>+N154*$X$1</f>
        <v>1537.24</v>
      </c>
      <c r="P154" s="458">
        <f>F154+54</f>
        <v>1528.24</v>
      </c>
      <c r="Q154" s="288">
        <f>+P154*$X$1</f>
        <v>1528.24</v>
      </c>
      <c r="R154" s="458">
        <f>F154+45</f>
        <v>1519.24</v>
      </c>
      <c r="S154" s="288">
        <f>+R154*$X$1</f>
        <v>1519.24</v>
      </c>
      <c r="T154" s="102">
        <f>F154+37</f>
        <v>1511.24</v>
      </c>
      <c r="U154" s="305">
        <f>+T154*$X$1</f>
        <v>1511.24</v>
      </c>
      <c r="V154" s="102">
        <f>F154+32</f>
        <v>1506.24</v>
      </c>
      <c r="W154" s="305">
        <f>+V154*$X$1</f>
        <v>1506.24</v>
      </c>
      <c r="X154" s="682"/>
      <c r="Y154" s="683"/>
      <c r="Z154" s="683"/>
      <c r="AA154" s="684"/>
      <c r="AB154" s="192">
        <v>375</v>
      </c>
    </row>
    <row r="155" spans="1:34" ht="12.6" customHeight="1" x14ac:dyDescent="0.2">
      <c r="A155" s="20"/>
      <c r="B155" s="732" t="s">
        <v>183</v>
      </c>
      <c r="C155" s="733"/>
      <c r="D155" s="733"/>
      <c r="E155" s="734"/>
      <c r="F155" s="379">
        <f>4.67*X2</f>
        <v>5062.28</v>
      </c>
      <c r="G155" s="255">
        <f>+F155*$X$1</f>
        <v>5062.28</v>
      </c>
      <c r="H155" s="600">
        <f>F155+400</f>
        <v>5462.28</v>
      </c>
      <c r="I155" s="287">
        <f t="shared" ref="I155" si="289">+H155*$X$1</f>
        <v>5462.28</v>
      </c>
      <c r="J155" s="600">
        <f>F155+150</f>
        <v>5212.28</v>
      </c>
      <c r="K155" s="287">
        <f>+J155*$X$1</f>
        <v>5212.28</v>
      </c>
      <c r="L155" s="600">
        <f>F155+120</f>
        <v>5182.28</v>
      </c>
      <c r="M155" s="287">
        <f t="shared" ref="M155" si="290">+L155*$X$1</f>
        <v>5182.28</v>
      </c>
      <c r="N155" s="600">
        <f>F155+60</f>
        <v>5122.28</v>
      </c>
      <c r="O155" s="287">
        <f>+N155*$X$1</f>
        <v>5122.28</v>
      </c>
      <c r="P155" s="600">
        <f>F155+54</f>
        <v>5116.28</v>
      </c>
      <c r="Q155" s="287">
        <f t="shared" ref="Q155" si="291">+P155*$X$1</f>
        <v>5116.28</v>
      </c>
      <c r="R155" s="600">
        <f>F155+47</f>
        <v>5109.28</v>
      </c>
      <c r="S155" s="287">
        <f>+R155*$X$1</f>
        <v>5109.28</v>
      </c>
      <c r="T155" s="600">
        <f>F155+39</f>
        <v>5101.28</v>
      </c>
      <c r="U155" s="287">
        <f>+T155*$X$1</f>
        <v>5101.28</v>
      </c>
      <c r="V155" s="600">
        <f>F155+34</f>
        <v>5096.28</v>
      </c>
      <c r="W155" s="287">
        <f>+V155*$X$1</f>
        <v>5096.28</v>
      </c>
      <c r="X155" s="726"/>
      <c r="Y155" s="799"/>
      <c r="Z155" s="799"/>
      <c r="AA155" s="728"/>
      <c r="AB155" s="192">
        <v>376</v>
      </c>
    </row>
    <row r="156" spans="1:34" ht="12.75" customHeight="1" x14ac:dyDescent="0.2">
      <c r="A156" s="18"/>
      <c r="B156" s="3"/>
      <c r="C156" s="3"/>
      <c r="D156" s="3"/>
      <c r="E156" s="3"/>
      <c r="F156" s="128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65"/>
      <c r="F157" s="128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8"/>
      <c r="B158" s="3"/>
      <c r="C158" s="3"/>
      <c r="D158" s="3"/>
      <c r="E158" s="3"/>
      <c r="F158" s="99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8"/>
      <c r="B159" s="798" t="s">
        <v>11</v>
      </c>
      <c r="C159" s="767" t="s">
        <v>12</v>
      </c>
      <c r="D159" s="768"/>
      <c r="E159" s="768"/>
      <c r="F159" s="754" t="s">
        <v>13</v>
      </c>
      <c r="G159" s="754" t="s">
        <v>13</v>
      </c>
      <c r="H159" s="738" t="s">
        <v>809</v>
      </c>
      <c r="I159" s="738"/>
      <c r="J159" s="739"/>
      <c r="K159" s="739"/>
      <c r="L159" s="739"/>
      <c r="M159" s="739"/>
      <c r="N159" s="739"/>
      <c r="O159" s="739"/>
      <c r="P159" s="739"/>
      <c r="Q159" s="739"/>
      <c r="R159" s="739"/>
      <c r="S159" s="739"/>
      <c r="T159" s="739"/>
      <c r="U159" s="739"/>
      <c r="V159" s="739"/>
      <c r="W159" s="739"/>
      <c r="X159" s="715" t="s">
        <v>14</v>
      </c>
      <c r="Y159" s="716"/>
      <c r="Z159" s="716"/>
      <c r="AA159" s="717"/>
      <c r="AB159" s="721" t="s">
        <v>15</v>
      </c>
      <c r="AF159" s="703" t="s">
        <v>3</v>
      </c>
      <c r="AG159" s="704"/>
      <c r="AH159" s="704"/>
    </row>
    <row r="160" spans="1:34" ht="12.6" customHeight="1" x14ac:dyDescent="0.2">
      <c r="A160" s="18"/>
      <c r="B160" s="798"/>
      <c r="C160" s="768"/>
      <c r="D160" s="768"/>
      <c r="E160" s="768"/>
      <c r="F160" s="755"/>
      <c r="G160" s="755"/>
      <c r="H160" s="474"/>
      <c r="I160" s="472" t="s">
        <v>289</v>
      </c>
      <c r="J160" s="474"/>
      <c r="K160" s="472" t="s">
        <v>17</v>
      </c>
      <c r="L160" s="475"/>
      <c r="M160" s="475" t="s">
        <v>18</v>
      </c>
      <c r="N160" s="475"/>
      <c r="O160" s="472" t="s">
        <v>19</v>
      </c>
      <c r="P160" s="475"/>
      <c r="Q160" s="475" t="s">
        <v>291</v>
      </c>
      <c r="R160" s="475"/>
      <c r="S160" s="475" t="s">
        <v>20</v>
      </c>
      <c r="T160" s="475"/>
      <c r="U160" s="475" t="s">
        <v>21</v>
      </c>
      <c r="V160" s="475"/>
      <c r="W160" s="475" t="s">
        <v>22</v>
      </c>
      <c r="X160" s="718"/>
      <c r="Y160" s="719"/>
      <c r="Z160" s="719"/>
      <c r="AA160" s="720"/>
      <c r="AB160" s="691"/>
      <c r="AG160" s="33"/>
    </row>
    <row r="161" spans="1:38" ht="12.6" customHeight="1" x14ac:dyDescent="0.2">
      <c r="A161" s="20"/>
      <c r="B161" s="699" t="s">
        <v>184</v>
      </c>
      <c r="C161" s="740"/>
      <c r="D161" s="740"/>
      <c r="E161" s="741"/>
      <c r="F161" s="380">
        <f>3.56*X2</f>
        <v>3859.04</v>
      </c>
      <c r="G161" s="305">
        <f>+F161*$X$1</f>
        <v>3859.04</v>
      </c>
      <c r="H161" s="286"/>
      <c r="I161" s="343"/>
      <c r="J161" s="458">
        <f>F161+180</f>
        <v>4039.04</v>
      </c>
      <c r="K161" s="288">
        <f>+J161*$X$1</f>
        <v>4039.04</v>
      </c>
      <c r="L161" s="458">
        <f>F161+120</f>
        <v>3979.04</v>
      </c>
      <c r="M161" s="288">
        <f>+L161*$X$1</f>
        <v>3979.04</v>
      </c>
      <c r="N161" s="458">
        <f>F161+63</f>
        <v>3922.04</v>
      </c>
      <c r="O161" s="288">
        <f>+N161*$X$1</f>
        <v>3922.04</v>
      </c>
      <c r="P161" s="458"/>
      <c r="Q161" s="288"/>
      <c r="R161" s="458"/>
      <c r="S161" s="288"/>
      <c r="T161" s="102"/>
      <c r="U161" s="305"/>
      <c r="V161" s="102"/>
      <c r="W161" s="305"/>
      <c r="X161" s="682"/>
      <c r="Y161" s="683"/>
      <c r="Z161" s="683"/>
      <c r="AA161" s="684"/>
      <c r="AB161" s="192">
        <v>379</v>
      </c>
    </row>
    <row r="162" spans="1:38" s="1" customFormat="1" ht="12.6" customHeight="1" x14ac:dyDescent="0.2">
      <c r="A162" s="19"/>
      <c r="B162" s="679" t="s">
        <v>947</v>
      </c>
      <c r="C162" s="680"/>
      <c r="D162" s="680"/>
      <c r="E162" s="681"/>
      <c r="F162" s="533">
        <f>4.27*X2</f>
        <v>4628.6799999999994</v>
      </c>
      <c r="G162" s="287">
        <f t="shared" ref="G162" si="292">+F162*$X$1</f>
        <v>4628.6799999999994</v>
      </c>
      <c r="H162" s="71">
        <f>F162+500</f>
        <v>5128.6799999999994</v>
      </c>
      <c r="I162" s="287">
        <f t="shared" ref="I162" si="293">+H162*$X$1</f>
        <v>5128.6799999999994</v>
      </c>
      <c r="J162" s="670">
        <f>F162+210</f>
        <v>4838.6799999999994</v>
      </c>
      <c r="K162" s="287">
        <f t="shared" ref="K162" si="294">+J162*$X$1</f>
        <v>4838.6799999999994</v>
      </c>
      <c r="L162" s="670">
        <f>F162+150</f>
        <v>4778.6799999999994</v>
      </c>
      <c r="M162" s="287">
        <f t="shared" ref="M162" si="295">+L162*$X$1</f>
        <v>4778.6799999999994</v>
      </c>
      <c r="N162" s="670">
        <f>F162+120</f>
        <v>4748.6799999999994</v>
      </c>
      <c r="O162" s="287">
        <f t="shared" ref="O162" si="296">+N162*$X$1</f>
        <v>4748.6799999999994</v>
      </c>
      <c r="P162" s="670">
        <f>F162+95</f>
        <v>4723.6799999999994</v>
      </c>
      <c r="Q162" s="287">
        <f t="shared" ref="Q162" si="297">+P162*$X$1</f>
        <v>4723.6799999999994</v>
      </c>
      <c r="R162" s="670">
        <f>F162+85</f>
        <v>4713.6799999999994</v>
      </c>
      <c r="S162" s="287">
        <f t="shared" ref="S162" si="298">+R162*$X$1</f>
        <v>4713.6799999999994</v>
      </c>
      <c r="T162" s="670">
        <f>F162+77</f>
        <v>4705.6799999999994</v>
      </c>
      <c r="U162" s="287">
        <f t="shared" ref="U162" si="299">+T162*$X$1</f>
        <v>4705.6799999999994</v>
      </c>
      <c r="V162" s="670">
        <f>F162+68</f>
        <v>4696.6799999999994</v>
      </c>
      <c r="W162" s="287">
        <f t="shared" ref="W162" si="300">+V162*$X$1</f>
        <v>4696.6799999999994</v>
      </c>
      <c r="X162" s="635"/>
      <c r="Y162" s="636"/>
      <c r="Z162" s="636"/>
      <c r="AA162" s="637"/>
      <c r="AB162" s="192">
        <v>380</v>
      </c>
      <c r="AC162" s="4"/>
      <c r="AD162" s="4"/>
      <c r="AE162" s="4"/>
      <c r="AF162" s="4"/>
      <c r="AG162" s="4"/>
      <c r="AH162" s="128"/>
      <c r="AI162" s="4"/>
      <c r="AJ162" s="4"/>
      <c r="AK162" s="4"/>
      <c r="AL162" s="4"/>
    </row>
    <row r="163" spans="1:38" ht="12.6" customHeight="1" x14ac:dyDescent="0.2">
      <c r="A163" s="104"/>
      <c r="B163" s="679" t="s">
        <v>944</v>
      </c>
      <c r="C163" s="680"/>
      <c r="D163" s="680"/>
      <c r="E163" s="681"/>
      <c r="F163" s="380">
        <f>2.64*X2</f>
        <v>2861.76</v>
      </c>
      <c r="G163" s="288">
        <f t="shared" ref="G163" si="301">+F163*$X$1</f>
        <v>2861.76</v>
      </c>
      <c r="H163" s="458">
        <f>F163+500</f>
        <v>3361.76</v>
      </c>
      <c r="I163" s="288">
        <f>+H163*$X$1</f>
        <v>3361.76</v>
      </c>
      <c r="J163" s="458">
        <f>F163+180</f>
        <v>3041.76</v>
      </c>
      <c r="K163" s="288">
        <f t="shared" ref="K163" si="302">+J163*$X$1</f>
        <v>3041.76</v>
      </c>
      <c r="L163" s="458">
        <f t="shared" ref="L163" si="303">F163+120</f>
        <v>2981.76</v>
      </c>
      <c r="M163" s="288">
        <f>+L163*$X$1</f>
        <v>2981.76</v>
      </c>
      <c r="N163" s="458">
        <f>F163+63</f>
        <v>2924.76</v>
      </c>
      <c r="O163" s="288">
        <f t="shared" ref="O163" si="304">+N163*$X$1</f>
        <v>2924.76</v>
      </c>
      <c r="P163" s="458">
        <f t="shared" ref="P163" si="305">F163+54</f>
        <v>2915.76</v>
      </c>
      <c r="Q163" s="288">
        <f>+P163*$X$1</f>
        <v>2915.76</v>
      </c>
      <c r="R163" s="458">
        <f>F163+45</f>
        <v>2906.76</v>
      </c>
      <c r="S163" s="288">
        <f t="shared" ref="S163" si="306">+R163*$X$1</f>
        <v>2906.76</v>
      </c>
      <c r="T163" s="458">
        <f>F163+37</f>
        <v>2898.76</v>
      </c>
      <c r="U163" s="288">
        <f t="shared" ref="U163" si="307">+T163*$X$1</f>
        <v>2898.76</v>
      </c>
      <c r="V163" s="458">
        <f>F163+32</f>
        <v>2893.76</v>
      </c>
      <c r="W163" s="288">
        <f t="shared" ref="W163" si="308">+V163*$X$1</f>
        <v>2893.76</v>
      </c>
      <c r="X163" s="682"/>
      <c r="Y163" s="683"/>
      <c r="Z163" s="683"/>
      <c r="AA163" s="684"/>
      <c r="AB163" s="192">
        <v>381</v>
      </c>
    </row>
    <row r="164" spans="1:38" ht="12.6" customHeight="1" x14ac:dyDescent="0.2">
      <c r="A164" s="104"/>
      <c r="B164" s="732" t="s">
        <v>390</v>
      </c>
      <c r="C164" s="733"/>
      <c r="D164" s="733"/>
      <c r="E164" s="734"/>
      <c r="F164" s="379">
        <f>1.87*X2</f>
        <v>2027.0800000000002</v>
      </c>
      <c r="G164" s="255">
        <f t="shared" ref="G164:G167" si="309">+F164*$X$1</f>
        <v>2027.0800000000002</v>
      </c>
      <c r="H164" s="103">
        <f>F164+500</f>
        <v>2527.08</v>
      </c>
      <c r="I164" s="306">
        <f>+H164*$X$1</f>
        <v>2527.08</v>
      </c>
      <c r="J164" s="103">
        <f>F164+180</f>
        <v>2207.08</v>
      </c>
      <c r="K164" s="306">
        <f t="shared" ref="K164:K171" si="310">+J164*$X$1</f>
        <v>2207.08</v>
      </c>
      <c r="L164" s="103">
        <f t="shared" ref="L164:L180" si="311">F164+120</f>
        <v>2147.08</v>
      </c>
      <c r="M164" s="306">
        <f>+L164*$X$1</f>
        <v>2147.08</v>
      </c>
      <c r="N164" s="103">
        <f>F164+63</f>
        <v>2090.08</v>
      </c>
      <c r="O164" s="306">
        <f t="shared" ref="O164:O180" si="312">+N164*$X$1</f>
        <v>2090.08</v>
      </c>
      <c r="P164" s="103">
        <f t="shared" ref="P164:P180" si="313">F164+54</f>
        <v>2081.08</v>
      </c>
      <c r="Q164" s="306">
        <f>+P164*$X$1</f>
        <v>2081.08</v>
      </c>
      <c r="R164" s="103">
        <f>F164+45</f>
        <v>2072.08</v>
      </c>
      <c r="S164" s="306">
        <f t="shared" ref="S164:S180" si="314">+R164*$X$1</f>
        <v>2072.08</v>
      </c>
      <c r="T164" s="103">
        <f>F164+37</f>
        <v>2064.08</v>
      </c>
      <c r="U164" s="255">
        <f t="shared" ref="U164:U180" si="315">+T164*$X$1</f>
        <v>2064.08</v>
      </c>
      <c r="V164" s="103">
        <f>F164+32</f>
        <v>2059.08</v>
      </c>
      <c r="W164" s="255">
        <f t="shared" ref="W164:W176" si="316">+V164*$X$1</f>
        <v>2059.08</v>
      </c>
      <c r="X164" s="682"/>
      <c r="Y164" s="683"/>
      <c r="Z164" s="683"/>
      <c r="AA164" s="684"/>
      <c r="AB164" s="192">
        <v>382</v>
      </c>
    </row>
    <row r="165" spans="1:38" ht="12.6" customHeight="1" x14ac:dyDescent="0.2">
      <c r="A165" s="104"/>
      <c r="B165" s="679" t="s">
        <v>954</v>
      </c>
      <c r="C165" s="680"/>
      <c r="D165" s="680"/>
      <c r="E165" s="681"/>
      <c r="F165" s="380">
        <f>33.35*X2</f>
        <v>36151.4</v>
      </c>
      <c r="G165" s="288">
        <f t="shared" si="309"/>
        <v>36151.4</v>
      </c>
      <c r="H165" s="458">
        <f>F165+500</f>
        <v>36651.4</v>
      </c>
      <c r="I165" s="288">
        <f>+H165*$X$1</f>
        <v>36651.4</v>
      </c>
      <c r="J165" s="458">
        <f>F165+180</f>
        <v>36331.4</v>
      </c>
      <c r="K165" s="288">
        <f t="shared" si="310"/>
        <v>36331.4</v>
      </c>
      <c r="L165" s="458">
        <f t="shared" si="311"/>
        <v>36271.4</v>
      </c>
      <c r="M165" s="288">
        <f>+L165*$X$1</f>
        <v>36271.4</v>
      </c>
      <c r="N165" s="458">
        <f>F165+63</f>
        <v>36214.400000000001</v>
      </c>
      <c r="O165" s="288">
        <f t="shared" si="312"/>
        <v>36214.400000000001</v>
      </c>
      <c r="P165" s="458">
        <f t="shared" si="313"/>
        <v>36205.4</v>
      </c>
      <c r="Q165" s="288">
        <f>+P165*$X$1</f>
        <v>36205.4</v>
      </c>
      <c r="R165" s="458">
        <f>F165+45</f>
        <v>36196.400000000001</v>
      </c>
      <c r="S165" s="288">
        <f t="shared" si="314"/>
        <v>36196.400000000001</v>
      </c>
      <c r="T165" s="458">
        <f>F165+37</f>
        <v>36188.400000000001</v>
      </c>
      <c r="U165" s="288">
        <f t="shared" si="315"/>
        <v>36188.400000000001</v>
      </c>
      <c r="V165" s="458">
        <f>F165+32</f>
        <v>36183.4</v>
      </c>
      <c r="W165" s="288">
        <f t="shared" si="316"/>
        <v>36183.4</v>
      </c>
      <c r="X165" s="682"/>
      <c r="Y165" s="683"/>
      <c r="Z165" s="683"/>
      <c r="AA165" s="684"/>
      <c r="AB165" s="192">
        <v>384</v>
      </c>
    </row>
    <row r="166" spans="1:38" ht="12.6" customHeight="1" x14ac:dyDescent="0.2">
      <c r="A166" s="20"/>
      <c r="B166" s="732" t="s">
        <v>899</v>
      </c>
      <c r="C166" s="733"/>
      <c r="D166" s="733"/>
      <c r="E166" s="734"/>
      <c r="F166" s="379">
        <f>21.9*X2</f>
        <v>23739.599999999999</v>
      </c>
      <c r="G166" s="255">
        <f t="shared" si="309"/>
        <v>23739.599999999999</v>
      </c>
      <c r="H166" s="670">
        <f>F166+400</f>
        <v>24139.599999999999</v>
      </c>
      <c r="I166" s="287">
        <f t="shared" ref="I166" si="317">+H166*$X$1</f>
        <v>24139.599999999999</v>
      </c>
      <c r="J166" s="670">
        <f>F166+150</f>
        <v>23889.599999999999</v>
      </c>
      <c r="K166" s="287">
        <f t="shared" si="310"/>
        <v>23889.599999999999</v>
      </c>
      <c r="L166" s="670">
        <f t="shared" ref="L166:L168" si="318">F166+120</f>
        <v>23859.599999999999</v>
      </c>
      <c r="M166" s="287">
        <f t="shared" ref="M166" si="319">+L166*$X$1</f>
        <v>23859.599999999999</v>
      </c>
      <c r="N166" s="670">
        <f>F166+60</f>
        <v>23799.599999999999</v>
      </c>
      <c r="O166" s="287">
        <f t="shared" ref="O166:O168" si="320">+N166*$X$1</f>
        <v>23799.599999999999</v>
      </c>
      <c r="P166" s="670">
        <f t="shared" ref="P166:P168" si="321">F166+54</f>
        <v>23793.599999999999</v>
      </c>
      <c r="Q166" s="287">
        <f t="shared" ref="Q166" si="322">+P166*$X$1</f>
        <v>23793.599999999999</v>
      </c>
      <c r="R166" s="670">
        <f>F166+47</f>
        <v>23786.6</v>
      </c>
      <c r="S166" s="287">
        <f t="shared" ref="S166:S168" si="323">+R166*$X$1</f>
        <v>23786.6</v>
      </c>
      <c r="T166" s="670">
        <f>F166+39</f>
        <v>23778.6</v>
      </c>
      <c r="U166" s="287">
        <f t="shared" ref="U166:U168" si="324">+T166*$X$1</f>
        <v>23778.6</v>
      </c>
      <c r="V166" s="670">
        <f>F166+34</f>
        <v>23773.599999999999</v>
      </c>
      <c r="W166" s="287">
        <f t="shared" si="316"/>
        <v>23773.599999999999</v>
      </c>
      <c r="X166" s="682"/>
      <c r="Y166" s="683"/>
      <c r="Z166" s="683"/>
      <c r="AA166" s="684"/>
      <c r="AB166" s="192">
        <v>392</v>
      </c>
    </row>
    <row r="167" spans="1:38" ht="12.6" customHeight="1" x14ac:dyDescent="0.2">
      <c r="A167" s="20"/>
      <c r="B167" s="679" t="s">
        <v>968</v>
      </c>
      <c r="C167" s="680"/>
      <c r="D167" s="680"/>
      <c r="E167" s="681"/>
      <c r="F167" s="380">
        <f>54*X2</f>
        <v>58536</v>
      </c>
      <c r="G167" s="305">
        <f t="shared" si="309"/>
        <v>58536</v>
      </c>
      <c r="H167" s="458">
        <f>F167+500</f>
        <v>59036</v>
      </c>
      <c r="I167" s="288">
        <f>+H167*$X$1</f>
        <v>59036</v>
      </c>
      <c r="J167" s="458">
        <f>F167+180</f>
        <v>58716</v>
      </c>
      <c r="K167" s="288">
        <f t="shared" si="310"/>
        <v>58716</v>
      </c>
      <c r="L167" s="458">
        <f t="shared" ref="L167" si="325">F167+120</f>
        <v>58656</v>
      </c>
      <c r="M167" s="288">
        <f>+L167*$X$1</f>
        <v>58656</v>
      </c>
      <c r="N167" s="458">
        <f>F167+63</f>
        <v>58599</v>
      </c>
      <c r="O167" s="288">
        <f t="shared" ref="O167" si="326">+N167*$X$1</f>
        <v>58599</v>
      </c>
      <c r="P167" s="458">
        <f t="shared" ref="P167" si="327">F167+54</f>
        <v>58590</v>
      </c>
      <c r="Q167" s="288">
        <f>+P167*$X$1</f>
        <v>58590</v>
      </c>
      <c r="R167" s="458">
        <f>F167+45</f>
        <v>58581</v>
      </c>
      <c r="S167" s="288">
        <f t="shared" ref="S167" si="328">+R167*$X$1</f>
        <v>58581</v>
      </c>
      <c r="T167" s="102">
        <f>F167+37</f>
        <v>58573</v>
      </c>
      <c r="U167" s="305">
        <f t="shared" ref="U167" si="329">+T167*$X$1</f>
        <v>58573</v>
      </c>
      <c r="V167" s="102">
        <f>F167+32</f>
        <v>58568</v>
      </c>
      <c r="W167" s="305">
        <f t="shared" si="316"/>
        <v>58568</v>
      </c>
      <c r="X167" s="682"/>
      <c r="Y167" s="683"/>
      <c r="Z167" s="683"/>
      <c r="AA167" s="684"/>
      <c r="AB167" s="192">
        <v>393</v>
      </c>
    </row>
    <row r="168" spans="1:38" ht="12.6" customHeight="1" x14ac:dyDescent="0.2">
      <c r="A168" s="20"/>
      <c r="B168" s="679" t="s">
        <v>967</v>
      </c>
      <c r="C168" s="680"/>
      <c r="D168" s="680"/>
      <c r="E168" s="681"/>
      <c r="F168" s="379">
        <f>49*X2</f>
        <v>53116</v>
      </c>
      <c r="G168" s="255">
        <f t="shared" ref="G168" si="330">+F168*$X$1</f>
        <v>53116</v>
      </c>
      <c r="H168" s="670">
        <f>F168+500</f>
        <v>53616</v>
      </c>
      <c r="I168" s="287">
        <f>+H168*$X$1</f>
        <v>53616</v>
      </c>
      <c r="J168" s="670">
        <f>F168+180</f>
        <v>53296</v>
      </c>
      <c r="K168" s="287">
        <f t="shared" ref="K168" si="331">+J168*$X$1</f>
        <v>53296</v>
      </c>
      <c r="L168" s="670">
        <f t="shared" si="318"/>
        <v>53236</v>
      </c>
      <c r="M168" s="287">
        <f>+L168*$X$1</f>
        <v>53236</v>
      </c>
      <c r="N168" s="670">
        <f>F168+63</f>
        <v>53179</v>
      </c>
      <c r="O168" s="287">
        <f t="shared" si="320"/>
        <v>53179</v>
      </c>
      <c r="P168" s="670">
        <f t="shared" si="321"/>
        <v>53170</v>
      </c>
      <c r="Q168" s="287">
        <f>+P168*$X$1</f>
        <v>53170</v>
      </c>
      <c r="R168" s="670">
        <f>F168+45</f>
        <v>53161</v>
      </c>
      <c r="S168" s="287">
        <f t="shared" si="323"/>
        <v>53161</v>
      </c>
      <c r="T168" s="103">
        <f>F168+37</f>
        <v>53153</v>
      </c>
      <c r="U168" s="255">
        <f t="shared" si="324"/>
        <v>53153</v>
      </c>
      <c r="V168" s="103">
        <f>F168+32</f>
        <v>53148</v>
      </c>
      <c r="W168" s="255">
        <f t="shared" ref="W168" si="332">+V168*$X$1</f>
        <v>53148</v>
      </c>
      <c r="X168" s="682"/>
      <c r="Y168" s="683"/>
      <c r="Z168" s="683"/>
      <c r="AA168" s="684"/>
      <c r="AB168" s="192">
        <v>394</v>
      </c>
    </row>
    <row r="169" spans="1:38" ht="12.6" customHeight="1" x14ac:dyDescent="0.2">
      <c r="A169" s="20"/>
      <c r="B169" s="699" t="s">
        <v>942</v>
      </c>
      <c r="C169" s="740"/>
      <c r="D169" s="740"/>
      <c r="E169" s="741"/>
      <c r="F169" s="380">
        <f>17.8*X2</f>
        <v>19295.2</v>
      </c>
      <c r="G169" s="305">
        <f t="shared" ref="G169:G171" si="333">+F169*$X$1</f>
        <v>19295.2</v>
      </c>
      <c r="H169" s="458">
        <f>F169+500</f>
        <v>19795.2</v>
      </c>
      <c r="I169" s="288">
        <f>+H169*$X$1</f>
        <v>19795.2</v>
      </c>
      <c r="J169" s="458">
        <f>F169+180</f>
        <v>19475.2</v>
      </c>
      <c r="K169" s="288">
        <f t="shared" si="310"/>
        <v>19475.2</v>
      </c>
      <c r="L169" s="458">
        <f t="shared" si="311"/>
        <v>19415.2</v>
      </c>
      <c r="M169" s="288">
        <f>+L169*$X$1</f>
        <v>19415.2</v>
      </c>
      <c r="N169" s="458">
        <f>F169+63</f>
        <v>19358.2</v>
      </c>
      <c r="O169" s="288">
        <f t="shared" si="312"/>
        <v>19358.2</v>
      </c>
      <c r="P169" s="458">
        <f t="shared" si="313"/>
        <v>19349.2</v>
      </c>
      <c r="Q169" s="288">
        <f>+P169*$X$1</f>
        <v>19349.2</v>
      </c>
      <c r="R169" s="458">
        <f>F169+45</f>
        <v>19340.2</v>
      </c>
      <c r="S169" s="288">
        <f t="shared" si="314"/>
        <v>19340.2</v>
      </c>
      <c r="T169" s="102">
        <f>F169+37</f>
        <v>19332.2</v>
      </c>
      <c r="U169" s="305">
        <f t="shared" si="315"/>
        <v>19332.2</v>
      </c>
      <c r="V169" s="102">
        <f>F169+32</f>
        <v>19327.2</v>
      </c>
      <c r="W169" s="305">
        <f t="shared" si="316"/>
        <v>19327.2</v>
      </c>
      <c r="X169" s="682"/>
      <c r="Y169" s="683"/>
      <c r="Z169" s="683"/>
      <c r="AA169" s="684"/>
      <c r="AB169" s="192">
        <v>395</v>
      </c>
    </row>
    <row r="170" spans="1:38" ht="12.6" customHeight="1" x14ac:dyDescent="0.2">
      <c r="A170" s="20"/>
      <c r="B170" s="679" t="s">
        <v>981</v>
      </c>
      <c r="C170" s="680"/>
      <c r="D170" s="680"/>
      <c r="E170" s="681"/>
      <c r="F170" s="379">
        <f>22.04*X2</f>
        <v>23891.360000000001</v>
      </c>
      <c r="G170" s="255">
        <f t="shared" ref="G170" si="334">+F170*$X$1</f>
        <v>23891.360000000001</v>
      </c>
      <c r="H170" s="670">
        <f>F170+500</f>
        <v>24391.360000000001</v>
      </c>
      <c r="I170" s="287">
        <f>+H170*$X$1</f>
        <v>24391.360000000001</v>
      </c>
      <c r="J170" s="670">
        <f>F170+180</f>
        <v>24071.360000000001</v>
      </c>
      <c r="K170" s="287">
        <f t="shared" ref="K170" si="335">+J170*$X$1</f>
        <v>24071.360000000001</v>
      </c>
      <c r="L170" s="670">
        <f t="shared" ref="L170" si="336">F170+120</f>
        <v>24011.360000000001</v>
      </c>
      <c r="M170" s="287">
        <f>+L170*$X$1</f>
        <v>24011.360000000001</v>
      </c>
      <c r="N170" s="670">
        <f>F170+63</f>
        <v>23954.36</v>
      </c>
      <c r="O170" s="287">
        <f t="shared" ref="O170" si="337">+N170*$X$1</f>
        <v>23954.36</v>
      </c>
      <c r="P170" s="670">
        <f t="shared" ref="P170" si="338">F170+54</f>
        <v>23945.360000000001</v>
      </c>
      <c r="Q170" s="287">
        <f>+P170*$X$1</f>
        <v>23945.360000000001</v>
      </c>
      <c r="R170" s="670">
        <f>F170+45</f>
        <v>23936.36</v>
      </c>
      <c r="S170" s="287">
        <f t="shared" ref="S170" si="339">+R170*$X$1</f>
        <v>23936.36</v>
      </c>
      <c r="T170" s="103">
        <f>F170+37</f>
        <v>23928.36</v>
      </c>
      <c r="U170" s="255">
        <f t="shared" ref="U170" si="340">+T170*$X$1</f>
        <v>23928.36</v>
      </c>
      <c r="V170" s="103">
        <f>F170+32</f>
        <v>23923.360000000001</v>
      </c>
      <c r="W170" s="255">
        <f t="shared" ref="W170" si="341">+V170*$X$1</f>
        <v>23923.360000000001</v>
      </c>
      <c r="X170" s="682"/>
      <c r="Y170" s="683"/>
      <c r="Z170" s="683"/>
      <c r="AA170" s="684"/>
      <c r="AB170" s="192">
        <v>396</v>
      </c>
    </row>
    <row r="171" spans="1:38" ht="12.6" customHeight="1" x14ac:dyDescent="0.2">
      <c r="A171" s="20"/>
      <c r="B171" s="679" t="s">
        <v>940</v>
      </c>
      <c r="C171" s="680"/>
      <c r="D171" s="680"/>
      <c r="E171" s="681"/>
      <c r="F171" s="380">
        <f>29.69*X2</f>
        <v>32183.960000000003</v>
      </c>
      <c r="G171" s="305">
        <f t="shared" si="333"/>
        <v>32183.960000000003</v>
      </c>
      <c r="H171" s="458">
        <f>F171+400</f>
        <v>32583.960000000003</v>
      </c>
      <c r="I171" s="288">
        <f t="shared" ref="I171" si="342">+H171*$X$1</f>
        <v>32583.960000000003</v>
      </c>
      <c r="J171" s="458">
        <f>F171+150</f>
        <v>32333.960000000003</v>
      </c>
      <c r="K171" s="288">
        <f t="shared" si="310"/>
        <v>32333.960000000003</v>
      </c>
      <c r="L171" s="458">
        <f t="shared" ref="L171" si="343">F171+120</f>
        <v>32303.960000000003</v>
      </c>
      <c r="M171" s="288">
        <f t="shared" ref="M171" si="344">+L171*$X$1</f>
        <v>32303.960000000003</v>
      </c>
      <c r="N171" s="458">
        <f>F171+60</f>
        <v>32243.960000000003</v>
      </c>
      <c r="O171" s="288">
        <f t="shared" ref="O171" si="345">+N171*$X$1</f>
        <v>32243.960000000003</v>
      </c>
      <c r="P171" s="458">
        <f t="shared" ref="P171" si="346">F171+54</f>
        <v>32237.960000000003</v>
      </c>
      <c r="Q171" s="288">
        <f t="shared" ref="Q171" si="347">+P171*$X$1</f>
        <v>32237.960000000003</v>
      </c>
      <c r="R171" s="458">
        <f>F171+47</f>
        <v>32230.960000000003</v>
      </c>
      <c r="S171" s="288">
        <f t="shared" ref="S171" si="348">+R171*$X$1</f>
        <v>32230.960000000003</v>
      </c>
      <c r="T171" s="458">
        <f>F171+39</f>
        <v>32222.960000000003</v>
      </c>
      <c r="U171" s="288">
        <f t="shared" ref="U171" si="349">+T171*$X$1</f>
        <v>32222.960000000003</v>
      </c>
      <c r="V171" s="458">
        <f>F171+34</f>
        <v>32217.960000000003</v>
      </c>
      <c r="W171" s="288">
        <f t="shared" ref="W171" si="350">+V171*$X$1</f>
        <v>32217.960000000003</v>
      </c>
      <c r="X171" s="682"/>
      <c r="Y171" s="683"/>
      <c r="Z171" s="683"/>
      <c r="AA171" s="684"/>
      <c r="AB171" s="192">
        <v>397</v>
      </c>
    </row>
    <row r="172" spans="1:38" ht="12.6" customHeight="1" x14ac:dyDescent="0.2">
      <c r="A172" s="20"/>
      <c r="B172" s="732" t="s">
        <v>941</v>
      </c>
      <c r="C172" s="733"/>
      <c r="D172" s="733"/>
      <c r="E172" s="734"/>
      <c r="F172" s="379">
        <f>19.3*X2</f>
        <v>20921.2</v>
      </c>
      <c r="G172" s="255">
        <f t="shared" ref="G172:G174" si="351">+F172*$X$1</f>
        <v>20921.2</v>
      </c>
      <c r="H172" s="540">
        <f>F172+400</f>
        <v>21321.200000000001</v>
      </c>
      <c r="I172" s="287">
        <f t="shared" ref="I172:I176" si="352">+H172*$X$1</f>
        <v>21321.200000000001</v>
      </c>
      <c r="J172" s="540">
        <f>F172+150</f>
        <v>21071.200000000001</v>
      </c>
      <c r="K172" s="287">
        <f t="shared" ref="K172:K176" si="353">+J172*$X$1</f>
        <v>21071.200000000001</v>
      </c>
      <c r="L172" s="540">
        <f t="shared" si="311"/>
        <v>21041.200000000001</v>
      </c>
      <c r="M172" s="287">
        <f t="shared" ref="M172:M176" si="354">+L172*$X$1</f>
        <v>21041.200000000001</v>
      </c>
      <c r="N172" s="540">
        <f>F172+60</f>
        <v>20981.200000000001</v>
      </c>
      <c r="O172" s="287">
        <f t="shared" si="312"/>
        <v>20981.200000000001</v>
      </c>
      <c r="P172" s="540">
        <f t="shared" si="313"/>
        <v>20975.200000000001</v>
      </c>
      <c r="Q172" s="287">
        <f t="shared" ref="Q172:Q176" si="355">+P172*$X$1</f>
        <v>20975.200000000001</v>
      </c>
      <c r="R172" s="540">
        <f>F172+47</f>
        <v>20968.2</v>
      </c>
      <c r="S172" s="287">
        <f t="shared" si="314"/>
        <v>20968.2</v>
      </c>
      <c r="T172" s="540">
        <f>F172+39</f>
        <v>20960.2</v>
      </c>
      <c r="U172" s="287">
        <f t="shared" si="315"/>
        <v>20960.2</v>
      </c>
      <c r="V172" s="540">
        <f>F172+34</f>
        <v>20955.2</v>
      </c>
      <c r="W172" s="287">
        <f t="shared" si="316"/>
        <v>20955.2</v>
      </c>
      <c r="X172" s="682"/>
      <c r="Y172" s="683"/>
      <c r="Z172" s="683"/>
      <c r="AA172" s="684"/>
      <c r="AB172" s="192">
        <v>398</v>
      </c>
    </row>
    <row r="173" spans="1:38" s="1" customFormat="1" ht="12.6" customHeight="1" x14ac:dyDescent="0.2">
      <c r="A173" s="19"/>
      <c r="B173" s="679" t="s">
        <v>970</v>
      </c>
      <c r="C173" s="680"/>
      <c r="D173" s="680"/>
      <c r="E173" s="681"/>
      <c r="F173" s="619">
        <f>28.1*X2</f>
        <v>30460.400000000001</v>
      </c>
      <c r="G173" s="288">
        <f t="shared" si="351"/>
        <v>30460.400000000001</v>
      </c>
      <c r="H173" s="89">
        <f>F173+500</f>
        <v>30960.400000000001</v>
      </c>
      <c r="I173" s="288">
        <f t="shared" si="352"/>
        <v>30960.400000000001</v>
      </c>
      <c r="J173" s="458">
        <f>F173+210</f>
        <v>30670.400000000001</v>
      </c>
      <c r="K173" s="288">
        <f t="shared" si="353"/>
        <v>30670.400000000001</v>
      </c>
      <c r="L173" s="458">
        <f>F173+150</f>
        <v>30610.400000000001</v>
      </c>
      <c r="M173" s="288">
        <f t="shared" si="354"/>
        <v>30610.400000000001</v>
      </c>
      <c r="N173" s="458">
        <f>F173+120</f>
        <v>30580.400000000001</v>
      </c>
      <c r="O173" s="288">
        <f t="shared" si="312"/>
        <v>30580.400000000001</v>
      </c>
      <c r="P173" s="458">
        <f>F173+95</f>
        <v>30555.4</v>
      </c>
      <c r="Q173" s="288">
        <f t="shared" si="355"/>
        <v>30555.4</v>
      </c>
      <c r="R173" s="458">
        <f>F173+85</f>
        <v>30545.4</v>
      </c>
      <c r="S173" s="288">
        <f t="shared" si="314"/>
        <v>30545.4</v>
      </c>
      <c r="T173" s="458">
        <f>F173+77</f>
        <v>30537.4</v>
      </c>
      <c r="U173" s="288">
        <f t="shared" si="315"/>
        <v>30537.4</v>
      </c>
      <c r="V173" s="458">
        <f>F173+68</f>
        <v>30528.400000000001</v>
      </c>
      <c r="W173" s="288">
        <f t="shared" si="316"/>
        <v>30528.400000000001</v>
      </c>
      <c r="X173" s="655"/>
      <c r="Y173" s="656"/>
      <c r="Z173" s="656"/>
      <c r="AA173" s="657"/>
      <c r="AB173" s="192">
        <v>399</v>
      </c>
      <c r="AC173" s="4"/>
      <c r="AD173" s="4"/>
      <c r="AE173" s="4"/>
      <c r="AF173" s="4"/>
      <c r="AG173" s="4"/>
      <c r="AH173" s="128"/>
      <c r="AI173" s="4"/>
      <c r="AJ173" s="4"/>
      <c r="AK173" s="4"/>
      <c r="AL173" s="4"/>
    </row>
    <row r="174" spans="1:38" ht="12.6" customHeight="1" x14ac:dyDescent="0.2">
      <c r="A174" s="20"/>
      <c r="B174" s="679" t="s">
        <v>969</v>
      </c>
      <c r="C174" s="680"/>
      <c r="D174" s="680"/>
      <c r="E174" s="681"/>
      <c r="F174" s="379">
        <f>28.6*X2</f>
        <v>31002.400000000001</v>
      </c>
      <c r="G174" s="255">
        <f t="shared" si="351"/>
        <v>31002.400000000001</v>
      </c>
      <c r="H174" s="658">
        <f>F174+500</f>
        <v>31502.400000000001</v>
      </c>
      <c r="I174" s="287">
        <f>+H174*$X$1</f>
        <v>31502.400000000001</v>
      </c>
      <c r="J174" s="658">
        <f>F174+180</f>
        <v>31182.400000000001</v>
      </c>
      <c r="K174" s="287">
        <f t="shared" si="353"/>
        <v>31182.400000000001</v>
      </c>
      <c r="L174" s="658">
        <f t="shared" ref="L174" si="356">F174+120</f>
        <v>31122.400000000001</v>
      </c>
      <c r="M174" s="287">
        <f>+L174*$X$1</f>
        <v>31122.400000000001</v>
      </c>
      <c r="N174" s="658">
        <f>F174+63</f>
        <v>31065.4</v>
      </c>
      <c r="O174" s="287">
        <f t="shared" si="312"/>
        <v>31065.4</v>
      </c>
      <c r="P174" s="658">
        <f t="shared" ref="P174" si="357">F174+54</f>
        <v>31056.400000000001</v>
      </c>
      <c r="Q174" s="287">
        <f>+P174*$X$1</f>
        <v>31056.400000000001</v>
      </c>
      <c r="R174" s="658">
        <f>F174+45</f>
        <v>31047.4</v>
      </c>
      <c r="S174" s="287">
        <f t="shared" si="314"/>
        <v>31047.4</v>
      </c>
      <c r="T174" s="103">
        <f>F174+37</f>
        <v>31039.4</v>
      </c>
      <c r="U174" s="255">
        <f t="shared" si="315"/>
        <v>31039.4</v>
      </c>
      <c r="V174" s="103">
        <f>F174+32</f>
        <v>31034.400000000001</v>
      </c>
      <c r="W174" s="255">
        <f t="shared" si="316"/>
        <v>31034.400000000001</v>
      </c>
      <c r="X174" s="682"/>
      <c r="Y174" s="683"/>
      <c r="Z174" s="683"/>
      <c r="AA174" s="684"/>
      <c r="AB174" s="192">
        <v>402</v>
      </c>
    </row>
    <row r="175" spans="1:38" ht="12.6" customHeight="1" x14ac:dyDescent="0.2">
      <c r="A175" s="20"/>
      <c r="B175" s="694" t="s">
        <v>602</v>
      </c>
      <c r="C175" s="695"/>
      <c r="D175" s="695"/>
      <c r="E175" s="695"/>
      <c r="F175" s="380">
        <f>13.317*X2</f>
        <v>14435.628000000001</v>
      </c>
      <c r="G175" s="305">
        <f t="shared" ref="G175" si="358">+F175*$X$1</f>
        <v>14435.628000000001</v>
      </c>
      <c r="H175" s="458">
        <f>F175+400</f>
        <v>14835.628000000001</v>
      </c>
      <c r="I175" s="288">
        <f t="shared" si="352"/>
        <v>14835.628000000001</v>
      </c>
      <c r="J175" s="458">
        <f>F175+150</f>
        <v>14585.628000000001</v>
      </c>
      <c r="K175" s="288">
        <f t="shared" si="353"/>
        <v>14585.628000000001</v>
      </c>
      <c r="L175" s="458">
        <f t="shared" si="311"/>
        <v>14555.628000000001</v>
      </c>
      <c r="M175" s="288">
        <f t="shared" si="354"/>
        <v>14555.628000000001</v>
      </c>
      <c r="N175" s="458">
        <f>F175+60</f>
        <v>14495.628000000001</v>
      </c>
      <c r="O175" s="288">
        <f t="shared" si="312"/>
        <v>14495.628000000001</v>
      </c>
      <c r="P175" s="458">
        <f t="shared" si="313"/>
        <v>14489.628000000001</v>
      </c>
      <c r="Q175" s="288">
        <f t="shared" si="355"/>
        <v>14489.628000000001</v>
      </c>
      <c r="R175" s="458">
        <f>F175+47</f>
        <v>14482.628000000001</v>
      </c>
      <c r="S175" s="288">
        <f t="shared" si="314"/>
        <v>14482.628000000001</v>
      </c>
      <c r="T175" s="458">
        <f>F175+39</f>
        <v>14474.628000000001</v>
      </c>
      <c r="U175" s="288">
        <f t="shared" si="315"/>
        <v>14474.628000000001</v>
      </c>
      <c r="V175" s="458">
        <f>F175+34</f>
        <v>14469.628000000001</v>
      </c>
      <c r="W175" s="288">
        <f t="shared" si="316"/>
        <v>14469.628000000001</v>
      </c>
      <c r="X175" s="727"/>
      <c r="Y175" s="799"/>
      <c r="Z175" s="799"/>
      <c r="AA175" s="728"/>
      <c r="AB175" s="192" t="s">
        <v>603</v>
      </c>
    </row>
    <row r="176" spans="1:38" ht="12.6" customHeight="1" x14ac:dyDescent="0.2">
      <c r="A176" s="20"/>
      <c r="B176" s="772" t="s">
        <v>611</v>
      </c>
      <c r="C176" s="773"/>
      <c r="D176" s="773"/>
      <c r="E176" s="773"/>
      <c r="F176" s="379">
        <f>17.78*X2</f>
        <v>19273.52</v>
      </c>
      <c r="G176" s="255">
        <f t="shared" ref="G176" si="359">+F176*$X$1</f>
        <v>19273.52</v>
      </c>
      <c r="H176" s="540">
        <f>F176+400</f>
        <v>19673.52</v>
      </c>
      <c r="I176" s="287">
        <f t="shared" si="352"/>
        <v>19673.52</v>
      </c>
      <c r="J176" s="540">
        <f>F176+150</f>
        <v>19423.52</v>
      </c>
      <c r="K176" s="287">
        <f t="shared" si="353"/>
        <v>19423.52</v>
      </c>
      <c r="L176" s="540">
        <f t="shared" si="311"/>
        <v>19393.52</v>
      </c>
      <c r="M176" s="287">
        <f t="shared" si="354"/>
        <v>19393.52</v>
      </c>
      <c r="N176" s="540">
        <f>F176+60</f>
        <v>19333.52</v>
      </c>
      <c r="O176" s="287">
        <f t="shared" si="312"/>
        <v>19333.52</v>
      </c>
      <c r="P176" s="540">
        <f t="shared" si="313"/>
        <v>19327.52</v>
      </c>
      <c r="Q176" s="287">
        <f t="shared" si="355"/>
        <v>19327.52</v>
      </c>
      <c r="R176" s="540">
        <f>F176+47</f>
        <v>19320.52</v>
      </c>
      <c r="S176" s="287">
        <f t="shared" si="314"/>
        <v>19320.52</v>
      </c>
      <c r="T176" s="540">
        <f>F176+39</f>
        <v>19312.52</v>
      </c>
      <c r="U176" s="287">
        <f t="shared" si="315"/>
        <v>19312.52</v>
      </c>
      <c r="V176" s="540">
        <f>F176+34</f>
        <v>19307.52</v>
      </c>
      <c r="W176" s="287">
        <f t="shared" si="316"/>
        <v>19307.52</v>
      </c>
      <c r="X176" s="178"/>
      <c r="Y176" s="180"/>
      <c r="Z176" s="180"/>
      <c r="AA176" s="178"/>
      <c r="AB176" s="192" t="s">
        <v>610</v>
      </c>
    </row>
    <row r="177" spans="1:28" ht="12.6" customHeight="1" x14ac:dyDescent="0.2">
      <c r="A177" s="20"/>
      <c r="B177" s="694" t="s">
        <v>605</v>
      </c>
      <c r="C177" s="695"/>
      <c r="D177" s="695"/>
      <c r="E177" s="695"/>
      <c r="F177" s="380">
        <f>12.84*X2</f>
        <v>13918.56</v>
      </c>
      <c r="G177" s="305">
        <f t="shared" ref="G177" si="360">+F177*$X$1</f>
        <v>13918.56</v>
      </c>
      <c r="H177" s="458">
        <f>F177+500</f>
        <v>14418.56</v>
      </c>
      <c r="I177" s="288">
        <f>+H177*$X$1</f>
        <v>14418.56</v>
      </c>
      <c r="J177" s="458">
        <f>F177+180</f>
        <v>14098.56</v>
      </c>
      <c r="K177" s="288">
        <f t="shared" ref="K177" si="361">+J177*$X$1</f>
        <v>14098.56</v>
      </c>
      <c r="L177" s="458">
        <f t="shared" si="311"/>
        <v>14038.56</v>
      </c>
      <c r="M177" s="288">
        <f>+L177*$X$1</f>
        <v>14038.56</v>
      </c>
      <c r="N177" s="458">
        <f>F177+63</f>
        <v>13981.56</v>
      </c>
      <c r="O177" s="288">
        <f t="shared" si="312"/>
        <v>13981.56</v>
      </c>
      <c r="P177" s="458">
        <f t="shared" si="313"/>
        <v>13972.56</v>
      </c>
      <c r="Q177" s="288">
        <f>+P177*$X$1</f>
        <v>13972.56</v>
      </c>
      <c r="R177" s="458">
        <f>F177+45</f>
        <v>13963.56</v>
      </c>
      <c r="S177" s="288">
        <f t="shared" si="314"/>
        <v>13963.56</v>
      </c>
      <c r="T177" s="102">
        <f>F177+37</f>
        <v>13955.56</v>
      </c>
      <c r="U177" s="305">
        <f t="shared" si="315"/>
        <v>13955.56</v>
      </c>
      <c r="V177" s="102"/>
      <c r="W177" s="305"/>
      <c r="X177" s="682"/>
      <c r="Y177" s="683"/>
      <c r="Z177" s="683"/>
      <c r="AA177" s="684"/>
      <c r="AB177" s="192" t="s">
        <v>604</v>
      </c>
    </row>
    <row r="178" spans="1:28" ht="12.6" customHeight="1" x14ac:dyDescent="0.2">
      <c r="A178" s="20"/>
      <c r="B178" s="772" t="s">
        <v>346</v>
      </c>
      <c r="C178" s="773"/>
      <c r="D178" s="773"/>
      <c r="E178" s="773"/>
      <c r="F178" s="379">
        <f>15.93*X2</f>
        <v>17268.12</v>
      </c>
      <c r="G178" s="255">
        <f t="shared" ref="G178:G179" si="362">+F178*$X$1</f>
        <v>17268.12</v>
      </c>
      <c r="H178" s="540"/>
      <c r="I178" s="287"/>
      <c r="J178" s="540">
        <f>F178+180</f>
        <v>17448.12</v>
      </c>
      <c r="K178" s="287">
        <f t="shared" ref="K178:K180" si="363">+J178*$X$1</f>
        <v>17448.12</v>
      </c>
      <c r="L178" s="540">
        <f t="shared" si="311"/>
        <v>17388.12</v>
      </c>
      <c r="M178" s="287">
        <f>+L178*$X$1</f>
        <v>17388.12</v>
      </c>
      <c r="N178" s="540">
        <f>F178+63</f>
        <v>17331.12</v>
      </c>
      <c r="O178" s="287">
        <f t="shared" si="312"/>
        <v>17331.12</v>
      </c>
      <c r="P178" s="540">
        <f t="shared" si="313"/>
        <v>17322.12</v>
      </c>
      <c r="Q178" s="287">
        <f>+P178*$X$1</f>
        <v>17322.12</v>
      </c>
      <c r="R178" s="540">
        <f>F178+45</f>
        <v>17313.12</v>
      </c>
      <c r="S178" s="287">
        <f t="shared" si="314"/>
        <v>17313.12</v>
      </c>
      <c r="T178" s="103">
        <f>F178+37</f>
        <v>17305.12</v>
      </c>
      <c r="U178" s="255">
        <f t="shared" si="315"/>
        <v>17305.12</v>
      </c>
      <c r="V178" s="71"/>
      <c r="W178" s="71"/>
      <c r="X178" s="682"/>
      <c r="Y178" s="683"/>
      <c r="Z178" s="683"/>
      <c r="AA178" s="684"/>
      <c r="AB178" s="192">
        <v>405</v>
      </c>
    </row>
    <row r="179" spans="1:28" ht="12.6" customHeight="1" x14ac:dyDescent="0.2">
      <c r="A179" s="20"/>
      <c r="B179" s="694" t="s">
        <v>609</v>
      </c>
      <c r="C179" s="695"/>
      <c r="D179" s="695"/>
      <c r="E179" s="695"/>
      <c r="F179" s="380">
        <f>15.6*X2</f>
        <v>16910.399999999998</v>
      </c>
      <c r="G179" s="305">
        <f t="shared" si="362"/>
        <v>16910.399999999998</v>
      </c>
      <c r="H179" s="458">
        <f>F179+400</f>
        <v>17310.399999999998</v>
      </c>
      <c r="I179" s="288">
        <f t="shared" ref="I179:I180" si="364">+H179*$X$1</f>
        <v>17310.399999999998</v>
      </c>
      <c r="J179" s="458">
        <f>F179+150</f>
        <v>17060.399999999998</v>
      </c>
      <c r="K179" s="288">
        <f t="shared" si="363"/>
        <v>17060.399999999998</v>
      </c>
      <c r="L179" s="458">
        <f t="shared" si="311"/>
        <v>17030.399999999998</v>
      </c>
      <c r="M179" s="288">
        <f t="shared" ref="M179:M180" si="365">+L179*$X$1</f>
        <v>17030.399999999998</v>
      </c>
      <c r="N179" s="458">
        <f>F179+60</f>
        <v>16970.399999999998</v>
      </c>
      <c r="O179" s="288">
        <f t="shared" si="312"/>
        <v>16970.399999999998</v>
      </c>
      <c r="P179" s="458">
        <f t="shared" si="313"/>
        <v>16964.399999999998</v>
      </c>
      <c r="Q179" s="288">
        <f t="shared" ref="Q179:Q180" si="366">+P179*$X$1</f>
        <v>16964.399999999998</v>
      </c>
      <c r="R179" s="458">
        <f>F179+47</f>
        <v>16957.399999999998</v>
      </c>
      <c r="S179" s="288">
        <f t="shared" si="314"/>
        <v>16957.399999999998</v>
      </c>
      <c r="T179" s="458">
        <f>F179+39</f>
        <v>16949.399999999998</v>
      </c>
      <c r="U179" s="288">
        <f t="shared" si="315"/>
        <v>16949.399999999998</v>
      </c>
      <c r="V179" s="458">
        <f>F179+34</f>
        <v>16944.399999999998</v>
      </c>
      <c r="W179" s="288">
        <f>+V179*$X$1</f>
        <v>16944.399999999998</v>
      </c>
      <c r="X179" s="727"/>
      <c r="Y179" s="799"/>
      <c r="Z179" s="799"/>
      <c r="AA179" s="728"/>
      <c r="AB179" s="192" t="s">
        <v>608</v>
      </c>
    </row>
    <row r="180" spans="1:28" ht="12.6" customHeight="1" x14ac:dyDescent="0.2">
      <c r="A180" s="20"/>
      <c r="B180" s="677" t="s">
        <v>607</v>
      </c>
      <c r="C180" s="678"/>
      <c r="D180" s="678"/>
      <c r="E180" s="678"/>
      <c r="F180" s="379">
        <f>16.54*X2</f>
        <v>17929.36</v>
      </c>
      <c r="G180" s="255">
        <f t="shared" ref="G180" si="367">+F180*$X$1</f>
        <v>17929.36</v>
      </c>
      <c r="H180" s="540">
        <f>F180+400</f>
        <v>18329.36</v>
      </c>
      <c r="I180" s="287">
        <f t="shared" si="364"/>
        <v>18329.36</v>
      </c>
      <c r="J180" s="540">
        <f>F180+150</f>
        <v>18079.36</v>
      </c>
      <c r="K180" s="287">
        <f t="shared" si="363"/>
        <v>18079.36</v>
      </c>
      <c r="L180" s="540">
        <f t="shared" si="311"/>
        <v>18049.36</v>
      </c>
      <c r="M180" s="287">
        <f t="shared" si="365"/>
        <v>18049.36</v>
      </c>
      <c r="N180" s="540">
        <f>F180+60</f>
        <v>17989.36</v>
      </c>
      <c r="O180" s="287">
        <f t="shared" si="312"/>
        <v>17989.36</v>
      </c>
      <c r="P180" s="540">
        <f t="shared" si="313"/>
        <v>17983.36</v>
      </c>
      <c r="Q180" s="287">
        <f t="shared" si="366"/>
        <v>17983.36</v>
      </c>
      <c r="R180" s="540">
        <f>F180+47</f>
        <v>17976.36</v>
      </c>
      <c r="S180" s="287">
        <f t="shared" si="314"/>
        <v>17976.36</v>
      </c>
      <c r="T180" s="540">
        <f>F180+39</f>
        <v>17968.36</v>
      </c>
      <c r="U180" s="287">
        <f t="shared" si="315"/>
        <v>17968.36</v>
      </c>
      <c r="V180" s="540">
        <f>F180+34</f>
        <v>17963.36</v>
      </c>
      <c r="W180" s="287">
        <f>+V180*$X$1</f>
        <v>17963.36</v>
      </c>
      <c r="X180" s="682"/>
      <c r="Y180" s="683"/>
      <c r="Z180" s="683"/>
      <c r="AA180" s="684"/>
      <c r="AB180" s="192" t="s">
        <v>606</v>
      </c>
    </row>
    <row r="181" spans="1:28" ht="12.6" customHeight="1" x14ac:dyDescent="0.2">
      <c r="A181" s="25"/>
      <c r="B181" s="765" t="s">
        <v>632</v>
      </c>
      <c r="C181" s="743"/>
      <c r="D181" s="743"/>
      <c r="E181" s="743"/>
      <c r="F181" s="319">
        <v>171</v>
      </c>
      <c r="G181" s="504"/>
      <c r="H181" s="369"/>
      <c r="I181" s="800" t="s">
        <v>574</v>
      </c>
      <c r="J181" s="801"/>
      <c r="K181" s="801"/>
      <c r="L181" s="801"/>
      <c r="M181" s="802"/>
      <c r="N181" s="458">
        <f>F181+154</f>
        <v>325</v>
      </c>
      <c r="O181" s="288">
        <f t="shared" ref="O181" si="368">+N181*$X$1</f>
        <v>325</v>
      </c>
      <c r="P181" s="458">
        <f>F181+137</f>
        <v>308</v>
      </c>
      <c r="Q181" s="288">
        <f t="shared" ref="Q181" si="369">+P181*$X$1</f>
        <v>308</v>
      </c>
      <c r="R181" s="458">
        <f>F181+127</f>
        <v>298</v>
      </c>
      <c r="S181" s="288">
        <f t="shared" ref="S181" si="370">+R181*$X$1</f>
        <v>298</v>
      </c>
      <c r="T181" s="458">
        <f>F181+105</f>
        <v>276</v>
      </c>
      <c r="U181" s="288">
        <f t="shared" ref="U181" si="371">+T181*$X$1</f>
        <v>276</v>
      </c>
      <c r="V181" s="458">
        <f>F181+94</f>
        <v>265</v>
      </c>
      <c r="W181" s="288">
        <f t="shared" ref="W181" si="372">+V181*$X$1</f>
        <v>265</v>
      </c>
      <c r="X181" s="157"/>
      <c r="Y181" s="147"/>
      <c r="Z181" s="147"/>
      <c r="AA181" s="147"/>
      <c r="AB181" s="192">
        <v>415</v>
      </c>
    </row>
    <row r="182" spans="1:28" ht="12.6" customHeight="1" x14ac:dyDescent="0.2">
      <c r="A182" s="25"/>
      <c r="B182" s="677" t="s">
        <v>522</v>
      </c>
      <c r="C182" s="678"/>
      <c r="D182" s="678"/>
      <c r="E182" s="678"/>
      <c r="F182" s="306">
        <v>191</v>
      </c>
      <c r="G182" s="255"/>
      <c r="H182" s="370"/>
      <c r="I182" s="803"/>
      <c r="J182" s="803"/>
      <c r="K182" s="803"/>
      <c r="L182" s="803"/>
      <c r="M182" s="804"/>
      <c r="N182" s="540">
        <f>F182+154</f>
        <v>345</v>
      </c>
      <c r="O182" s="287">
        <f t="shared" ref="O182:O184" si="373">+N182*$X$1</f>
        <v>345</v>
      </c>
      <c r="P182" s="540">
        <f>F182+137</f>
        <v>328</v>
      </c>
      <c r="Q182" s="287">
        <f t="shared" ref="Q182:Q184" si="374">+P182*$X$1</f>
        <v>328</v>
      </c>
      <c r="R182" s="540">
        <f>F182+127</f>
        <v>318</v>
      </c>
      <c r="S182" s="287">
        <f t="shared" ref="S182:S184" si="375">+R182*$X$1</f>
        <v>318</v>
      </c>
      <c r="T182" s="540">
        <f>F182+105</f>
        <v>296</v>
      </c>
      <c r="U182" s="287">
        <f t="shared" ref="U182:U184" si="376">+T182*$X$1</f>
        <v>296</v>
      </c>
      <c r="V182" s="540">
        <f>F182+94</f>
        <v>285</v>
      </c>
      <c r="W182" s="287">
        <f t="shared" ref="W182:W184" si="377">+V182*$X$1</f>
        <v>285</v>
      </c>
      <c r="X182" s="157"/>
      <c r="Y182" s="147"/>
      <c r="Z182" s="147"/>
      <c r="AA182" s="147"/>
      <c r="AB182" s="192">
        <v>416</v>
      </c>
    </row>
    <row r="183" spans="1:28" ht="12.6" customHeight="1" x14ac:dyDescent="0.2">
      <c r="A183" s="25"/>
      <c r="B183" s="692" t="s">
        <v>523</v>
      </c>
      <c r="C183" s="693"/>
      <c r="D183" s="693"/>
      <c r="E183" s="693"/>
      <c r="F183" s="319">
        <v>183</v>
      </c>
      <c r="G183" s="305"/>
      <c r="H183" s="370"/>
      <c r="I183" s="803"/>
      <c r="J183" s="803"/>
      <c r="K183" s="803"/>
      <c r="L183" s="803"/>
      <c r="M183" s="804"/>
      <c r="N183" s="458">
        <f>F183+154</f>
        <v>337</v>
      </c>
      <c r="O183" s="288">
        <f t="shared" si="373"/>
        <v>337</v>
      </c>
      <c r="P183" s="458">
        <f>F183+137</f>
        <v>320</v>
      </c>
      <c r="Q183" s="288">
        <f t="shared" si="374"/>
        <v>320</v>
      </c>
      <c r="R183" s="458">
        <f>F183+127</f>
        <v>310</v>
      </c>
      <c r="S183" s="288">
        <f t="shared" si="375"/>
        <v>310</v>
      </c>
      <c r="T183" s="458">
        <f>F183+105</f>
        <v>288</v>
      </c>
      <c r="U183" s="288">
        <f t="shared" si="376"/>
        <v>288</v>
      </c>
      <c r="V183" s="458">
        <f>F183+94</f>
        <v>277</v>
      </c>
      <c r="W183" s="288">
        <f t="shared" si="377"/>
        <v>277</v>
      </c>
      <c r="X183" s="157"/>
      <c r="Y183" s="147"/>
      <c r="Z183" s="147"/>
      <c r="AA183" s="147"/>
      <c r="AB183" s="192">
        <v>417</v>
      </c>
    </row>
    <row r="184" spans="1:28" ht="12.6" customHeight="1" x14ac:dyDescent="0.2">
      <c r="A184" s="25"/>
      <c r="B184" s="677" t="s">
        <v>524</v>
      </c>
      <c r="C184" s="678"/>
      <c r="D184" s="678"/>
      <c r="E184" s="678"/>
      <c r="F184" s="306">
        <v>183</v>
      </c>
      <c r="G184" s="255"/>
      <c r="H184" s="371"/>
      <c r="I184" s="805"/>
      <c r="J184" s="805"/>
      <c r="K184" s="805"/>
      <c r="L184" s="805"/>
      <c r="M184" s="806"/>
      <c r="N184" s="540">
        <f>F184+154</f>
        <v>337</v>
      </c>
      <c r="O184" s="287">
        <f t="shared" si="373"/>
        <v>337</v>
      </c>
      <c r="P184" s="540">
        <f>F184+137</f>
        <v>320</v>
      </c>
      <c r="Q184" s="287">
        <f t="shared" si="374"/>
        <v>320</v>
      </c>
      <c r="R184" s="540">
        <f>F184+127</f>
        <v>310</v>
      </c>
      <c r="S184" s="287">
        <f t="shared" si="375"/>
        <v>310</v>
      </c>
      <c r="T184" s="540">
        <f>F184+105</f>
        <v>288</v>
      </c>
      <c r="U184" s="287">
        <f t="shared" si="376"/>
        <v>288</v>
      </c>
      <c r="V184" s="540">
        <f>F184+94</f>
        <v>277</v>
      </c>
      <c r="W184" s="287">
        <f t="shared" si="377"/>
        <v>277</v>
      </c>
      <c r="X184" s="157"/>
      <c r="Y184" s="147"/>
      <c r="Z184" s="147"/>
      <c r="AA184" s="147"/>
      <c r="AB184" s="192">
        <v>418</v>
      </c>
    </row>
    <row r="185" spans="1:28" ht="12.6" customHeight="1" x14ac:dyDescent="0.2">
      <c r="A185" s="25"/>
      <c r="B185" s="692" t="s">
        <v>185</v>
      </c>
      <c r="C185" s="693"/>
      <c r="D185" s="693"/>
      <c r="E185" s="693"/>
      <c r="F185" s="383">
        <v>896</v>
      </c>
      <c r="G185" s="319">
        <f t="shared" ref="G185:G198" si="378">+F185*$X$1</f>
        <v>896</v>
      </c>
      <c r="H185" s="286"/>
      <c r="I185" s="350"/>
      <c r="J185" s="119"/>
      <c r="K185" s="503"/>
      <c r="L185" s="102">
        <f>F185+75</f>
        <v>971</v>
      </c>
      <c r="M185" s="305">
        <f t="shared" ref="M185:M186" si="379">+L185*$X$1</f>
        <v>971</v>
      </c>
      <c r="N185" s="102">
        <f>F185+55</f>
        <v>951</v>
      </c>
      <c r="O185" s="319">
        <f>+N185*$X$1</f>
        <v>951</v>
      </c>
      <c r="P185" s="102">
        <f>F185+49</f>
        <v>945</v>
      </c>
      <c r="Q185" s="319">
        <f>+P185*$X$1</f>
        <v>945</v>
      </c>
      <c r="R185" s="458">
        <f>F185+42</f>
        <v>938</v>
      </c>
      <c r="S185" s="288">
        <f>+R185*$X$1</f>
        <v>938</v>
      </c>
      <c r="T185" s="458">
        <f>F185+34</f>
        <v>930</v>
      </c>
      <c r="U185" s="288">
        <f>+T185*$X$1</f>
        <v>930</v>
      </c>
      <c r="V185" s="458">
        <f>F185+30</f>
        <v>926</v>
      </c>
      <c r="W185" s="288">
        <f>+V185*$X$1</f>
        <v>926</v>
      </c>
      <c r="X185" s="790"/>
      <c r="Y185" s="791"/>
      <c r="Z185" s="791"/>
      <c r="AA185" s="792"/>
      <c r="AB185" s="415">
        <v>421</v>
      </c>
    </row>
    <row r="186" spans="1:28" ht="12.6" customHeight="1" x14ac:dyDescent="0.2">
      <c r="A186" s="25"/>
      <c r="B186" s="677" t="s">
        <v>579</v>
      </c>
      <c r="C186" s="678"/>
      <c r="D186" s="678"/>
      <c r="E186" s="678"/>
      <c r="F186" s="384">
        <v>813</v>
      </c>
      <c r="G186" s="306">
        <f t="shared" si="378"/>
        <v>813</v>
      </c>
      <c r="H186" s="1031" t="s">
        <v>616</v>
      </c>
      <c r="I186" s="1032"/>
      <c r="J186" s="1032"/>
      <c r="K186" s="1033"/>
      <c r="L186" s="540">
        <f>F186+200</f>
        <v>1013</v>
      </c>
      <c r="M186" s="287">
        <f t="shared" si="379"/>
        <v>1013</v>
      </c>
      <c r="N186" s="540">
        <f>F186+110</f>
        <v>923</v>
      </c>
      <c r="O186" s="287">
        <f t="shared" ref="O186" si="380">+N186*$X$1</f>
        <v>923</v>
      </c>
      <c r="P186" s="540">
        <f>F186+80</f>
        <v>893</v>
      </c>
      <c r="Q186" s="287">
        <f t="shared" ref="Q186" si="381">+P186*$X$1</f>
        <v>893</v>
      </c>
      <c r="R186" s="540">
        <f>F186+70</f>
        <v>883</v>
      </c>
      <c r="S186" s="287">
        <f t="shared" ref="S186" si="382">+R186*$X$1</f>
        <v>883</v>
      </c>
      <c r="T186" s="103">
        <f>F186+63</f>
        <v>876</v>
      </c>
      <c r="U186" s="255">
        <f t="shared" ref="U186" si="383">+T186*$X$1</f>
        <v>876</v>
      </c>
      <c r="V186" s="540">
        <f>F186+57</f>
        <v>870</v>
      </c>
      <c r="W186" s="287">
        <f t="shared" ref="W186" si="384">+V186*$X$1</f>
        <v>870</v>
      </c>
      <c r="X186" s="790"/>
      <c r="Y186" s="791"/>
      <c r="Z186" s="791"/>
      <c r="AA186" s="792"/>
      <c r="AB186" s="415" t="s">
        <v>718</v>
      </c>
    </row>
    <row r="187" spans="1:28" ht="12.6" customHeight="1" x14ac:dyDescent="0.2">
      <c r="A187" s="25"/>
      <c r="B187" s="692" t="s">
        <v>576</v>
      </c>
      <c r="C187" s="693"/>
      <c r="D187" s="693"/>
      <c r="E187" s="693"/>
      <c r="F187" s="383">
        <v>813</v>
      </c>
      <c r="G187" s="319">
        <f t="shared" si="378"/>
        <v>813</v>
      </c>
      <c r="H187" s="1034"/>
      <c r="I187" s="1035"/>
      <c r="J187" s="1035"/>
      <c r="K187" s="1036"/>
      <c r="L187" s="458">
        <f>F187+200</f>
        <v>1013</v>
      </c>
      <c r="M187" s="288">
        <f t="shared" ref="M187:M189" si="385">+L187*$X$1</f>
        <v>1013</v>
      </c>
      <c r="N187" s="458">
        <f>F187+110</f>
        <v>923</v>
      </c>
      <c r="O187" s="288">
        <f t="shared" ref="O187:O189" si="386">+N187*$X$1</f>
        <v>923</v>
      </c>
      <c r="P187" s="458">
        <f>F187+80</f>
        <v>893</v>
      </c>
      <c r="Q187" s="288">
        <f t="shared" ref="Q187:Q189" si="387">+P187*$X$1</f>
        <v>893</v>
      </c>
      <c r="R187" s="458">
        <f>F187+70</f>
        <v>883</v>
      </c>
      <c r="S187" s="288">
        <f t="shared" ref="S187:S189" si="388">+R187*$X$1</f>
        <v>883</v>
      </c>
      <c r="T187" s="102">
        <f>F187+63</f>
        <v>876</v>
      </c>
      <c r="U187" s="305">
        <f t="shared" ref="U187:U189" si="389">+T187*$X$1</f>
        <v>876</v>
      </c>
      <c r="V187" s="458">
        <f>F187+57</f>
        <v>870</v>
      </c>
      <c r="W187" s="288">
        <f t="shared" ref="W187:W189" si="390">+V187*$X$1</f>
        <v>870</v>
      </c>
      <c r="X187" s="790"/>
      <c r="Y187" s="791"/>
      <c r="Z187" s="791"/>
      <c r="AA187" s="792"/>
      <c r="AB187" s="415" t="s">
        <v>713</v>
      </c>
    </row>
    <row r="188" spans="1:28" ht="12.6" customHeight="1" x14ac:dyDescent="0.2">
      <c r="A188" s="25"/>
      <c r="B188" s="677" t="s">
        <v>575</v>
      </c>
      <c r="C188" s="678"/>
      <c r="D188" s="678"/>
      <c r="E188" s="678"/>
      <c r="F188" s="384">
        <v>813</v>
      </c>
      <c r="G188" s="306">
        <f t="shared" si="378"/>
        <v>813</v>
      </c>
      <c r="H188" s="1034"/>
      <c r="I188" s="1035"/>
      <c r="J188" s="1035"/>
      <c r="K188" s="1036"/>
      <c r="L188" s="540">
        <f>F188+200</f>
        <v>1013</v>
      </c>
      <c r="M188" s="287">
        <f t="shared" si="385"/>
        <v>1013</v>
      </c>
      <c r="N188" s="540">
        <f>F188+110</f>
        <v>923</v>
      </c>
      <c r="O188" s="287">
        <f t="shared" si="386"/>
        <v>923</v>
      </c>
      <c r="P188" s="540">
        <f>F188+80</f>
        <v>893</v>
      </c>
      <c r="Q188" s="287">
        <f t="shared" si="387"/>
        <v>893</v>
      </c>
      <c r="R188" s="540">
        <f>F188+70</f>
        <v>883</v>
      </c>
      <c r="S188" s="287">
        <f t="shared" si="388"/>
        <v>883</v>
      </c>
      <c r="T188" s="103">
        <f>F188+63</f>
        <v>876</v>
      </c>
      <c r="U188" s="255">
        <f t="shared" si="389"/>
        <v>876</v>
      </c>
      <c r="V188" s="540">
        <f>F188+57</f>
        <v>870</v>
      </c>
      <c r="W188" s="287">
        <f t="shared" si="390"/>
        <v>870</v>
      </c>
      <c r="X188" s="790"/>
      <c r="Y188" s="791"/>
      <c r="Z188" s="791"/>
      <c r="AA188" s="792"/>
      <c r="AB188" s="415" t="s">
        <v>715</v>
      </c>
    </row>
    <row r="189" spans="1:28" ht="12.6" customHeight="1" x14ac:dyDescent="0.2">
      <c r="A189" s="25"/>
      <c r="B189" s="692" t="s">
        <v>578</v>
      </c>
      <c r="C189" s="693"/>
      <c r="D189" s="693"/>
      <c r="E189" s="693"/>
      <c r="F189" s="383">
        <v>813</v>
      </c>
      <c r="G189" s="319">
        <f t="shared" si="378"/>
        <v>813</v>
      </c>
      <c r="H189" s="1034"/>
      <c r="I189" s="1035"/>
      <c r="J189" s="1035"/>
      <c r="K189" s="1036"/>
      <c r="L189" s="458">
        <f>F189+200</f>
        <v>1013</v>
      </c>
      <c r="M189" s="288">
        <f t="shared" si="385"/>
        <v>1013</v>
      </c>
      <c r="N189" s="458">
        <f>F189+110</f>
        <v>923</v>
      </c>
      <c r="O189" s="288">
        <f t="shared" si="386"/>
        <v>923</v>
      </c>
      <c r="P189" s="458">
        <f>F189+80</f>
        <v>893</v>
      </c>
      <c r="Q189" s="288">
        <f t="shared" si="387"/>
        <v>893</v>
      </c>
      <c r="R189" s="458">
        <f>F189+70</f>
        <v>883</v>
      </c>
      <c r="S189" s="288">
        <f t="shared" si="388"/>
        <v>883</v>
      </c>
      <c r="T189" s="102">
        <f>F189+63</f>
        <v>876</v>
      </c>
      <c r="U189" s="305">
        <f t="shared" si="389"/>
        <v>876</v>
      </c>
      <c r="V189" s="458">
        <f>F189+57</f>
        <v>870</v>
      </c>
      <c r="W189" s="288">
        <f t="shared" si="390"/>
        <v>870</v>
      </c>
      <c r="X189" s="1026"/>
      <c r="Y189" s="1027"/>
      <c r="Z189" s="1027"/>
      <c r="AA189" s="1028"/>
      <c r="AB189" s="415" t="s">
        <v>714</v>
      </c>
    </row>
    <row r="190" spans="1:28" ht="12.6" customHeight="1" x14ac:dyDescent="0.2">
      <c r="A190" s="25"/>
      <c r="B190" s="677" t="s">
        <v>717</v>
      </c>
      <c r="C190" s="678"/>
      <c r="D190" s="678"/>
      <c r="E190" s="678"/>
      <c r="F190" s="384">
        <v>890</v>
      </c>
      <c r="G190" s="306">
        <f t="shared" ref="G190" si="391">+F190*$X$1</f>
        <v>890</v>
      </c>
      <c r="H190" s="1034"/>
      <c r="I190" s="1035"/>
      <c r="J190" s="1035"/>
      <c r="K190" s="1036"/>
      <c r="L190" s="540">
        <f>F190+200</f>
        <v>1090</v>
      </c>
      <c r="M190" s="287">
        <f t="shared" ref="M190" si="392">+L190*$X$1</f>
        <v>1090</v>
      </c>
      <c r="N190" s="540">
        <f>F190+110</f>
        <v>1000</v>
      </c>
      <c r="O190" s="287">
        <f t="shared" ref="O190" si="393">+N190*$X$1</f>
        <v>1000</v>
      </c>
      <c r="P190" s="540">
        <f>F190+80</f>
        <v>970</v>
      </c>
      <c r="Q190" s="287">
        <f t="shared" ref="Q190" si="394">+P190*$X$1</f>
        <v>970</v>
      </c>
      <c r="R190" s="540">
        <f>F190+70</f>
        <v>960</v>
      </c>
      <c r="S190" s="287">
        <f t="shared" ref="S190" si="395">+R190*$X$1</f>
        <v>960</v>
      </c>
      <c r="T190" s="103">
        <f>F190+63</f>
        <v>953</v>
      </c>
      <c r="U190" s="255">
        <f t="shared" ref="U190" si="396">+T190*$X$1</f>
        <v>953</v>
      </c>
      <c r="V190" s="540">
        <f>F190+57</f>
        <v>947</v>
      </c>
      <c r="W190" s="287">
        <f t="shared" ref="W190" si="397">+V190*$X$1</f>
        <v>947</v>
      </c>
      <c r="X190" s="790"/>
      <c r="Y190" s="791"/>
      <c r="Z190" s="791"/>
      <c r="AA190" s="792"/>
      <c r="AB190" s="415" t="s">
        <v>716</v>
      </c>
    </row>
    <row r="191" spans="1:28" ht="12.6" customHeight="1" x14ac:dyDescent="0.2">
      <c r="A191" s="25"/>
      <c r="B191" s="692" t="s">
        <v>577</v>
      </c>
      <c r="C191" s="693"/>
      <c r="D191" s="693"/>
      <c r="E191" s="693"/>
      <c r="F191" s="383">
        <v>906</v>
      </c>
      <c r="G191" s="319">
        <f t="shared" si="378"/>
        <v>906</v>
      </c>
      <c r="H191" s="1037"/>
      <c r="I191" s="1038"/>
      <c r="J191" s="1038"/>
      <c r="K191" s="1039"/>
      <c r="L191" s="458">
        <f>F191+230</f>
        <v>1136</v>
      </c>
      <c r="M191" s="288">
        <f t="shared" ref="M191" si="398">+L191*$X$1</f>
        <v>1136</v>
      </c>
      <c r="N191" s="458">
        <f>F191+130</f>
        <v>1036</v>
      </c>
      <c r="O191" s="288">
        <f t="shared" ref="O191" si="399">+N191*$X$1</f>
        <v>1036</v>
      </c>
      <c r="P191" s="458">
        <f>F191+100</f>
        <v>1006</v>
      </c>
      <c r="Q191" s="288">
        <f t="shared" ref="Q191" si="400">+P191*$X$1</f>
        <v>1006</v>
      </c>
      <c r="R191" s="458">
        <f>F191+90</f>
        <v>996</v>
      </c>
      <c r="S191" s="288">
        <f t="shared" ref="S191" si="401">+R191*$X$1</f>
        <v>996</v>
      </c>
      <c r="T191" s="102">
        <f>F191+83</f>
        <v>989</v>
      </c>
      <c r="U191" s="305">
        <f t="shared" ref="U191" si="402">+T191*$X$1</f>
        <v>989</v>
      </c>
      <c r="V191" s="458">
        <f>F191+77</f>
        <v>983</v>
      </c>
      <c r="W191" s="288">
        <f t="shared" ref="W191" si="403">+V191*$X$1</f>
        <v>983</v>
      </c>
      <c r="X191" s="790"/>
      <c r="Y191" s="791"/>
      <c r="Z191" s="791"/>
      <c r="AA191" s="792"/>
      <c r="AB191" s="415" t="s">
        <v>712</v>
      </c>
    </row>
    <row r="192" spans="1:28" ht="12.6" customHeight="1" x14ac:dyDescent="0.2">
      <c r="A192" s="104"/>
      <c r="B192" s="1136" t="s">
        <v>958</v>
      </c>
      <c r="C192" s="1137"/>
      <c r="D192" s="1137"/>
      <c r="E192" s="1137"/>
      <c r="F192" s="502">
        <f>0.89*X2</f>
        <v>964.76</v>
      </c>
      <c r="G192" s="630">
        <f t="shared" si="378"/>
        <v>964.76</v>
      </c>
      <c r="H192" s="392"/>
      <c r="I192" s="330"/>
      <c r="J192" s="392"/>
      <c r="K192" s="330"/>
      <c r="L192" s="540">
        <f>F192+120</f>
        <v>1084.76</v>
      </c>
      <c r="M192" s="287">
        <f>+L192*$X$1</f>
        <v>1084.76</v>
      </c>
      <c r="N192" s="540">
        <f>F192+63</f>
        <v>1027.76</v>
      </c>
      <c r="O192" s="287">
        <f>+N192*$X$1</f>
        <v>1027.76</v>
      </c>
      <c r="P192" s="540">
        <f>F192+54</f>
        <v>1018.76</v>
      </c>
      <c r="Q192" s="287">
        <f>+P192*$X$1</f>
        <v>1018.76</v>
      </c>
      <c r="R192" s="540">
        <f>F192+45</f>
        <v>1009.76</v>
      </c>
      <c r="S192" s="287">
        <f>+R192*$X$1</f>
        <v>1009.76</v>
      </c>
      <c r="T192" s="103">
        <f>F192+37</f>
        <v>1001.76</v>
      </c>
      <c r="U192" s="255">
        <f>+T192*$X$1</f>
        <v>1001.76</v>
      </c>
      <c r="V192" s="103">
        <f>F192+32</f>
        <v>996.76</v>
      </c>
      <c r="W192" s="255">
        <f>+V192*$X$1</f>
        <v>996.76</v>
      </c>
      <c r="X192" s="147"/>
      <c r="Y192" s="156"/>
      <c r="Z192" s="147"/>
      <c r="AA192" s="147"/>
      <c r="AB192" s="192">
        <v>425</v>
      </c>
    </row>
    <row r="193" spans="1:38" ht="12.6" customHeight="1" x14ac:dyDescent="0.2">
      <c r="A193" s="104"/>
      <c r="B193" s="692" t="s">
        <v>849</v>
      </c>
      <c r="C193" s="967"/>
      <c r="D193" s="967"/>
      <c r="E193" s="967"/>
      <c r="F193" s="380">
        <f>0.6*X2</f>
        <v>650.4</v>
      </c>
      <c r="G193" s="288">
        <f t="shared" ref="G193" si="404">+F193*$X$1</f>
        <v>650.4</v>
      </c>
      <c r="H193" s="100"/>
      <c r="I193" s="329"/>
      <c r="J193" s="100"/>
      <c r="K193" s="329"/>
      <c r="L193" s="458">
        <f>F193+120</f>
        <v>770.4</v>
      </c>
      <c r="M193" s="288">
        <f>+L193*$X$1</f>
        <v>770.4</v>
      </c>
      <c r="N193" s="458">
        <f>F193+63</f>
        <v>713.4</v>
      </c>
      <c r="O193" s="288">
        <f>+N193*$X$1</f>
        <v>713.4</v>
      </c>
      <c r="P193" s="458">
        <f>F193+54</f>
        <v>704.4</v>
      </c>
      <c r="Q193" s="288">
        <f>+P193*$X$1</f>
        <v>704.4</v>
      </c>
      <c r="R193" s="458">
        <f>F193+45</f>
        <v>695.4</v>
      </c>
      <c r="S193" s="288">
        <f>+R193*$X$1</f>
        <v>695.4</v>
      </c>
      <c r="T193" s="102">
        <f>F193+37</f>
        <v>687.4</v>
      </c>
      <c r="U193" s="305">
        <f>+T193*$X$1</f>
        <v>687.4</v>
      </c>
      <c r="V193" s="102">
        <f>F193+32</f>
        <v>682.4</v>
      </c>
      <c r="W193" s="305">
        <f>+V193*$X$1</f>
        <v>682.4</v>
      </c>
      <c r="X193" s="147"/>
      <c r="Y193" s="156"/>
      <c r="Z193" s="147"/>
      <c r="AA193" s="147"/>
      <c r="AB193" s="192">
        <v>426</v>
      </c>
    </row>
    <row r="194" spans="1:38" ht="12.6" customHeight="1" x14ac:dyDescent="0.2">
      <c r="A194" s="104"/>
      <c r="B194" s="677" t="s">
        <v>491</v>
      </c>
      <c r="C194" s="678"/>
      <c r="D194" s="678"/>
      <c r="E194" s="678"/>
      <c r="F194" s="379">
        <f>1.006*X2</f>
        <v>1090.5039999999999</v>
      </c>
      <c r="G194" s="287">
        <f t="shared" si="378"/>
        <v>1090.5039999999999</v>
      </c>
      <c r="H194" s="392"/>
      <c r="I194" s="330"/>
      <c r="J194" s="392"/>
      <c r="K194" s="330"/>
      <c r="L194" s="540">
        <f>F194+120</f>
        <v>1210.5039999999999</v>
      </c>
      <c r="M194" s="287">
        <f>+L194*$X$1</f>
        <v>1210.5039999999999</v>
      </c>
      <c r="N194" s="540">
        <f>F194+63</f>
        <v>1153.5039999999999</v>
      </c>
      <c r="O194" s="287">
        <f>+N194*$X$1</f>
        <v>1153.5039999999999</v>
      </c>
      <c r="P194" s="540">
        <f>F194+54</f>
        <v>1144.5039999999999</v>
      </c>
      <c r="Q194" s="287">
        <f>+P194*$X$1</f>
        <v>1144.5039999999999</v>
      </c>
      <c r="R194" s="540">
        <f>F194+45</f>
        <v>1135.5039999999999</v>
      </c>
      <c r="S194" s="287">
        <f>+R194*$X$1</f>
        <v>1135.5039999999999</v>
      </c>
      <c r="T194" s="103">
        <f>F194+37</f>
        <v>1127.5039999999999</v>
      </c>
      <c r="U194" s="255">
        <f>+T194*$X$1</f>
        <v>1127.5039999999999</v>
      </c>
      <c r="V194" s="103">
        <f>F194+32</f>
        <v>1122.5039999999999</v>
      </c>
      <c r="W194" s="255">
        <f>+V194*$X$1</f>
        <v>1122.5039999999999</v>
      </c>
      <c r="X194" s="147"/>
      <c r="Y194" s="156"/>
      <c r="Z194" s="147"/>
      <c r="AA194" s="147"/>
      <c r="AB194" s="192" t="s">
        <v>541</v>
      </c>
    </row>
    <row r="195" spans="1:38" ht="12.6" customHeight="1" x14ac:dyDescent="0.2">
      <c r="A195" s="104"/>
      <c r="B195" s="692" t="s">
        <v>481</v>
      </c>
      <c r="C195" s="693"/>
      <c r="D195" s="693"/>
      <c r="E195" s="693"/>
      <c r="F195" s="380">
        <f>0.71*X2</f>
        <v>769.64</v>
      </c>
      <c r="G195" s="288">
        <f t="shared" ref="G195:G196" si="405">+F195*$X$1</f>
        <v>769.64</v>
      </c>
      <c r="H195" s="100"/>
      <c r="I195" s="329"/>
      <c r="J195" s="100"/>
      <c r="K195" s="329"/>
      <c r="L195" s="458">
        <f>F195+120</f>
        <v>889.64</v>
      </c>
      <c r="M195" s="288">
        <f>+L195*$X$1</f>
        <v>889.64</v>
      </c>
      <c r="N195" s="458">
        <f>F195+63</f>
        <v>832.64</v>
      </c>
      <c r="O195" s="288">
        <f>+N195*$X$1</f>
        <v>832.64</v>
      </c>
      <c r="P195" s="458">
        <f>F195+54</f>
        <v>823.64</v>
      </c>
      <c r="Q195" s="288">
        <f>+P195*$X$1</f>
        <v>823.64</v>
      </c>
      <c r="R195" s="458">
        <f>F195+45</f>
        <v>814.64</v>
      </c>
      <c r="S195" s="288">
        <f>+R195*$X$1</f>
        <v>814.64</v>
      </c>
      <c r="T195" s="102">
        <f>F195+37</f>
        <v>806.64</v>
      </c>
      <c r="U195" s="305">
        <f>+T195*$X$1</f>
        <v>806.64</v>
      </c>
      <c r="V195" s="102">
        <f>F195+32</f>
        <v>801.64</v>
      </c>
      <c r="W195" s="305">
        <f>+V195*$X$1</f>
        <v>801.64</v>
      </c>
      <c r="X195" s="147"/>
      <c r="Y195" s="156"/>
      <c r="Z195" s="147"/>
      <c r="AA195" s="147"/>
      <c r="AB195" s="192">
        <v>428</v>
      </c>
    </row>
    <row r="196" spans="1:38" s="1" customFormat="1" ht="12.6" customHeight="1" x14ac:dyDescent="0.2">
      <c r="A196" s="19"/>
      <c r="B196" s="679" t="s">
        <v>956</v>
      </c>
      <c r="C196" s="680"/>
      <c r="D196" s="680"/>
      <c r="E196" s="681"/>
      <c r="F196" s="533">
        <f>11.62*X2</f>
        <v>12596.08</v>
      </c>
      <c r="G196" s="287">
        <f t="shared" si="405"/>
        <v>12596.08</v>
      </c>
      <c r="H196" s="71">
        <f>F196+500</f>
        <v>13096.08</v>
      </c>
      <c r="I196" s="287">
        <f t="shared" ref="I196" si="406">+H196*$X$1</f>
        <v>13096.08</v>
      </c>
      <c r="J196" s="652">
        <f>F196+210</f>
        <v>12806.08</v>
      </c>
      <c r="K196" s="287">
        <f t="shared" ref="K196" si="407">+J196*$X$1</f>
        <v>12806.08</v>
      </c>
      <c r="L196" s="652">
        <f>F196+150</f>
        <v>12746.08</v>
      </c>
      <c r="M196" s="287">
        <f t="shared" ref="M196" si="408">+L196*$X$1</f>
        <v>12746.08</v>
      </c>
      <c r="N196" s="652">
        <f>F196+120</f>
        <v>12716.08</v>
      </c>
      <c r="O196" s="287">
        <f t="shared" ref="O196" si="409">+N196*$X$1</f>
        <v>12716.08</v>
      </c>
      <c r="P196" s="652">
        <f>F196+95</f>
        <v>12691.08</v>
      </c>
      <c r="Q196" s="287">
        <f t="shared" ref="Q196" si="410">+P196*$X$1</f>
        <v>12691.08</v>
      </c>
      <c r="R196" s="652">
        <f>F196+85</f>
        <v>12681.08</v>
      </c>
      <c r="S196" s="287">
        <f t="shared" ref="S196" si="411">+R196*$X$1</f>
        <v>12681.08</v>
      </c>
      <c r="T196" s="652">
        <f>F196+77</f>
        <v>12673.08</v>
      </c>
      <c r="U196" s="287">
        <f t="shared" ref="U196" si="412">+T196*$X$1</f>
        <v>12673.08</v>
      </c>
      <c r="V196" s="652">
        <f>F196+68</f>
        <v>12664.08</v>
      </c>
      <c r="W196" s="287">
        <f t="shared" ref="W196" si="413">+V196*$X$1</f>
        <v>12664.08</v>
      </c>
      <c r="X196" s="641"/>
      <c r="Y196" s="642"/>
      <c r="Z196" s="642"/>
      <c r="AA196" s="643"/>
      <c r="AB196" s="192">
        <v>430</v>
      </c>
      <c r="AC196" s="4"/>
      <c r="AD196" s="4"/>
      <c r="AE196" s="4"/>
      <c r="AF196" s="4"/>
      <c r="AG196" s="4"/>
      <c r="AH196" s="128"/>
      <c r="AI196" s="4"/>
      <c r="AJ196" s="4"/>
      <c r="AK196" s="4"/>
      <c r="AL196" s="4"/>
    </row>
    <row r="197" spans="1:38" s="1" customFormat="1" ht="12.6" customHeight="1" x14ac:dyDescent="0.2">
      <c r="A197" s="19"/>
      <c r="B197" s="679" t="s">
        <v>957</v>
      </c>
      <c r="C197" s="680"/>
      <c r="D197" s="680"/>
      <c r="E197" s="681"/>
      <c r="F197" s="619">
        <f>12.7*X2</f>
        <v>13766.8</v>
      </c>
      <c r="G197" s="288">
        <f t="shared" ref="G197" si="414">+F197*$X$1</f>
        <v>13766.8</v>
      </c>
      <c r="H197" s="89">
        <f>F197+500</f>
        <v>14266.8</v>
      </c>
      <c r="I197" s="288">
        <f t="shared" ref="I197" si="415">+H197*$X$1</f>
        <v>14266.8</v>
      </c>
      <c r="J197" s="458">
        <f>F197+210</f>
        <v>13976.8</v>
      </c>
      <c r="K197" s="288">
        <f t="shared" ref="K197" si="416">+J197*$X$1</f>
        <v>13976.8</v>
      </c>
      <c r="L197" s="458">
        <f>F197+150</f>
        <v>13916.8</v>
      </c>
      <c r="M197" s="288">
        <f t="shared" ref="M197" si="417">+L197*$X$1</f>
        <v>13916.8</v>
      </c>
      <c r="N197" s="458">
        <f>F197+120</f>
        <v>13886.8</v>
      </c>
      <c r="O197" s="288">
        <f t="shared" ref="O197" si="418">+N197*$X$1</f>
        <v>13886.8</v>
      </c>
      <c r="P197" s="458">
        <f>F197+95</f>
        <v>13861.8</v>
      </c>
      <c r="Q197" s="288">
        <f t="shared" ref="Q197" si="419">+P197*$X$1</f>
        <v>13861.8</v>
      </c>
      <c r="R197" s="458">
        <f>F197+85</f>
        <v>13851.8</v>
      </c>
      <c r="S197" s="288">
        <f t="shared" ref="S197" si="420">+R197*$X$1</f>
        <v>13851.8</v>
      </c>
      <c r="T197" s="458">
        <f>F197+77</f>
        <v>13843.8</v>
      </c>
      <c r="U197" s="288">
        <f t="shared" ref="U197" si="421">+T197*$X$1</f>
        <v>13843.8</v>
      </c>
      <c r="V197" s="458">
        <f>F197+68</f>
        <v>13834.8</v>
      </c>
      <c r="W197" s="288">
        <f t="shared" ref="W197" si="422">+V197*$X$1</f>
        <v>13834.8</v>
      </c>
      <c r="X197" s="649"/>
      <c r="Y197" s="651"/>
      <c r="Z197" s="651"/>
      <c r="AA197" s="650"/>
      <c r="AB197" s="192">
        <v>431</v>
      </c>
      <c r="AC197" s="4"/>
      <c r="AD197" s="4"/>
      <c r="AE197" s="4"/>
      <c r="AF197" s="4"/>
      <c r="AG197" s="4"/>
      <c r="AH197" s="128"/>
      <c r="AI197" s="4"/>
      <c r="AJ197" s="4"/>
      <c r="AK197" s="4"/>
      <c r="AL197" s="4"/>
    </row>
    <row r="198" spans="1:38" ht="12.6" customHeight="1" x14ac:dyDescent="0.2">
      <c r="A198" s="18"/>
      <c r="B198" s="677" t="s">
        <v>186</v>
      </c>
      <c r="C198" s="678"/>
      <c r="D198" s="678"/>
      <c r="E198" s="678"/>
      <c r="F198" s="379">
        <f>1.53*X2</f>
        <v>1658.52</v>
      </c>
      <c r="G198" s="287">
        <f t="shared" si="378"/>
        <v>1658.52</v>
      </c>
      <c r="H198" s="392">
        <f>F198+500</f>
        <v>2158.52</v>
      </c>
      <c r="I198" s="287">
        <f>+H198*$X$1</f>
        <v>2158.52</v>
      </c>
      <c r="J198" s="540">
        <f>F198+180</f>
        <v>1838.52</v>
      </c>
      <c r="K198" s="287">
        <f t="shared" ref="K198" si="423">+J198*$X$1</f>
        <v>1838.52</v>
      </c>
      <c r="L198" s="540">
        <f>F198+120</f>
        <v>1778.52</v>
      </c>
      <c r="M198" s="287">
        <f>+L198*$X$1</f>
        <v>1778.52</v>
      </c>
      <c r="N198" s="540">
        <f>F198+63</f>
        <v>1721.52</v>
      </c>
      <c r="O198" s="287">
        <f>+N198*$X$1</f>
        <v>1721.52</v>
      </c>
      <c r="P198" s="540">
        <f>F198+54</f>
        <v>1712.52</v>
      </c>
      <c r="Q198" s="287">
        <f>+P198*$X$1</f>
        <v>1712.52</v>
      </c>
      <c r="R198" s="540">
        <f>F198+45</f>
        <v>1703.52</v>
      </c>
      <c r="S198" s="287">
        <f>+R198*$X$1</f>
        <v>1703.52</v>
      </c>
      <c r="T198" s="103">
        <f>F198+37</f>
        <v>1695.52</v>
      </c>
      <c r="U198" s="255">
        <f>+T198*$X$1</f>
        <v>1695.52</v>
      </c>
      <c r="V198" s="103">
        <f>F198+32</f>
        <v>1690.52</v>
      </c>
      <c r="W198" s="255">
        <f>+V198*$X$1</f>
        <v>1690.52</v>
      </c>
      <c r="X198" s="147"/>
      <c r="Y198" s="156"/>
      <c r="Z198" s="147"/>
      <c r="AA198" s="147"/>
      <c r="AB198" s="192">
        <v>442</v>
      </c>
    </row>
    <row r="199" spans="1:38" ht="12.6" customHeight="1" x14ac:dyDescent="0.2">
      <c r="A199" s="18"/>
      <c r="B199" s="765" t="s">
        <v>187</v>
      </c>
      <c r="C199" s="743"/>
      <c r="D199" s="743"/>
      <c r="E199" s="743"/>
      <c r="F199" s="373"/>
      <c r="G199" s="777" t="s">
        <v>838</v>
      </c>
      <c r="H199" s="778"/>
      <c r="I199" s="778"/>
      <c r="J199" s="778"/>
      <c r="K199" s="778"/>
      <c r="L199" s="778"/>
      <c r="M199" s="778"/>
      <c r="N199" s="778"/>
      <c r="O199" s="778"/>
      <c r="P199" s="779"/>
      <c r="Q199" s="779"/>
      <c r="R199" s="779"/>
      <c r="S199" s="780"/>
      <c r="T199" s="71"/>
      <c r="U199" s="288"/>
      <c r="V199" s="102"/>
      <c r="W199" s="305"/>
      <c r="X199" s="157"/>
      <c r="Y199" s="156"/>
      <c r="Z199" s="147"/>
      <c r="AA199" s="147"/>
      <c r="AB199" s="192">
        <v>450</v>
      </c>
    </row>
    <row r="200" spans="1:38" ht="12.6" customHeight="1" x14ac:dyDescent="0.2">
      <c r="A200" s="18"/>
      <c r="B200" s="677" t="s">
        <v>188</v>
      </c>
      <c r="C200" s="678"/>
      <c r="D200" s="678"/>
      <c r="E200" s="678"/>
      <c r="F200" s="127"/>
      <c r="G200" s="781"/>
      <c r="H200" s="782"/>
      <c r="I200" s="782"/>
      <c r="J200" s="782"/>
      <c r="K200" s="782"/>
      <c r="L200" s="782"/>
      <c r="M200" s="782"/>
      <c r="N200" s="782"/>
      <c r="O200" s="782"/>
      <c r="P200" s="783"/>
      <c r="Q200" s="784"/>
      <c r="R200" s="783"/>
      <c r="S200" s="785"/>
      <c r="T200" s="71"/>
      <c r="U200" s="287"/>
      <c r="V200" s="103"/>
      <c r="W200" s="255"/>
      <c r="X200" s="157"/>
      <c r="Y200" s="156"/>
      <c r="Z200" s="147"/>
      <c r="AA200" s="147"/>
      <c r="AB200" s="192">
        <v>451</v>
      </c>
    </row>
    <row r="201" spans="1:38" ht="12.6" customHeight="1" x14ac:dyDescent="0.2">
      <c r="A201" s="18"/>
      <c r="B201" s="692" t="s">
        <v>189</v>
      </c>
      <c r="C201" s="693"/>
      <c r="D201" s="693"/>
      <c r="E201" s="693"/>
      <c r="F201" s="91"/>
      <c r="G201" s="781"/>
      <c r="H201" s="782"/>
      <c r="I201" s="782"/>
      <c r="J201" s="782"/>
      <c r="K201" s="782"/>
      <c r="L201" s="782"/>
      <c r="M201" s="782"/>
      <c r="N201" s="782"/>
      <c r="O201" s="782"/>
      <c r="P201" s="783"/>
      <c r="Q201" s="784"/>
      <c r="R201" s="783"/>
      <c r="S201" s="785"/>
      <c r="T201" s="71"/>
      <c r="U201" s="288"/>
      <c r="V201" s="102"/>
      <c r="W201" s="305"/>
      <c r="X201" s="157"/>
      <c r="Y201" s="156"/>
      <c r="Z201" s="147"/>
      <c r="AA201" s="147"/>
      <c r="AB201" s="192">
        <v>452</v>
      </c>
    </row>
    <row r="202" spans="1:38" ht="12.6" customHeight="1" x14ac:dyDescent="0.2">
      <c r="A202" s="18"/>
      <c r="B202" s="677" t="s">
        <v>190</v>
      </c>
      <c r="C202" s="678"/>
      <c r="D202" s="678"/>
      <c r="E202" s="678"/>
      <c r="F202" s="127"/>
      <c r="G202" s="781"/>
      <c r="H202" s="782"/>
      <c r="I202" s="782"/>
      <c r="J202" s="782"/>
      <c r="K202" s="782"/>
      <c r="L202" s="782"/>
      <c r="M202" s="782"/>
      <c r="N202" s="782"/>
      <c r="O202" s="782"/>
      <c r="P202" s="783"/>
      <c r="Q202" s="784"/>
      <c r="R202" s="783"/>
      <c r="S202" s="785"/>
      <c r="T202" s="71"/>
      <c r="U202" s="287"/>
      <c r="V202" s="103"/>
      <c r="W202" s="255"/>
      <c r="X202" s="157"/>
      <c r="Y202" s="156"/>
      <c r="Z202" s="147"/>
      <c r="AA202" s="147"/>
      <c r="AB202" s="192">
        <v>453</v>
      </c>
    </row>
    <row r="203" spans="1:38" ht="12.6" customHeight="1" x14ac:dyDescent="0.2">
      <c r="A203" s="18"/>
      <c r="B203" s="692" t="s">
        <v>191</v>
      </c>
      <c r="C203" s="693"/>
      <c r="D203" s="693"/>
      <c r="E203" s="693"/>
      <c r="F203" s="91"/>
      <c r="G203" s="781"/>
      <c r="H203" s="782"/>
      <c r="I203" s="782"/>
      <c r="J203" s="782"/>
      <c r="K203" s="782"/>
      <c r="L203" s="782"/>
      <c r="M203" s="782"/>
      <c r="N203" s="782"/>
      <c r="O203" s="782"/>
      <c r="P203" s="783"/>
      <c r="Q203" s="784"/>
      <c r="R203" s="783"/>
      <c r="S203" s="785"/>
      <c r="T203" s="71"/>
      <c r="U203" s="288"/>
      <c r="V203" s="102"/>
      <c r="W203" s="305"/>
      <c r="X203" s="157"/>
      <c r="Y203" s="156"/>
      <c r="Z203" s="147"/>
      <c r="AA203" s="147"/>
      <c r="AB203" s="192">
        <v>454</v>
      </c>
    </row>
    <row r="204" spans="1:38" ht="12.6" customHeight="1" x14ac:dyDescent="0.2">
      <c r="A204" s="18"/>
      <c r="B204" s="677" t="s">
        <v>192</v>
      </c>
      <c r="C204" s="678"/>
      <c r="D204" s="678"/>
      <c r="E204" s="678"/>
      <c r="F204" s="372"/>
      <c r="G204" s="786"/>
      <c r="H204" s="787"/>
      <c r="I204" s="787"/>
      <c r="J204" s="787"/>
      <c r="K204" s="787"/>
      <c r="L204" s="787"/>
      <c r="M204" s="787"/>
      <c r="N204" s="787"/>
      <c r="O204" s="787"/>
      <c r="P204" s="788"/>
      <c r="Q204" s="788"/>
      <c r="R204" s="788"/>
      <c r="S204" s="789"/>
      <c r="T204" s="71"/>
      <c r="U204" s="287"/>
      <c r="V204" s="103"/>
      <c r="W204" s="255"/>
      <c r="X204" s="157"/>
      <c r="Y204" s="156"/>
      <c r="Z204" s="147"/>
      <c r="AA204" s="147"/>
      <c r="AB204" s="192">
        <v>460</v>
      </c>
    </row>
    <row r="205" spans="1:38" ht="12.6" customHeight="1" x14ac:dyDescent="0.2">
      <c r="A205" s="18"/>
      <c r="B205" s="692" t="s">
        <v>364</v>
      </c>
      <c r="C205" s="747"/>
      <c r="D205" s="747"/>
      <c r="E205" s="747"/>
      <c r="F205" s="380">
        <f>1.974*X2</f>
        <v>2139.8159999999998</v>
      </c>
      <c r="G205" s="505">
        <f t="shared" ref="G205:G207" si="424">+F205*$X$1</f>
        <v>2139.8159999999998</v>
      </c>
      <c r="H205" s="458"/>
      <c r="I205" s="288"/>
      <c r="J205" s="458">
        <f t="shared" ref="J205:J210" si="425">F205+180</f>
        <v>2319.8159999999998</v>
      </c>
      <c r="K205" s="288">
        <f t="shared" ref="K205:K208" si="426">+J205*$X$1</f>
        <v>2319.8159999999998</v>
      </c>
      <c r="L205" s="458">
        <f t="shared" ref="L205:L210" si="427">F205+120</f>
        <v>2259.8159999999998</v>
      </c>
      <c r="M205" s="288">
        <f t="shared" ref="M205:M210" si="428">+L205*$X$1</f>
        <v>2259.8159999999998</v>
      </c>
      <c r="N205" s="458">
        <f t="shared" ref="N205:N211" si="429">F205+63</f>
        <v>2202.8159999999998</v>
      </c>
      <c r="O205" s="288">
        <f t="shared" ref="O205:O211" si="430">+N205*$X$1</f>
        <v>2202.8159999999998</v>
      </c>
      <c r="P205" s="458">
        <f t="shared" ref="P205:P211" si="431">F205+54</f>
        <v>2193.8159999999998</v>
      </c>
      <c r="Q205" s="288">
        <f t="shared" ref="Q205:Q211" si="432">+P205*$X$1</f>
        <v>2193.8159999999998</v>
      </c>
      <c r="R205" s="458">
        <f t="shared" ref="R205:R211" si="433">F205+45</f>
        <v>2184.8159999999998</v>
      </c>
      <c r="S205" s="288">
        <f t="shared" ref="S205:S211" si="434">+R205*$X$1</f>
        <v>2184.8159999999998</v>
      </c>
      <c r="T205" s="102">
        <f t="shared" ref="T205:T214" si="435">F205+37</f>
        <v>2176.8159999999998</v>
      </c>
      <c r="U205" s="305">
        <f t="shared" ref="U205:U214" si="436">+T205*$X$1</f>
        <v>2176.8159999999998</v>
      </c>
      <c r="V205" s="102">
        <f t="shared" ref="V205:V214" si="437">F205+32</f>
        <v>2171.8159999999998</v>
      </c>
      <c r="W205" s="305">
        <f t="shared" ref="W205:W214" si="438">+V205*$X$1</f>
        <v>2171.8159999999998</v>
      </c>
      <c r="X205" s="147"/>
      <c r="Y205" s="156"/>
      <c r="Z205" s="147"/>
      <c r="AA205" s="147"/>
      <c r="AB205" s="192">
        <v>465</v>
      </c>
    </row>
    <row r="206" spans="1:38" ht="12.6" customHeight="1" x14ac:dyDescent="0.2">
      <c r="A206" s="18"/>
      <c r="B206" s="677" t="s">
        <v>808</v>
      </c>
      <c r="C206" s="702"/>
      <c r="D206" s="702"/>
      <c r="E206" s="702"/>
      <c r="F206" s="379">
        <f>1.38*X2</f>
        <v>1495.9199999999998</v>
      </c>
      <c r="G206" s="338">
        <f t="shared" ref="G206" si="439">+F206*$X$1</f>
        <v>1495.9199999999998</v>
      </c>
      <c r="H206" s="603"/>
      <c r="I206" s="287"/>
      <c r="J206" s="603">
        <f t="shared" si="425"/>
        <v>1675.9199999999998</v>
      </c>
      <c r="K206" s="287">
        <f t="shared" si="426"/>
        <v>1675.9199999999998</v>
      </c>
      <c r="L206" s="603">
        <f t="shared" si="427"/>
        <v>1615.9199999999998</v>
      </c>
      <c r="M206" s="287">
        <f t="shared" si="428"/>
        <v>1615.9199999999998</v>
      </c>
      <c r="N206" s="603">
        <f t="shared" si="429"/>
        <v>1558.9199999999998</v>
      </c>
      <c r="O206" s="287">
        <f t="shared" si="430"/>
        <v>1558.9199999999998</v>
      </c>
      <c r="P206" s="603">
        <f t="shared" si="431"/>
        <v>1549.9199999999998</v>
      </c>
      <c r="Q206" s="287">
        <f t="shared" si="432"/>
        <v>1549.9199999999998</v>
      </c>
      <c r="R206" s="603">
        <f t="shared" si="433"/>
        <v>1540.9199999999998</v>
      </c>
      <c r="S206" s="287">
        <f t="shared" si="434"/>
        <v>1540.9199999999998</v>
      </c>
      <c r="T206" s="103">
        <f t="shared" si="435"/>
        <v>1532.9199999999998</v>
      </c>
      <c r="U206" s="255">
        <f t="shared" si="436"/>
        <v>1532.9199999999998</v>
      </c>
      <c r="V206" s="103">
        <f t="shared" si="437"/>
        <v>1527.9199999999998</v>
      </c>
      <c r="W206" s="255">
        <f t="shared" si="438"/>
        <v>1527.9199999999998</v>
      </c>
      <c r="X206" s="147"/>
      <c r="Y206" s="156"/>
      <c r="Z206" s="147"/>
      <c r="AA206" s="147"/>
      <c r="AB206" s="192">
        <v>466</v>
      </c>
    </row>
    <row r="207" spans="1:38" ht="12.6" customHeight="1" x14ac:dyDescent="0.2">
      <c r="A207" s="18"/>
      <c r="B207" s="765" t="s">
        <v>623</v>
      </c>
      <c r="C207" s="766"/>
      <c r="D207" s="766"/>
      <c r="E207" s="766"/>
      <c r="F207" s="383">
        <f>1*X2</f>
        <v>1084</v>
      </c>
      <c r="G207" s="339">
        <f t="shared" si="424"/>
        <v>1084</v>
      </c>
      <c r="H207" s="458"/>
      <c r="I207" s="288"/>
      <c r="J207" s="458">
        <f t="shared" si="425"/>
        <v>1264</v>
      </c>
      <c r="K207" s="288">
        <f t="shared" si="426"/>
        <v>1264</v>
      </c>
      <c r="L207" s="458">
        <f t="shared" si="427"/>
        <v>1204</v>
      </c>
      <c r="M207" s="288">
        <f t="shared" si="428"/>
        <v>1204</v>
      </c>
      <c r="N207" s="458">
        <f t="shared" si="429"/>
        <v>1147</v>
      </c>
      <c r="O207" s="288">
        <f t="shared" si="430"/>
        <v>1147</v>
      </c>
      <c r="P207" s="458">
        <f t="shared" si="431"/>
        <v>1138</v>
      </c>
      <c r="Q207" s="288">
        <f t="shared" si="432"/>
        <v>1138</v>
      </c>
      <c r="R207" s="458">
        <f t="shared" si="433"/>
        <v>1129</v>
      </c>
      <c r="S207" s="288">
        <f t="shared" si="434"/>
        <v>1129</v>
      </c>
      <c r="T207" s="102">
        <f t="shared" si="435"/>
        <v>1121</v>
      </c>
      <c r="U207" s="305">
        <f t="shared" si="436"/>
        <v>1121</v>
      </c>
      <c r="V207" s="102">
        <f t="shared" si="437"/>
        <v>1116</v>
      </c>
      <c r="W207" s="305">
        <f t="shared" si="438"/>
        <v>1116</v>
      </c>
      <c r="X207" s="147"/>
      <c r="Y207" s="147"/>
      <c r="Z207" s="147"/>
      <c r="AA207" s="147"/>
      <c r="AB207" s="192">
        <v>528</v>
      </c>
    </row>
    <row r="208" spans="1:38" ht="12.6" customHeight="1" x14ac:dyDescent="0.2">
      <c r="A208" s="18"/>
      <c r="B208" s="732" t="s">
        <v>365</v>
      </c>
      <c r="C208" s="796"/>
      <c r="D208" s="796"/>
      <c r="E208" s="797"/>
      <c r="F208" s="306">
        <v>3998</v>
      </c>
      <c r="G208" s="312">
        <f t="shared" ref="G208:G212" si="440">+F208*$X$1</f>
        <v>3998</v>
      </c>
      <c r="H208" s="603"/>
      <c r="I208" s="287"/>
      <c r="J208" s="603">
        <f t="shared" si="425"/>
        <v>4178</v>
      </c>
      <c r="K208" s="287">
        <f t="shared" si="426"/>
        <v>4178</v>
      </c>
      <c r="L208" s="603">
        <f t="shared" si="427"/>
        <v>4118</v>
      </c>
      <c r="M208" s="287">
        <f t="shared" si="428"/>
        <v>4118</v>
      </c>
      <c r="N208" s="603">
        <f t="shared" si="429"/>
        <v>4061</v>
      </c>
      <c r="O208" s="287">
        <f t="shared" si="430"/>
        <v>4061</v>
      </c>
      <c r="P208" s="603">
        <f t="shared" si="431"/>
        <v>4052</v>
      </c>
      <c r="Q208" s="287">
        <f t="shared" si="432"/>
        <v>4052</v>
      </c>
      <c r="R208" s="603">
        <f t="shared" si="433"/>
        <v>4043</v>
      </c>
      <c r="S208" s="287">
        <f t="shared" si="434"/>
        <v>4043</v>
      </c>
      <c r="T208" s="103">
        <f t="shared" si="435"/>
        <v>4035</v>
      </c>
      <c r="U208" s="255">
        <f t="shared" si="436"/>
        <v>4035</v>
      </c>
      <c r="V208" s="103">
        <f t="shared" si="437"/>
        <v>4030</v>
      </c>
      <c r="W208" s="255">
        <f t="shared" si="438"/>
        <v>4030</v>
      </c>
      <c r="X208" s="147"/>
      <c r="Y208" s="147"/>
      <c r="Z208" s="147"/>
      <c r="AA208" s="147"/>
      <c r="AB208" s="192"/>
    </row>
    <row r="209" spans="1:28" ht="12.6" customHeight="1" x14ac:dyDescent="0.2">
      <c r="A209" s="18"/>
      <c r="B209" s="692" t="s">
        <v>804</v>
      </c>
      <c r="C209" s="747"/>
      <c r="D209" s="747"/>
      <c r="E209" s="747"/>
      <c r="F209" s="380">
        <f>1*X2</f>
        <v>1084</v>
      </c>
      <c r="G209" s="505">
        <f t="shared" si="440"/>
        <v>1084</v>
      </c>
      <c r="H209" s="458">
        <f>F209+420</f>
        <v>1504</v>
      </c>
      <c r="I209" s="288">
        <f>+H209*$X$1</f>
        <v>1504</v>
      </c>
      <c r="J209" s="458">
        <f t="shared" si="425"/>
        <v>1264</v>
      </c>
      <c r="K209" s="288">
        <f t="shared" ref="K209:K210" si="441">+J209*$X$1</f>
        <v>1264</v>
      </c>
      <c r="L209" s="458">
        <f t="shared" si="427"/>
        <v>1204</v>
      </c>
      <c r="M209" s="288">
        <f t="shared" si="428"/>
        <v>1204</v>
      </c>
      <c r="N209" s="458">
        <f t="shared" si="429"/>
        <v>1147</v>
      </c>
      <c r="O209" s="288">
        <f t="shared" si="430"/>
        <v>1147</v>
      </c>
      <c r="P209" s="458">
        <f t="shared" si="431"/>
        <v>1138</v>
      </c>
      <c r="Q209" s="288">
        <f t="shared" si="432"/>
        <v>1138</v>
      </c>
      <c r="R209" s="458">
        <f t="shared" si="433"/>
        <v>1129</v>
      </c>
      <c r="S209" s="288">
        <f t="shared" si="434"/>
        <v>1129</v>
      </c>
      <c r="T209" s="102">
        <f t="shared" si="435"/>
        <v>1121</v>
      </c>
      <c r="U209" s="305">
        <f t="shared" si="436"/>
        <v>1121</v>
      </c>
      <c r="V209" s="102">
        <f t="shared" si="437"/>
        <v>1116</v>
      </c>
      <c r="W209" s="305">
        <f t="shared" si="438"/>
        <v>1116</v>
      </c>
      <c r="X209" s="147"/>
      <c r="Y209" s="156"/>
      <c r="Z209" s="147"/>
      <c r="AA209" s="147"/>
      <c r="AB209" s="192">
        <v>534</v>
      </c>
    </row>
    <row r="210" spans="1:28" ht="12.6" customHeight="1" x14ac:dyDescent="0.2">
      <c r="A210" s="18"/>
      <c r="B210" s="732" t="s">
        <v>366</v>
      </c>
      <c r="C210" s="733"/>
      <c r="D210" s="733"/>
      <c r="E210" s="734"/>
      <c r="F210" s="306">
        <v>1235</v>
      </c>
      <c r="G210" s="312">
        <f t="shared" si="440"/>
        <v>1235</v>
      </c>
      <c r="H210" s="281"/>
      <c r="I210" s="281"/>
      <c r="J210" s="603">
        <f t="shared" si="425"/>
        <v>1415</v>
      </c>
      <c r="K210" s="287">
        <f t="shared" si="441"/>
        <v>1415</v>
      </c>
      <c r="L210" s="603">
        <f t="shared" si="427"/>
        <v>1355</v>
      </c>
      <c r="M210" s="287">
        <f t="shared" si="428"/>
        <v>1355</v>
      </c>
      <c r="N210" s="603">
        <f t="shared" si="429"/>
        <v>1298</v>
      </c>
      <c r="O210" s="287">
        <f t="shared" si="430"/>
        <v>1298</v>
      </c>
      <c r="P210" s="603">
        <f t="shared" si="431"/>
        <v>1289</v>
      </c>
      <c r="Q210" s="287">
        <f t="shared" si="432"/>
        <v>1289</v>
      </c>
      <c r="R210" s="603">
        <f t="shared" si="433"/>
        <v>1280</v>
      </c>
      <c r="S210" s="287">
        <f t="shared" si="434"/>
        <v>1280</v>
      </c>
      <c r="T210" s="103">
        <f t="shared" si="435"/>
        <v>1272</v>
      </c>
      <c r="U210" s="255">
        <f t="shared" si="436"/>
        <v>1272</v>
      </c>
      <c r="V210" s="103">
        <f t="shared" si="437"/>
        <v>1267</v>
      </c>
      <c r="W210" s="255">
        <f t="shared" si="438"/>
        <v>1267</v>
      </c>
      <c r="X210" s="147"/>
      <c r="Y210" s="147"/>
      <c r="Z210" s="147"/>
      <c r="AA210" s="147"/>
      <c r="AB210" s="192"/>
    </row>
    <row r="211" spans="1:28" ht="12.6" customHeight="1" x14ac:dyDescent="0.2">
      <c r="A211" s="18"/>
      <c r="B211" s="765" t="s">
        <v>193</v>
      </c>
      <c r="C211" s="743"/>
      <c r="D211" s="743"/>
      <c r="E211" s="743"/>
      <c r="F211" s="319">
        <v>210</v>
      </c>
      <c r="G211" s="352">
        <f>+F211*$X$1</f>
        <v>210</v>
      </c>
      <c r="H211" s="1040" t="s">
        <v>357</v>
      </c>
      <c r="I211" s="1040"/>
      <c r="J211" s="1041"/>
      <c r="K211" s="1041"/>
      <c r="L211" s="1041"/>
      <c r="M211" s="1042"/>
      <c r="N211" s="458">
        <f t="shared" si="429"/>
        <v>273</v>
      </c>
      <c r="O211" s="288">
        <f t="shared" si="430"/>
        <v>273</v>
      </c>
      <c r="P211" s="458">
        <f t="shared" si="431"/>
        <v>264</v>
      </c>
      <c r="Q211" s="288">
        <f t="shared" si="432"/>
        <v>264</v>
      </c>
      <c r="R211" s="458">
        <f t="shared" si="433"/>
        <v>255</v>
      </c>
      <c r="S211" s="288">
        <f t="shared" si="434"/>
        <v>255</v>
      </c>
      <c r="T211" s="102">
        <f t="shared" si="435"/>
        <v>247</v>
      </c>
      <c r="U211" s="305">
        <f t="shared" si="436"/>
        <v>247</v>
      </c>
      <c r="V211" s="102">
        <f t="shared" si="437"/>
        <v>242</v>
      </c>
      <c r="W211" s="305">
        <f t="shared" si="438"/>
        <v>242</v>
      </c>
      <c r="X211" s="147"/>
      <c r="Y211" s="147"/>
      <c r="Z211" s="147"/>
      <c r="AA211" s="147"/>
      <c r="AB211" s="192">
        <v>539</v>
      </c>
    </row>
    <row r="212" spans="1:28" ht="12.6" customHeight="1" x14ac:dyDescent="0.2">
      <c r="A212" s="18"/>
      <c r="B212" s="696" t="s">
        <v>474</v>
      </c>
      <c r="C212" s="697"/>
      <c r="D212" s="697"/>
      <c r="E212" s="697"/>
      <c r="F212" s="306">
        <v>490</v>
      </c>
      <c r="G212" s="307">
        <f t="shared" si="440"/>
        <v>490</v>
      </c>
      <c r="H212" s="281"/>
      <c r="I212" s="281"/>
      <c r="J212" s="71"/>
      <c r="K212" s="287"/>
      <c r="L212" s="603"/>
      <c r="M212" s="287"/>
      <c r="N212" s="603"/>
      <c r="O212" s="287"/>
      <c r="P212" s="603"/>
      <c r="Q212" s="287"/>
      <c r="R212" s="603"/>
      <c r="S212" s="287"/>
      <c r="T212" s="103">
        <f t="shared" si="435"/>
        <v>527</v>
      </c>
      <c r="U212" s="255">
        <f t="shared" si="436"/>
        <v>527</v>
      </c>
      <c r="V212" s="103">
        <f t="shared" si="437"/>
        <v>522</v>
      </c>
      <c r="W212" s="255">
        <f t="shared" si="438"/>
        <v>522</v>
      </c>
      <c r="X212" s="147"/>
      <c r="Y212" s="147"/>
      <c r="Z212" s="147"/>
      <c r="AA212" s="147"/>
      <c r="AB212" s="192">
        <v>540</v>
      </c>
    </row>
    <row r="213" spans="1:28" ht="12.6" customHeight="1" x14ac:dyDescent="0.2">
      <c r="A213" s="18"/>
      <c r="B213" s="765" t="s">
        <v>476</v>
      </c>
      <c r="C213" s="766"/>
      <c r="D213" s="766"/>
      <c r="E213" s="766"/>
      <c r="F213" s="319">
        <v>843</v>
      </c>
      <c r="G213" s="339">
        <f t="shared" ref="G213" si="442">+F213*$X$1</f>
        <v>843</v>
      </c>
      <c r="H213" s="280"/>
      <c r="I213" s="280"/>
      <c r="J213" s="89"/>
      <c r="K213" s="288"/>
      <c r="L213" s="458"/>
      <c r="M213" s="288"/>
      <c r="N213" s="458"/>
      <c r="O213" s="288"/>
      <c r="P213" s="458"/>
      <c r="Q213" s="288"/>
      <c r="R213" s="458"/>
      <c r="S213" s="288"/>
      <c r="T213" s="102">
        <f t="shared" si="435"/>
        <v>880</v>
      </c>
      <c r="U213" s="305">
        <f t="shared" si="436"/>
        <v>880</v>
      </c>
      <c r="V213" s="102">
        <f t="shared" si="437"/>
        <v>875</v>
      </c>
      <c r="W213" s="305">
        <f t="shared" si="438"/>
        <v>875</v>
      </c>
      <c r="X213" s="147"/>
      <c r="Y213" s="147"/>
      <c r="Z213" s="147"/>
      <c r="AA213" s="147"/>
      <c r="AB213" s="192" t="s">
        <v>558</v>
      </c>
    </row>
    <row r="214" spans="1:28" ht="12.6" customHeight="1" x14ac:dyDescent="0.2">
      <c r="A214" s="18"/>
      <c r="B214" s="732" t="s">
        <v>427</v>
      </c>
      <c r="C214" s="733"/>
      <c r="D214" s="733"/>
      <c r="E214" s="734"/>
      <c r="F214" s="384">
        <f>18.74*X2</f>
        <v>20314.16</v>
      </c>
      <c r="G214" s="307">
        <f t="shared" ref="G214" si="443">+F214*$X$1</f>
        <v>20314.16</v>
      </c>
      <c r="H214" s="603">
        <f>F214+500</f>
        <v>20814.16</v>
      </c>
      <c r="I214" s="287">
        <f>+H214*$X$1</f>
        <v>20814.16</v>
      </c>
      <c r="J214" s="603">
        <f>F214+200</f>
        <v>20514.16</v>
      </c>
      <c r="K214" s="287">
        <f t="shared" ref="K214" si="444">+J214*$X$1</f>
        <v>20514.16</v>
      </c>
      <c r="L214" s="603">
        <f>F214+120</f>
        <v>20434.16</v>
      </c>
      <c r="M214" s="287">
        <f>+L214*$X$1</f>
        <v>20434.16</v>
      </c>
      <c r="N214" s="603">
        <f>F214+63</f>
        <v>20377.16</v>
      </c>
      <c r="O214" s="287">
        <f>+N214*$X$1</f>
        <v>20377.16</v>
      </c>
      <c r="P214" s="603">
        <f>F214+54</f>
        <v>20368.16</v>
      </c>
      <c r="Q214" s="287">
        <f>+P214*$X$1</f>
        <v>20368.16</v>
      </c>
      <c r="R214" s="603">
        <f>F214+45</f>
        <v>20359.16</v>
      </c>
      <c r="S214" s="287">
        <f>+R214*$X$1</f>
        <v>20359.16</v>
      </c>
      <c r="T214" s="103">
        <f t="shared" si="435"/>
        <v>20351.16</v>
      </c>
      <c r="U214" s="255">
        <f t="shared" si="436"/>
        <v>20351.16</v>
      </c>
      <c r="V214" s="103">
        <f t="shared" si="437"/>
        <v>20346.16</v>
      </c>
      <c r="W214" s="255">
        <f t="shared" si="438"/>
        <v>20346.16</v>
      </c>
      <c r="X214" s="147"/>
      <c r="Y214" s="147"/>
      <c r="Z214" s="147"/>
      <c r="AA214" s="147"/>
      <c r="AB214" s="192">
        <v>542</v>
      </c>
    </row>
    <row r="215" spans="1:28" ht="12.6" customHeight="1" x14ac:dyDescent="0.2">
      <c r="A215" s="18"/>
      <c r="B215" s="692" t="s">
        <v>475</v>
      </c>
      <c r="C215" s="693"/>
      <c r="D215" s="693"/>
      <c r="E215" s="693"/>
      <c r="F215" s="288"/>
      <c r="G215" s="288"/>
      <c r="H215" s="458"/>
      <c r="I215" s="458"/>
      <c r="J215" s="458"/>
      <c r="K215" s="288"/>
      <c r="L215" s="458"/>
      <c r="M215" s="288"/>
      <c r="N215" s="458"/>
      <c r="O215" s="288"/>
      <c r="P215" s="458"/>
      <c r="Q215" s="288"/>
      <c r="R215" s="458"/>
      <c r="S215" s="288"/>
      <c r="T215" s="458"/>
      <c r="U215" s="288"/>
      <c r="V215" s="89"/>
      <c r="W215" s="344"/>
      <c r="X215" s="147"/>
      <c r="Y215" s="147"/>
      <c r="Z215" s="147"/>
      <c r="AA215" s="147"/>
      <c r="AB215" s="192">
        <v>544</v>
      </c>
    </row>
    <row r="216" spans="1:28" ht="12.6" customHeight="1" x14ac:dyDescent="0.2">
      <c r="A216" s="18"/>
      <c r="B216" s="794" t="s">
        <v>194</v>
      </c>
      <c r="C216" s="795"/>
      <c r="D216" s="795"/>
      <c r="E216" s="795"/>
      <c r="F216" s="543">
        <v>411</v>
      </c>
      <c r="G216" s="544">
        <f t="shared" ref="G216:G221" si="445">+F216*$X$1</f>
        <v>411</v>
      </c>
      <c r="H216" s="545"/>
      <c r="I216" s="545"/>
      <c r="J216" s="458">
        <f>F216+200</f>
        <v>611</v>
      </c>
      <c r="K216" s="544">
        <f t="shared" ref="K216:K222" si="446">+J216*$X$1</f>
        <v>611</v>
      </c>
      <c r="L216" s="605">
        <f>F216+130</f>
        <v>541</v>
      </c>
      <c r="M216" s="544">
        <f t="shared" ref="M216" si="447">+L216*$X$1</f>
        <v>541</v>
      </c>
      <c r="N216" s="605">
        <f>F216+75</f>
        <v>486</v>
      </c>
      <c r="O216" s="544">
        <f t="shared" ref="O216" si="448">+N216*$X$1</f>
        <v>486</v>
      </c>
      <c r="P216" s="547"/>
      <c r="Q216" s="808" t="s">
        <v>152</v>
      </c>
      <c r="R216" s="809"/>
      <c r="S216" s="809"/>
      <c r="T216" s="809"/>
      <c r="U216" s="809"/>
      <c r="V216" s="809"/>
      <c r="W216" s="810"/>
      <c r="X216" s="131"/>
      <c r="Y216" s="131"/>
      <c r="Z216" s="131"/>
      <c r="AA216" s="131"/>
      <c r="AB216" s="192">
        <v>547</v>
      </c>
    </row>
    <row r="217" spans="1:28" ht="12.6" customHeight="1" x14ac:dyDescent="0.2">
      <c r="A217" s="18"/>
      <c r="B217" s="699" t="s">
        <v>367</v>
      </c>
      <c r="C217" s="700"/>
      <c r="D217" s="700"/>
      <c r="E217" s="701"/>
      <c r="F217" s="288">
        <v>3920</v>
      </c>
      <c r="G217" s="288">
        <f t="shared" si="445"/>
        <v>3920</v>
      </c>
      <c r="H217" s="280"/>
      <c r="I217" s="280"/>
      <c r="J217" s="458">
        <f>F217+200</f>
        <v>4120</v>
      </c>
      <c r="K217" s="288">
        <f t="shared" si="446"/>
        <v>4120</v>
      </c>
      <c r="L217" s="458">
        <f t="shared" ref="L217:L222" si="449">F217+130</f>
        <v>4050</v>
      </c>
      <c r="M217" s="288">
        <f t="shared" ref="M217:M222" si="450">+L217*$X$1</f>
        <v>4050</v>
      </c>
      <c r="N217" s="458">
        <f t="shared" ref="N217:N222" si="451">F217+75</f>
        <v>3995</v>
      </c>
      <c r="O217" s="288">
        <f t="shared" ref="O217:O222" si="452">+N217*$X$1</f>
        <v>3995</v>
      </c>
      <c r="P217" s="458">
        <f t="shared" ref="P217:P222" si="453">F217+64</f>
        <v>3984</v>
      </c>
      <c r="Q217" s="288">
        <f t="shared" ref="Q217" si="454">+P217*$X$1</f>
        <v>3984</v>
      </c>
      <c r="R217" s="458">
        <f t="shared" ref="R217:R222" si="455">F217+53</f>
        <v>3973</v>
      </c>
      <c r="S217" s="288">
        <f t="shared" ref="S217" si="456">+R217*$X$1</f>
        <v>3973</v>
      </c>
      <c r="T217" s="102">
        <f t="shared" ref="T217:T222" si="457">F217+45</f>
        <v>3965</v>
      </c>
      <c r="U217" s="305">
        <f t="shared" ref="U217" si="458">+T217*$X$1</f>
        <v>3965</v>
      </c>
      <c r="V217" s="102">
        <f t="shared" ref="V217:V222" si="459">F217+39</f>
        <v>3959</v>
      </c>
      <c r="W217" s="305">
        <f t="shared" ref="W217" si="460">+V217*$X$1</f>
        <v>3959</v>
      </c>
      <c r="X217" s="131"/>
      <c r="Y217" s="131"/>
      <c r="Z217" s="131"/>
      <c r="AA217" s="131"/>
      <c r="AB217" s="419"/>
    </row>
    <row r="218" spans="1:28" ht="12.6" customHeight="1" x14ac:dyDescent="0.2">
      <c r="A218" s="18"/>
      <c r="B218" s="732" t="s">
        <v>489</v>
      </c>
      <c r="C218" s="733"/>
      <c r="D218" s="733"/>
      <c r="E218" s="734"/>
      <c r="F218" s="306">
        <v>1117</v>
      </c>
      <c r="G218" s="287">
        <f t="shared" si="445"/>
        <v>1117</v>
      </c>
      <c r="H218" s="281"/>
      <c r="I218" s="281"/>
      <c r="J218" s="603">
        <f>F218+200</f>
        <v>1317</v>
      </c>
      <c r="K218" s="287">
        <f t="shared" si="446"/>
        <v>1317</v>
      </c>
      <c r="L218" s="603">
        <f t="shared" si="449"/>
        <v>1247</v>
      </c>
      <c r="M218" s="287">
        <f t="shared" si="450"/>
        <v>1247</v>
      </c>
      <c r="N218" s="603">
        <f t="shared" si="451"/>
        <v>1192</v>
      </c>
      <c r="O218" s="287">
        <f t="shared" si="452"/>
        <v>1192</v>
      </c>
      <c r="P218" s="603">
        <f t="shared" si="453"/>
        <v>1181</v>
      </c>
      <c r="Q218" s="287">
        <f t="shared" ref="Q218:Q222" si="461">+P218*$X$1</f>
        <v>1181</v>
      </c>
      <c r="R218" s="603">
        <f t="shared" si="455"/>
        <v>1170</v>
      </c>
      <c r="S218" s="287">
        <f t="shared" ref="S218:S222" si="462">+R218*$X$1</f>
        <v>1170</v>
      </c>
      <c r="T218" s="103">
        <f t="shared" si="457"/>
        <v>1162</v>
      </c>
      <c r="U218" s="255">
        <f t="shared" ref="U218:U222" si="463">+T218*$X$1</f>
        <v>1162</v>
      </c>
      <c r="V218" s="103">
        <f t="shared" si="459"/>
        <v>1156</v>
      </c>
      <c r="W218" s="255">
        <f t="shared" ref="W218:W222" si="464">+V218*$X$1</f>
        <v>1156</v>
      </c>
      <c r="X218" s="147"/>
      <c r="Y218" s="147"/>
      <c r="Z218" s="147"/>
      <c r="AA218" s="147"/>
      <c r="AB218" s="192"/>
    </row>
    <row r="219" spans="1:28" ht="12.6" customHeight="1" x14ac:dyDescent="0.2">
      <c r="A219" s="18"/>
      <c r="B219" s="699" t="s">
        <v>449</v>
      </c>
      <c r="C219" s="700"/>
      <c r="D219" s="700"/>
      <c r="E219" s="701"/>
      <c r="F219" s="288">
        <v>3773</v>
      </c>
      <c r="G219" s="288">
        <f t="shared" si="445"/>
        <v>3773</v>
      </c>
      <c r="H219" s="280"/>
      <c r="I219" s="280"/>
      <c r="J219" s="458">
        <f>F219+200</f>
        <v>3973</v>
      </c>
      <c r="K219" s="288">
        <f t="shared" si="446"/>
        <v>3973</v>
      </c>
      <c r="L219" s="458">
        <f t="shared" si="449"/>
        <v>3903</v>
      </c>
      <c r="M219" s="288">
        <f t="shared" si="450"/>
        <v>3903</v>
      </c>
      <c r="N219" s="458">
        <f t="shared" si="451"/>
        <v>3848</v>
      </c>
      <c r="O219" s="288">
        <f t="shared" si="452"/>
        <v>3848</v>
      </c>
      <c r="P219" s="458">
        <f t="shared" si="453"/>
        <v>3837</v>
      </c>
      <c r="Q219" s="288">
        <f t="shared" si="461"/>
        <v>3837</v>
      </c>
      <c r="R219" s="458">
        <f t="shared" si="455"/>
        <v>3826</v>
      </c>
      <c r="S219" s="288">
        <f t="shared" si="462"/>
        <v>3826</v>
      </c>
      <c r="T219" s="102">
        <f t="shared" si="457"/>
        <v>3818</v>
      </c>
      <c r="U219" s="305">
        <f t="shared" si="463"/>
        <v>3818</v>
      </c>
      <c r="V219" s="102">
        <f t="shared" si="459"/>
        <v>3812</v>
      </c>
      <c r="W219" s="305">
        <f t="shared" si="464"/>
        <v>3812</v>
      </c>
      <c r="X219" s="131"/>
      <c r="Y219" s="131"/>
      <c r="Z219" s="131"/>
      <c r="AA219" s="131"/>
      <c r="AB219" s="192">
        <v>551</v>
      </c>
    </row>
    <row r="220" spans="1:28" ht="12.6" customHeight="1" x14ac:dyDescent="0.2">
      <c r="A220" s="18"/>
      <c r="B220" s="793" t="s">
        <v>447</v>
      </c>
      <c r="C220" s="750"/>
      <c r="D220" s="750"/>
      <c r="E220" s="751"/>
      <c r="F220" s="306">
        <v>4214</v>
      </c>
      <c r="G220" s="287">
        <f t="shared" si="445"/>
        <v>4214</v>
      </c>
      <c r="H220" s="281"/>
      <c r="I220" s="281"/>
      <c r="J220" s="603">
        <f t="shared" ref="J220:J222" si="465">F220+200</f>
        <v>4414</v>
      </c>
      <c r="K220" s="287">
        <f t="shared" si="446"/>
        <v>4414</v>
      </c>
      <c r="L220" s="603">
        <f t="shared" si="449"/>
        <v>4344</v>
      </c>
      <c r="M220" s="287">
        <f t="shared" si="450"/>
        <v>4344</v>
      </c>
      <c r="N220" s="603">
        <f t="shared" si="451"/>
        <v>4289</v>
      </c>
      <c r="O220" s="287">
        <f t="shared" si="452"/>
        <v>4289</v>
      </c>
      <c r="P220" s="603">
        <f t="shared" si="453"/>
        <v>4278</v>
      </c>
      <c r="Q220" s="287">
        <f t="shared" si="461"/>
        <v>4278</v>
      </c>
      <c r="R220" s="603">
        <f t="shared" si="455"/>
        <v>4267</v>
      </c>
      <c r="S220" s="287">
        <f t="shared" si="462"/>
        <v>4267</v>
      </c>
      <c r="T220" s="103">
        <f t="shared" si="457"/>
        <v>4259</v>
      </c>
      <c r="U220" s="255">
        <f t="shared" si="463"/>
        <v>4259</v>
      </c>
      <c r="V220" s="103">
        <f t="shared" si="459"/>
        <v>4253</v>
      </c>
      <c r="W220" s="255">
        <f t="shared" si="464"/>
        <v>4253</v>
      </c>
      <c r="X220" s="131"/>
      <c r="Y220" s="131"/>
      <c r="Z220" s="131"/>
      <c r="AA220" s="131"/>
      <c r="AB220" s="192" t="s">
        <v>446</v>
      </c>
    </row>
    <row r="221" spans="1:28" ht="12.6" customHeight="1" x14ac:dyDescent="0.2">
      <c r="A221" s="18"/>
      <c r="B221" s="769" t="s">
        <v>448</v>
      </c>
      <c r="C221" s="770"/>
      <c r="D221" s="770"/>
      <c r="E221" s="771"/>
      <c r="F221" s="319">
        <v>4567</v>
      </c>
      <c r="G221" s="288">
        <f t="shared" si="445"/>
        <v>4567</v>
      </c>
      <c r="H221" s="280"/>
      <c r="I221" s="280"/>
      <c r="J221" s="458">
        <f t="shared" si="465"/>
        <v>4767</v>
      </c>
      <c r="K221" s="288">
        <f t="shared" si="446"/>
        <v>4767</v>
      </c>
      <c r="L221" s="458">
        <f t="shared" si="449"/>
        <v>4697</v>
      </c>
      <c r="M221" s="288">
        <f t="shared" si="450"/>
        <v>4697</v>
      </c>
      <c r="N221" s="458">
        <f t="shared" si="451"/>
        <v>4642</v>
      </c>
      <c r="O221" s="288">
        <f t="shared" si="452"/>
        <v>4642</v>
      </c>
      <c r="P221" s="458">
        <f t="shared" si="453"/>
        <v>4631</v>
      </c>
      <c r="Q221" s="288">
        <f t="shared" si="461"/>
        <v>4631</v>
      </c>
      <c r="R221" s="458">
        <f t="shared" si="455"/>
        <v>4620</v>
      </c>
      <c r="S221" s="288">
        <f t="shared" si="462"/>
        <v>4620</v>
      </c>
      <c r="T221" s="102">
        <f t="shared" si="457"/>
        <v>4612</v>
      </c>
      <c r="U221" s="305">
        <f t="shared" si="463"/>
        <v>4612</v>
      </c>
      <c r="V221" s="102">
        <f t="shared" si="459"/>
        <v>4606</v>
      </c>
      <c r="W221" s="305">
        <f t="shared" si="464"/>
        <v>4606</v>
      </c>
      <c r="X221" s="131"/>
      <c r="Y221" s="131"/>
      <c r="Z221" s="131"/>
      <c r="AA221" s="131"/>
      <c r="AB221" s="192" t="s">
        <v>450</v>
      </c>
    </row>
    <row r="222" spans="1:28" ht="12.6" customHeight="1" x14ac:dyDescent="0.2">
      <c r="A222" s="18"/>
      <c r="B222" s="677" t="s">
        <v>406</v>
      </c>
      <c r="C222" s="702"/>
      <c r="D222" s="702"/>
      <c r="E222" s="702"/>
      <c r="F222" s="287">
        <v>4028</v>
      </c>
      <c r="G222" s="287">
        <f t="shared" ref="G222" si="466">+F222*$X$1</f>
        <v>4028</v>
      </c>
      <c r="H222" s="281"/>
      <c r="I222" s="281"/>
      <c r="J222" s="603">
        <f t="shared" si="465"/>
        <v>4228</v>
      </c>
      <c r="K222" s="287">
        <f t="shared" si="446"/>
        <v>4228</v>
      </c>
      <c r="L222" s="603">
        <f t="shared" si="449"/>
        <v>4158</v>
      </c>
      <c r="M222" s="287">
        <f t="shared" si="450"/>
        <v>4158</v>
      </c>
      <c r="N222" s="603">
        <f t="shared" si="451"/>
        <v>4103</v>
      </c>
      <c r="O222" s="287">
        <f t="shared" si="452"/>
        <v>4103</v>
      </c>
      <c r="P222" s="603">
        <f t="shared" si="453"/>
        <v>4092</v>
      </c>
      <c r="Q222" s="287">
        <f t="shared" si="461"/>
        <v>4092</v>
      </c>
      <c r="R222" s="603">
        <f t="shared" si="455"/>
        <v>4081</v>
      </c>
      <c r="S222" s="287">
        <f t="shared" si="462"/>
        <v>4081</v>
      </c>
      <c r="T222" s="103">
        <f t="shared" si="457"/>
        <v>4073</v>
      </c>
      <c r="U222" s="255">
        <f t="shared" si="463"/>
        <v>4073</v>
      </c>
      <c r="V222" s="103">
        <f t="shared" si="459"/>
        <v>4067</v>
      </c>
      <c r="W222" s="255">
        <f t="shared" si="464"/>
        <v>4067</v>
      </c>
      <c r="X222" s="131"/>
      <c r="Y222" s="131"/>
      <c r="Z222" s="131"/>
      <c r="AA222" s="131"/>
      <c r="AB222" s="192">
        <v>553</v>
      </c>
    </row>
    <row r="223" spans="1:28" ht="12.6" customHeight="1" x14ac:dyDescent="0.2">
      <c r="A223" s="18"/>
      <c r="B223" s="765" t="s">
        <v>622</v>
      </c>
      <c r="C223" s="766"/>
      <c r="D223" s="766"/>
      <c r="E223" s="766"/>
      <c r="F223" s="383">
        <f>5.65*X2</f>
        <v>6124.6</v>
      </c>
      <c r="G223" s="339">
        <f t="shared" ref="G223" si="467">+F223*$X$1</f>
        <v>6124.6</v>
      </c>
      <c r="H223" s="458">
        <f>F223+500</f>
        <v>6624.6</v>
      </c>
      <c r="I223" s="288">
        <f>+H223*$X$1</f>
        <v>6624.6</v>
      </c>
      <c r="J223" s="458">
        <f>F223+360</f>
        <v>6484.6</v>
      </c>
      <c r="K223" s="288">
        <f>+J223*$X$1</f>
        <v>6484.6</v>
      </c>
      <c r="L223" s="458">
        <f>F223+330</f>
        <v>6454.6</v>
      </c>
      <c r="M223" s="288">
        <f t="shared" ref="M223" si="468">+L223*$X$1</f>
        <v>6454.6</v>
      </c>
      <c r="N223" s="458">
        <f>F223+290</f>
        <v>6414.6</v>
      </c>
      <c r="O223" s="288">
        <f t="shared" ref="O223" si="469">+N223*$X$1</f>
        <v>6414.6</v>
      </c>
      <c r="P223" s="458">
        <f>F223+240</f>
        <v>6364.6</v>
      </c>
      <c r="Q223" s="288">
        <f t="shared" ref="Q223" si="470">+P223*$X$1</f>
        <v>6364.6</v>
      </c>
      <c r="R223" s="458">
        <f>F223+220</f>
        <v>6344.6</v>
      </c>
      <c r="S223" s="288">
        <f t="shared" ref="S223" si="471">+R223*$X$1</f>
        <v>6344.6</v>
      </c>
      <c r="T223" s="102">
        <f>F223+200</f>
        <v>6324.6</v>
      </c>
      <c r="U223" s="305">
        <f t="shared" ref="U223" si="472">+T223*$X$1</f>
        <v>6324.6</v>
      </c>
      <c r="V223" s="102">
        <f>F223+175</f>
        <v>6299.6</v>
      </c>
      <c r="W223" s="305">
        <f t="shared" ref="W223" si="473">+V223*$X$1</f>
        <v>6299.6</v>
      </c>
      <c r="X223" s="147"/>
      <c r="Y223" s="147"/>
      <c r="Z223" s="147"/>
      <c r="AA223" s="147"/>
      <c r="AB223" s="192">
        <v>616</v>
      </c>
    </row>
    <row r="224" spans="1:28" ht="12.6" customHeight="1" x14ac:dyDescent="0.2">
      <c r="A224" s="18"/>
      <c r="B224" s="1029" t="s">
        <v>361</v>
      </c>
      <c r="C224" s="1030"/>
      <c r="D224" s="1030"/>
      <c r="E224" s="1030"/>
      <c r="F224" s="544">
        <v>220</v>
      </c>
      <c r="G224" s="544">
        <f t="shared" ref="G224:G227" si="474">+F224*$X$1</f>
        <v>220</v>
      </c>
      <c r="H224" s="545"/>
      <c r="I224" s="548"/>
      <c r="J224" s="546">
        <f>F224+180</f>
        <v>400</v>
      </c>
      <c r="K224" s="544">
        <f t="shared" ref="K224" si="475">+J224*$X$1</f>
        <v>400</v>
      </c>
      <c r="L224" s="546">
        <f>F224+120</f>
        <v>340</v>
      </c>
      <c r="M224" s="544">
        <f>+L224*$X$1</f>
        <v>340</v>
      </c>
      <c r="N224" s="546">
        <f>F224+63</f>
        <v>283</v>
      </c>
      <c r="O224" s="544">
        <f>+N224*$X$1</f>
        <v>283</v>
      </c>
      <c r="P224" s="546"/>
      <c r="Q224" s="675" t="s">
        <v>152</v>
      </c>
      <c r="R224" s="676"/>
      <c r="S224" s="676"/>
      <c r="T224" s="676"/>
      <c r="U224" s="676"/>
      <c r="V224" s="676"/>
      <c r="W224" s="676"/>
      <c r="X224" s="147"/>
      <c r="Y224" s="147"/>
      <c r="Z224" s="147"/>
      <c r="AA224" s="147"/>
      <c r="AB224" s="192">
        <v>618</v>
      </c>
    </row>
    <row r="225" spans="1:34" ht="12.6" customHeight="1" x14ac:dyDescent="0.2">
      <c r="A225" s="104"/>
      <c r="B225" s="961" t="s">
        <v>484</v>
      </c>
      <c r="C225" s="686"/>
      <c r="D225" s="686"/>
      <c r="E225" s="686"/>
      <c r="F225" s="544">
        <v>600</v>
      </c>
      <c r="G225" s="544">
        <f t="shared" si="474"/>
        <v>600</v>
      </c>
      <c r="H225" s="546"/>
      <c r="I225" s="544"/>
      <c r="J225" s="545"/>
      <c r="K225" s="548"/>
      <c r="L225" s="546">
        <f>F225+130</f>
        <v>730</v>
      </c>
      <c r="M225" s="544">
        <f t="shared" ref="M225" si="476">+L225*$X$1</f>
        <v>730</v>
      </c>
      <c r="N225" s="546"/>
      <c r="O225" s="544"/>
      <c r="P225" s="546">
        <f>F225+5.1</f>
        <v>605.1</v>
      </c>
      <c r="Q225" s="675" t="s">
        <v>152</v>
      </c>
      <c r="R225" s="676"/>
      <c r="S225" s="676"/>
      <c r="T225" s="676"/>
      <c r="U225" s="676"/>
      <c r="V225" s="676"/>
      <c r="W225" s="676"/>
      <c r="X225" s="132"/>
      <c r="Y225" s="147"/>
      <c r="Z225" s="147"/>
      <c r="AA225" s="147"/>
      <c r="AB225" s="192">
        <v>621</v>
      </c>
    </row>
    <row r="226" spans="1:34" ht="12.6" customHeight="1" x14ac:dyDescent="0.2">
      <c r="A226" s="21"/>
      <c r="B226" s="677" t="s">
        <v>195</v>
      </c>
      <c r="C226" s="702"/>
      <c r="D226" s="702"/>
      <c r="E226" s="702"/>
      <c r="F226" s="379">
        <f>2.93*X2</f>
        <v>3176.1200000000003</v>
      </c>
      <c r="G226" s="287">
        <f>+F226*$X$1</f>
        <v>3176.1200000000003</v>
      </c>
      <c r="H226" s="318"/>
      <c r="I226" s="342"/>
      <c r="J226" s="652">
        <f t="shared" ref="J226:J232" si="477">F226+180</f>
        <v>3356.1200000000003</v>
      </c>
      <c r="K226" s="287">
        <f t="shared" ref="K226:K232" si="478">+J226*$X$1</f>
        <v>3356.1200000000003</v>
      </c>
      <c r="L226" s="652">
        <f t="shared" ref="L226:L232" si="479">F226+120</f>
        <v>3296.1200000000003</v>
      </c>
      <c r="M226" s="287">
        <f t="shared" ref="M226:M232" si="480">+L226*$X$1</f>
        <v>3296.1200000000003</v>
      </c>
      <c r="N226" s="652">
        <f t="shared" ref="N226:N232" si="481">F226+63</f>
        <v>3239.1200000000003</v>
      </c>
      <c r="O226" s="287">
        <f t="shared" ref="O226:O232" si="482">+N226*$X$1</f>
        <v>3239.1200000000003</v>
      </c>
      <c r="P226" s="652">
        <f t="shared" ref="P226:P232" si="483">F226+54</f>
        <v>3230.1200000000003</v>
      </c>
      <c r="Q226" s="287">
        <f t="shared" ref="Q226:Q232" si="484">+P226*$X$1</f>
        <v>3230.1200000000003</v>
      </c>
      <c r="R226" s="652">
        <f t="shared" ref="R226:R232" si="485">F226+45</f>
        <v>3221.1200000000003</v>
      </c>
      <c r="S226" s="287">
        <f t="shared" ref="S226:S232" si="486">+R226*$X$1</f>
        <v>3221.1200000000003</v>
      </c>
      <c r="T226" s="103">
        <f t="shared" ref="T226:T232" si="487">F226+37</f>
        <v>3213.1200000000003</v>
      </c>
      <c r="U226" s="255">
        <f t="shared" ref="U226:U232" si="488">+T226*$X$1</f>
        <v>3213.1200000000003</v>
      </c>
      <c r="V226" s="103">
        <f t="shared" ref="V226:V232" si="489">F226+32</f>
        <v>3208.1200000000003</v>
      </c>
      <c r="W226" s="255">
        <f t="shared" ref="W226:W232" si="490">+V226*$X$1</f>
        <v>3208.1200000000003</v>
      </c>
      <c r="X226" s="147"/>
      <c r="Y226" s="156"/>
      <c r="Z226" s="147"/>
      <c r="AA226" s="147"/>
      <c r="AB226" s="192">
        <v>624</v>
      </c>
    </row>
    <row r="227" spans="1:34" ht="12.6" customHeight="1" x14ac:dyDescent="0.2">
      <c r="A227" s="21"/>
      <c r="B227" s="971" t="s">
        <v>196</v>
      </c>
      <c r="C227" s="844"/>
      <c r="D227" s="844"/>
      <c r="E227" s="844"/>
      <c r="F227" s="380">
        <f>5.057*X2</f>
        <v>5481.7880000000005</v>
      </c>
      <c r="G227" s="288">
        <f t="shared" si="474"/>
        <v>5481.7880000000005</v>
      </c>
      <c r="H227" s="286"/>
      <c r="I227" s="343"/>
      <c r="J227" s="458">
        <f t="shared" si="477"/>
        <v>5661.7880000000005</v>
      </c>
      <c r="K227" s="288">
        <f t="shared" si="478"/>
        <v>5661.7880000000005</v>
      </c>
      <c r="L227" s="458">
        <f t="shared" si="479"/>
        <v>5601.7880000000005</v>
      </c>
      <c r="M227" s="288">
        <f t="shared" si="480"/>
        <v>5601.7880000000005</v>
      </c>
      <c r="N227" s="458">
        <f t="shared" si="481"/>
        <v>5544.7880000000005</v>
      </c>
      <c r="O227" s="288">
        <f t="shared" si="482"/>
        <v>5544.7880000000005</v>
      </c>
      <c r="P227" s="458">
        <f t="shared" si="483"/>
        <v>5535.7880000000005</v>
      </c>
      <c r="Q227" s="288">
        <f t="shared" si="484"/>
        <v>5535.7880000000005</v>
      </c>
      <c r="R227" s="458">
        <f t="shared" si="485"/>
        <v>5526.7880000000005</v>
      </c>
      <c r="S227" s="288">
        <f t="shared" si="486"/>
        <v>5526.7880000000005</v>
      </c>
      <c r="T227" s="102">
        <f t="shared" si="487"/>
        <v>5518.7880000000005</v>
      </c>
      <c r="U227" s="305">
        <f t="shared" si="488"/>
        <v>5518.7880000000005</v>
      </c>
      <c r="V227" s="102">
        <f t="shared" si="489"/>
        <v>5513.7880000000005</v>
      </c>
      <c r="W227" s="305">
        <f t="shared" si="490"/>
        <v>5513.7880000000005</v>
      </c>
      <c r="X227" s="147"/>
      <c r="Y227" s="156"/>
      <c r="Z227" s="147"/>
      <c r="AA227" s="147"/>
      <c r="AB227" s="192" t="s">
        <v>197</v>
      </c>
    </row>
    <row r="228" spans="1:34" ht="12.6" customHeight="1" x14ac:dyDescent="0.2">
      <c r="A228" s="21"/>
      <c r="B228" s="732" t="s">
        <v>198</v>
      </c>
      <c r="C228" s="733"/>
      <c r="D228" s="733"/>
      <c r="E228" s="734"/>
      <c r="F228" s="379">
        <f>5.6*X2</f>
        <v>6070.4</v>
      </c>
      <c r="G228" s="287">
        <f t="shared" ref="G228:G233" si="491">+F228*$X$1</f>
        <v>6070.4</v>
      </c>
      <c r="H228" s="318"/>
      <c r="I228" s="342"/>
      <c r="J228" s="652">
        <f t="shared" si="477"/>
        <v>6250.4</v>
      </c>
      <c r="K228" s="287">
        <f t="shared" si="478"/>
        <v>6250.4</v>
      </c>
      <c r="L228" s="652">
        <f t="shared" si="479"/>
        <v>6190.4</v>
      </c>
      <c r="M228" s="287">
        <f t="shared" si="480"/>
        <v>6190.4</v>
      </c>
      <c r="N228" s="652">
        <f t="shared" si="481"/>
        <v>6133.4</v>
      </c>
      <c r="O228" s="287">
        <f t="shared" si="482"/>
        <v>6133.4</v>
      </c>
      <c r="P228" s="652">
        <f t="shared" si="483"/>
        <v>6124.4</v>
      </c>
      <c r="Q228" s="287">
        <f t="shared" si="484"/>
        <v>6124.4</v>
      </c>
      <c r="R228" s="652">
        <f t="shared" si="485"/>
        <v>6115.4</v>
      </c>
      <c r="S228" s="287">
        <f t="shared" si="486"/>
        <v>6115.4</v>
      </c>
      <c r="T228" s="103">
        <f t="shared" si="487"/>
        <v>6107.4</v>
      </c>
      <c r="U228" s="255">
        <f t="shared" si="488"/>
        <v>6107.4</v>
      </c>
      <c r="V228" s="103">
        <f t="shared" si="489"/>
        <v>6102.4</v>
      </c>
      <c r="W228" s="255">
        <f t="shared" si="490"/>
        <v>6102.4</v>
      </c>
      <c r="X228" s="147"/>
      <c r="Y228" s="156"/>
      <c r="Z228" s="147"/>
      <c r="AA228" s="147"/>
      <c r="AB228" s="192">
        <v>629</v>
      </c>
    </row>
    <row r="229" spans="1:34" ht="12.6" customHeight="1" x14ac:dyDescent="0.2">
      <c r="A229" s="21"/>
      <c r="B229" s="699" t="s">
        <v>410</v>
      </c>
      <c r="C229" s="740"/>
      <c r="D229" s="740"/>
      <c r="E229" s="741"/>
      <c r="F229" s="380">
        <f>8.55*X2</f>
        <v>9268.2000000000007</v>
      </c>
      <c r="G229" s="288">
        <f t="shared" si="491"/>
        <v>9268.2000000000007</v>
      </c>
      <c r="H229" s="286"/>
      <c r="I229" s="343"/>
      <c r="J229" s="458">
        <f t="shared" si="477"/>
        <v>9448.2000000000007</v>
      </c>
      <c r="K229" s="288">
        <f t="shared" si="478"/>
        <v>9448.2000000000007</v>
      </c>
      <c r="L229" s="458">
        <f t="shared" si="479"/>
        <v>9388.2000000000007</v>
      </c>
      <c r="M229" s="288">
        <f t="shared" si="480"/>
        <v>9388.2000000000007</v>
      </c>
      <c r="N229" s="458">
        <f t="shared" si="481"/>
        <v>9331.2000000000007</v>
      </c>
      <c r="O229" s="288">
        <f t="shared" si="482"/>
        <v>9331.2000000000007</v>
      </c>
      <c r="P229" s="458">
        <f t="shared" si="483"/>
        <v>9322.2000000000007</v>
      </c>
      <c r="Q229" s="288">
        <f t="shared" si="484"/>
        <v>9322.2000000000007</v>
      </c>
      <c r="R229" s="458">
        <f t="shared" si="485"/>
        <v>9313.2000000000007</v>
      </c>
      <c r="S229" s="288">
        <f t="shared" si="486"/>
        <v>9313.2000000000007</v>
      </c>
      <c r="T229" s="102">
        <f t="shared" si="487"/>
        <v>9305.2000000000007</v>
      </c>
      <c r="U229" s="305">
        <f t="shared" si="488"/>
        <v>9305.2000000000007</v>
      </c>
      <c r="V229" s="102">
        <f t="shared" si="489"/>
        <v>9300.2000000000007</v>
      </c>
      <c r="W229" s="305">
        <f t="shared" si="490"/>
        <v>9300.2000000000007</v>
      </c>
      <c r="X229" s="147"/>
      <c r="Y229" s="156"/>
      <c r="Z229" s="147"/>
      <c r="AA229" s="147"/>
      <c r="AB229" s="192">
        <v>630</v>
      </c>
    </row>
    <row r="230" spans="1:34" ht="12.6" customHeight="1" x14ac:dyDescent="0.2">
      <c r="A230" s="21"/>
      <c r="B230" s="1225" t="s">
        <v>537</v>
      </c>
      <c r="C230" s="1226"/>
      <c r="D230" s="1226"/>
      <c r="E230" s="1227"/>
      <c r="F230" s="549">
        <f>0.96*X2</f>
        <v>1040.6399999999999</v>
      </c>
      <c r="G230" s="629">
        <f t="shared" ref="G230" si="492">+F230*$X$1</f>
        <v>1040.6399999999999</v>
      </c>
      <c r="H230" s="580"/>
      <c r="I230" s="581"/>
      <c r="J230" s="579">
        <f t="shared" si="477"/>
        <v>1220.6399999999999</v>
      </c>
      <c r="K230" s="544">
        <f t="shared" si="478"/>
        <v>1220.6399999999999</v>
      </c>
      <c r="L230" s="579">
        <f t="shared" si="479"/>
        <v>1160.6399999999999</v>
      </c>
      <c r="M230" s="544">
        <f t="shared" si="480"/>
        <v>1160.6399999999999</v>
      </c>
      <c r="N230" s="579">
        <f t="shared" si="481"/>
        <v>1103.6399999999999</v>
      </c>
      <c r="O230" s="544">
        <f t="shared" si="482"/>
        <v>1103.6399999999999</v>
      </c>
      <c r="P230" s="579">
        <f t="shared" si="483"/>
        <v>1094.6399999999999</v>
      </c>
      <c r="Q230" s="544">
        <f t="shared" si="484"/>
        <v>1094.6399999999999</v>
      </c>
      <c r="R230" s="579">
        <f t="shared" si="485"/>
        <v>1085.6399999999999</v>
      </c>
      <c r="S230" s="544">
        <f t="shared" si="486"/>
        <v>1085.6399999999999</v>
      </c>
      <c r="T230" s="556">
        <f t="shared" si="487"/>
        <v>1077.6399999999999</v>
      </c>
      <c r="U230" s="555">
        <f t="shared" si="488"/>
        <v>1077.6399999999999</v>
      </c>
      <c r="V230" s="556">
        <f t="shared" si="489"/>
        <v>1072.6399999999999</v>
      </c>
      <c r="W230" s="555">
        <f t="shared" si="490"/>
        <v>1072.6399999999999</v>
      </c>
      <c r="X230" s="147"/>
      <c r="Y230" s="156"/>
      <c r="Z230" s="147"/>
      <c r="AA230" s="147"/>
      <c r="AB230" s="192">
        <v>631</v>
      </c>
    </row>
    <row r="231" spans="1:34" ht="12.6" customHeight="1" x14ac:dyDescent="0.2">
      <c r="A231" s="21"/>
      <c r="B231" s="679" t="s">
        <v>916</v>
      </c>
      <c r="C231" s="680"/>
      <c r="D231" s="680"/>
      <c r="E231" s="681"/>
      <c r="F231" s="380">
        <f>2.69*X2</f>
        <v>2915.96</v>
      </c>
      <c r="G231" s="290">
        <f t="shared" ref="G231" si="493">+F231*$X$1</f>
        <v>2915.96</v>
      </c>
      <c r="H231" s="286"/>
      <c r="I231" s="350"/>
      <c r="J231" s="458">
        <f t="shared" ref="J231" si="494">F231+180</f>
        <v>3095.96</v>
      </c>
      <c r="K231" s="288">
        <f t="shared" ref="K231" si="495">+J231*$X$1</f>
        <v>3095.96</v>
      </c>
      <c r="L231" s="458">
        <f t="shared" ref="L231" si="496">F231+120</f>
        <v>3035.96</v>
      </c>
      <c r="M231" s="288">
        <f t="shared" ref="M231" si="497">+L231*$X$1</f>
        <v>3035.96</v>
      </c>
      <c r="N231" s="458">
        <f t="shared" ref="N231" si="498">F231+63</f>
        <v>2978.96</v>
      </c>
      <c r="O231" s="288">
        <f t="shared" ref="O231" si="499">+N231*$X$1</f>
        <v>2978.96</v>
      </c>
      <c r="P231" s="458">
        <f t="shared" ref="P231" si="500">F231+54</f>
        <v>2969.96</v>
      </c>
      <c r="Q231" s="288">
        <f t="shared" ref="Q231" si="501">+P231*$X$1</f>
        <v>2969.96</v>
      </c>
      <c r="R231" s="458">
        <f t="shared" ref="R231" si="502">F231+45</f>
        <v>2960.96</v>
      </c>
      <c r="S231" s="288">
        <f t="shared" ref="S231" si="503">+R231*$X$1</f>
        <v>2960.96</v>
      </c>
      <c r="T231" s="102">
        <f t="shared" ref="T231" si="504">F231+37</f>
        <v>2952.96</v>
      </c>
      <c r="U231" s="305">
        <f t="shared" ref="U231" si="505">+T231*$X$1</f>
        <v>2952.96</v>
      </c>
      <c r="V231" s="102">
        <f t="shared" ref="V231" si="506">F231+32</f>
        <v>2947.96</v>
      </c>
      <c r="W231" s="305">
        <f t="shared" ref="W231" si="507">+V231*$X$1</f>
        <v>2947.96</v>
      </c>
      <c r="X231" s="147"/>
      <c r="Y231" s="156"/>
      <c r="Z231" s="147"/>
      <c r="AA231" s="147"/>
      <c r="AB231" s="192">
        <v>633</v>
      </c>
    </row>
    <row r="232" spans="1:34" ht="12.6" customHeight="1" x14ac:dyDescent="0.2">
      <c r="A232" s="21"/>
      <c r="B232" s="732" t="s">
        <v>502</v>
      </c>
      <c r="C232" s="733"/>
      <c r="D232" s="733"/>
      <c r="E232" s="734"/>
      <c r="F232" s="379">
        <f>1.352*X2</f>
        <v>1465.5680000000002</v>
      </c>
      <c r="G232" s="289">
        <f t="shared" si="491"/>
        <v>1465.5680000000002</v>
      </c>
      <c r="H232" s="318"/>
      <c r="I232" s="349"/>
      <c r="J232" s="652">
        <f t="shared" si="477"/>
        <v>1645.5680000000002</v>
      </c>
      <c r="K232" s="287">
        <f t="shared" si="478"/>
        <v>1645.5680000000002</v>
      </c>
      <c r="L232" s="652">
        <f t="shared" si="479"/>
        <v>1585.5680000000002</v>
      </c>
      <c r="M232" s="287">
        <f t="shared" si="480"/>
        <v>1585.5680000000002</v>
      </c>
      <c r="N232" s="652">
        <f t="shared" si="481"/>
        <v>1528.5680000000002</v>
      </c>
      <c r="O232" s="287">
        <f t="shared" si="482"/>
        <v>1528.5680000000002</v>
      </c>
      <c r="P232" s="652">
        <f t="shared" si="483"/>
        <v>1519.5680000000002</v>
      </c>
      <c r="Q232" s="287">
        <f t="shared" si="484"/>
        <v>1519.5680000000002</v>
      </c>
      <c r="R232" s="652">
        <f t="shared" si="485"/>
        <v>1510.5680000000002</v>
      </c>
      <c r="S232" s="287">
        <f t="shared" si="486"/>
        <v>1510.5680000000002</v>
      </c>
      <c r="T232" s="103">
        <f t="shared" si="487"/>
        <v>1502.5680000000002</v>
      </c>
      <c r="U232" s="255">
        <f t="shared" si="488"/>
        <v>1502.5680000000002</v>
      </c>
      <c r="V232" s="103">
        <f t="shared" si="489"/>
        <v>1497.5680000000002</v>
      </c>
      <c r="W232" s="255">
        <f t="shared" si="490"/>
        <v>1497.5680000000002</v>
      </c>
      <c r="X232" s="147"/>
      <c r="Y232" s="156"/>
      <c r="Z232" s="147"/>
      <c r="AA232" s="147"/>
      <c r="AB232" s="192">
        <v>640</v>
      </c>
    </row>
    <row r="233" spans="1:34" ht="12.6" customHeight="1" x14ac:dyDescent="0.2">
      <c r="A233" s="18"/>
      <c r="B233" s="692" t="s">
        <v>199</v>
      </c>
      <c r="C233" s="693"/>
      <c r="D233" s="693"/>
      <c r="E233" s="693"/>
      <c r="F233" s="380">
        <f>2.7*X2</f>
        <v>2926.8</v>
      </c>
      <c r="G233" s="288">
        <f t="shared" si="491"/>
        <v>2926.8</v>
      </c>
      <c r="H233" s="89">
        <f t="shared" ref="H233" si="508">F233+400</f>
        <v>3326.8</v>
      </c>
      <c r="I233" s="288">
        <f t="shared" ref="I233" si="509">+H233*$X$1</f>
        <v>3326.8</v>
      </c>
      <c r="J233" s="458">
        <f t="shared" ref="J233" si="510">F233+170</f>
        <v>3096.8</v>
      </c>
      <c r="K233" s="288">
        <f t="shared" ref="K233" si="511">+J233*$X$1</f>
        <v>3096.8</v>
      </c>
      <c r="L233" s="458">
        <f t="shared" ref="L233" si="512">F233+130</f>
        <v>3056.8</v>
      </c>
      <c r="M233" s="288">
        <f t="shared" ref="M233" si="513">+L233*$X$1</f>
        <v>3056.8</v>
      </c>
      <c r="N233" s="458">
        <f t="shared" ref="N233" si="514">F233+100</f>
        <v>3026.8</v>
      </c>
      <c r="O233" s="288">
        <f t="shared" ref="O233" si="515">+N233*$X$1</f>
        <v>3026.8</v>
      </c>
      <c r="P233" s="458">
        <f t="shared" ref="P233" si="516">F233+80</f>
        <v>3006.8</v>
      </c>
      <c r="Q233" s="288">
        <f t="shared" ref="Q233" si="517">+P233*$X$1</f>
        <v>3006.8</v>
      </c>
      <c r="R233" s="458">
        <f t="shared" ref="R233" si="518">F233+74</f>
        <v>3000.8</v>
      </c>
      <c r="S233" s="288">
        <f t="shared" ref="S233" si="519">+R233*$X$1</f>
        <v>3000.8</v>
      </c>
      <c r="T233" s="458">
        <f t="shared" ref="T233" si="520">F233+67</f>
        <v>2993.8</v>
      </c>
      <c r="U233" s="288">
        <f t="shared" ref="U233" si="521">+T233*$X$1</f>
        <v>2993.8</v>
      </c>
      <c r="V233" s="458">
        <f t="shared" ref="V233" si="522">F233+55</f>
        <v>2981.8</v>
      </c>
      <c r="W233" s="288">
        <f t="shared" ref="W233" si="523">+V233*$X$1</f>
        <v>2981.8</v>
      </c>
      <c r="X233" s="727"/>
      <c r="Y233" s="799"/>
      <c r="Z233" s="799"/>
      <c r="AA233" s="728"/>
      <c r="AB233" s="192">
        <v>705</v>
      </c>
    </row>
    <row r="234" spans="1:34" ht="12.6" customHeight="1" x14ac:dyDescent="0.2">
      <c r="A234" s="18"/>
      <c r="B234" s="677" t="s">
        <v>514</v>
      </c>
      <c r="C234" s="678"/>
      <c r="D234" s="678"/>
      <c r="E234" s="678"/>
      <c r="F234" s="287">
        <v>9800</v>
      </c>
      <c r="G234" s="287">
        <f t="shared" ref="G234" si="524">+F234*$X$1</f>
        <v>9800</v>
      </c>
      <c r="H234" s="652">
        <f t="shared" ref="H234:H235" si="525">F234+500</f>
        <v>10300</v>
      </c>
      <c r="I234" s="287">
        <f t="shared" ref="I234" si="526">+H234*$X$1</f>
        <v>10300</v>
      </c>
      <c r="J234" s="652">
        <f t="shared" ref="J234:J235" si="527">F234+220</f>
        <v>10020</v>
      </c>
      <c r="K234" s="287">
        <f t="shared" ref="K234" si="528">+J234*$X$1</f>
        <v>10020</v>
      </c>
      <c r="L234" s="652">
        <f t="shared" ref="L234:L235" si="529">F234+170</f>
        <v>9970</v>
      </c>
      <c r="M234" s="287">
        <f t="shared" ref="M234" si="530">+L234*$X$1</f>
        <v>9970</v>
      </c>
      <c r="N234" s="652">
        <f t="shared" ref="N234:N235" si="531">F234+145</f>
        <v>9945</v>
      </c>
      <c r="O234" s="287">
        <f t="shared" ref="O234" si="532">+N234*$X$1</f>
        <v>9945</v>
      </c>
      <c r="P234" s="652">
        <f t="shared" ref="P234:P235" si="533">F234+130</f>
        <v>9930</v>
      </c>
      <c r="Q234" s="287">
        <f t="shared" ref="Q234" si="534">+P234*$X$1</f>
        <v>9930</v>
      </c>
      <c r="R234" s="652">
        <f t="shared" ref="R234:R235" si="535">F234+110</f>
        <v>9910</v>
      </c>
      <c r="S234" s="287">
        <f t="shared" ref="S234" si="536">+R234*$X$1</f>
        <v>9910</v>
      </c>
      <c r="T234" s="103">
        <f t="shared" ref="T234:T235" si="537">F234+95</f>
        <v>9895</v>
      </c>
      <c r="U234" s="255">
        <f t="shared" ref="U234" si="538">+T234*$X$1</f>
        <v>9895</v>
      </c>
      <c r="V234" s="103">
        <f t="shared" ref="V234:V235" si="539">F234+80</f>
        <v>9880</v>
      </c>
      <c r="W234" s="255">
        <f t="shared" ref="W234" si="540">+V234*$X$1</f>
        <v>9880</v>
      </c>
      <c r="X234" s="687"/>
      <c r="Y234" s="688"/>
      <c r="Z234" s="688"/>
      <c r="AA234" s="689"/>
      <c r="AB234" s="192">
        <v>815</v>
      </c>
    </row>
    <row r="235" spans="1:34" ht="12.6" customHeight="1" x14ac:dyDescent="0.2">
      <c r="A235" s="18"/>
      <c r="B235" s="673" t="s">
        <v>949</v>
      </c>
      <c r="C235" s="698"/>
      <c r="D235" s="698"/>
      <c r="E235" s="698"/>
      <c r="F235" s="380">
        <f>32.25*X2</f>
        <v>34959</v>
      </c>
      <c r="G235" s="288">
        <f>+F235*$X$1</f>
        <v>34959</v>
      </c>
      <c r="H235" s="458">
        <f t="shared" si="525"/>
        <v>35459</v>
      </c>
      <c r="I235" s="288">
        <f t="shared" ref="I235" si="541">+H235*$X$1</f>
        <v>35459</v>
      </c>
      <c r="J235" s="458">
        <f t="shared" si="527"/>
        <v>35179</v>
      </c>
      <c r="K235" s="288">
        <f t="shared" ref="K235" si="542">+J235*$X$1</f>
        <v>35179</v>
      </c>
      <c r="L235" s="458">
        <f t="shared" si="529"/>
        <v>35129</v>
      </c>
      <c r="M235" s="288">
        <f t="shared" ref="M235" si="543">+L235*$X$1</f>
        <v>35129</v>
      </c>
      <c r="N235" s="458">
        <f t="shared" si="531"/>
        <v>35104</v>
      </c>
      <c r="O235" s="288">
        <f t="shared" ref="O235" si="544">+N235*$X$1</f>
        <v>35104</v>
      </c>
      <c r="P235" s="458">
        <f t="shared" si="533"/>
        <v>35089</v>
      </c>
      <c r="Q235" s="288">
        <f t="shared" ref="Q235" si="545">+P235*$X$1</f>
        <v>35089</v>
      </c>
      <c r="R235" s="458">
        <f t="shared" si="535"/>
        <v>35069</v>
      </c>
      <c r="S235" s="288">
        <f t="shared" ref="S235" si="546">+R235*$X$1</f>
        <v>35069</v>
      </c>
      <c r="T235" s="102">
        <f t="shared" si="537"/>
        <v>35054</v>
      </c>
      <c r="U235" s="305">
        <f t="shared" ref="U235" si="547">+T235*$X$1</f>
        <v>35054</v>
      </c>
      <c r="V235" s="102">
        <f t="shared" si="539"/>
        <v>35039</v>
      </c>
      <c r="W235" s="305">
        <f t="shared" ref="W235" si="548">+V235*$X$1</f>
        <v>35039</v>
      </c>
      <c r="X235" s="687"/>
      <c r="Y235" s="688"/>
      <c r="Z235" s="688"/>
      <c r="AA235" s="689"/>
      <c r="AB235" s="192">
        <v>817</v>
      </c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66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AB236" s="99"/>
    </row>
    <row r="237" spans="1:34" ht="12" customHeight="1" x14ac:dyDescent="0.2">
      <c r="A237" s="18"/>
      <c r="B237" s="3"/>
      <c r="C237" s="3"/>
      <c r="D237" s="3"/>
      <c r="E237" s="3"/>
      <c r="F237" s="4"/>
      <c r="G237" s="4"/>
      <c r="H237" s="3"/>
      <c r="I237" s="3"/>
      <c r="J237" s="3"/>
      <c r="K237" s="166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AB237" s="4"/>
    </row>
    <row r="238" spans="1:34" ht="12.6" customHeight="1" x14ac:dyDescent="0.2">
      <c r="A238" s="18"/>
      <c r="B238" s="3"/>
      <c r="C238" s="3"/>
      <c r="D238" s="3"/>
      <c r="E238" s="75"/>
      <c r="F238" s="1044"/>
      <c r="G238" s="1044"/>
      <c r="H238" s="1044"/>
      <c r="I238" s="1044"/>
      <c r="J238" s="1044"/>
      <c r="K238" s="276"/>
      <c r="L238" s="275"/>
      <c r="M238" s="275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AB238" s="4"/>
    </row>
    <row r="239" spans="1:34" ht="15.75" customHeight="1" x14ac:dyDescent="0.2">
      <c r="A239" s="18"/>
      <c r="B239" s="1043" t="s">
        <v>11</v>
      </c>
      <c r="C239" s="1045" t="s">
        <v>12</v>
      </c>
      <c r="D239" s="1046"/>
      <c r="E239" s="1046"/>
      <c r="F239" s="754" t="s">
        <v>13</v>
      </c>
      <c r="G239" s="754" t="s">
        <v>13</v>
      </c>
      <c r="H239" s="738" t="s">
        <v>809</v>
      </c>
      <c r="I239" s="738"/>
      <c r="J239" s="739"/>
      <c r="K239" s="739"/>
      <c r="L239" s="739"/>
      <c r="M239" s="739"/>
      <c r="N239" s="739"/>
      <c r="O239" s="739"/>
      <c r="P239" s="739"/>
      <c r="Q239" s="739"/>
      <c r="R239" s="739"/>
      <c r="S239" s="739"/>
      <c r="T239" s="739"/>
      <c r="U239" s="739"/>
      <c r="V239" s="739"/>
      <c r="W239" s="739"/>
      <c r="X239" s="715" t="s">
        <v>14</v>
      </c>
      <c r="Y239" s="716"/>
      <c r="Z239" s="716"/>
      <c r="AA239" s="717"/>
      <c r="AB239" s="721" t="s">
        <v>15</v>
      </c>
      <c r="AF239" s="703" t="s">
        <v>3</v>
      </c>
      <c r="AG239" s="704"/>
      <c r="AH239" s="704"/>
    </row>
    <row r="240" spans="1:34" ht="11.25" customHeight="1" x14ac:dyDescent="0.2">
      <c r="A240" s="18"/>
      <c r="B240" s="1043"/>
      <c r="C240" s="1046"/>
      <c r="D240" s="1046"/>
      <c r="E240" s="1046"/>
      <c r="F240" s="755"/>
      <c r="G240" s="755"/>
      <c r="H240" s="480"/>
      <c r="I240" s="472" t="s">
        <v>289</v>
      </c>
      <c r="J240" s="474"/>
      <c r="K240" s="472" t="s">
        <v>17</v>
      </c>
      <c r="L240" s="475"/>
      <c r="M240" s="475" t="s">
        <v>18</v>
      </c>
      <c r="N240" s="475"/>
      <c r="O240" s="472" t="s">
        <v>19</v>
      </c>
      <c r="P240" s="475"/>
      <c r="Q240" s="475" t="s">
        <v>291</v>
      </c>
      <c r="R240" s="475"/>
      <c r="S240" s="475" t="s">
        <v>20</v>
      </c>
      <c r="T240" s="475"/>
      <c r="U240" s="475" t="s">
        <v>21</v>
      </c>
      <c r="V240" s="475"/>
      <c r="W240" s="475" t="s">
        <v>22</v>
      </c>
      <c r="X240" s="718"/>
      <c r="Y240" s="719"/>
      <c r="Z240" s="719"/>
      <c r="AA240" s="720"/>
      <c r="AB240" s="691"/>
    </row>
    <row r="241" spans="1:28" ht="12.6" customHeight="1" x14ac:dyDescent="0.2">
      <c r="A241" s="18"/>
      <c r="B241" s="673" t="s">
        <v>950</v>
      </c>
      <c r="C241" s="698"/>
      <c r="D241" s="698"/>
      <c r="E241" s="698"/>
      <c r="F241" s="379">
        <f>16.04*X2</f>
        <v>17387.36</v>
      </c>
      <c r="G241" s="287">
        <f>+F241*$X$1</f>
        <v>17387.36</v>
      </c>
      <c r="H241" s="652">
        <f t="shared" ref="H241" si="549">F241+500</f>
        <v>17887.36</v>
      </c>
      <c r="I241" s="287">
        <f>+H241*$X$1</f>
        <v>17887.36</v>
      </c>
      <c r="J241" s="652">
        <f t="shared" ref="J241" si="550">F241+220</f>
        <v>17607.36</v>
      </c>
      <c r="K241" s="287">
        <f>+J241*$X$1</f>
        <v>17607.36</v>
      </c>
      <c r="L241" s="652">
        <f t="shared" ref="L241" si="551">F241+170</f>
        <v>17557.36</v>
      </c>
      <c r="M241" s="287">
        <f>+L241*$X$1</f>
        <v>17557.36</v>
      </c>
      <c r="N241" s="652">
        <f t="shared" ref="N241" si="552">F241+145</f>
        <v>17532.36</v>
      </c>
      <c r="O241" s="287">
        <f>+N241*$X$1</f>
        <v>17532.36</v>
      </c>
      <c r="P241" s="652">
        <f t="shared" ref="P241" si="553">F241+130</f>
        <v>17517.36</v>
      </c>
      <c r="Q241" s="287">
        <f>+P241*$X$1</f>
        <v>17517.36</v>
      </c>
      <c r="R241" s="652">
        <f t="shared" ref="R241" si="554">F241+110</f>
        <v>17497.36</v>
      </c>
      <c r="S241" s="287">
        <f>+R241*$X$1</f>
        <v>17497.36</v>
      </c>
      <c r="T241" s="103">
        <f t="shared" ref="T241" si="555">F241+95</f>
        <v>17482.36</v>
      </c>
      <c r="U241" s="255">
        <f>+T241*$X$1</f>
        <v>17482.36</v>
      </c>
      <c r="V241" s="103">
        <f t="shared" ref="V241" si="556">F241+80</f>
        <v>17467.36</v>
      </c>
      <c r="W241" s="255">
        <f>+V241*$X$1</f>
        <v>17467.36</v>
      </c>
      <c r="X241" s="687"/>
      <c r="Y241" s="688"/>
      <c r="Z241" s="688"/>
      <c r="AA241" s="689"/>
      <c r="AB241" s="192">
        <v>818</v>
      </c>
    </row>
    <row r="242" spans="1:28" ht="12.6" customHeight="1" x14ac:dyDescent="0.2">
      <c r="A242" s="18"/>
      <c r="B242" s="692" t="s">
        <v>513</v>
      </c>
      <c r="C242" s="693"/>
      <c r="D242" s="693"/>
      <c r="E242" s="693"/>
      <c r="F242" s="288">
        <v>13990</v>
      </c>
      <c r="G242" s="288">
        <f t="shared" ref="G242" si="557">+F242*$X$1</f>
        <v>13990</v>
      </c>
      <c r="H242" s="458">
        <f>F242+500</f>
        <v>14490</v>
      </c>
      <c r="I242" s="288">
        <f t="shared" ref="I242:I244" si="558">+H242*$X$1</f>
        <v>14490</v>
      </c>
      <c r="J242" s="458">
        <f>F242+220</f>
        <v>14210</v>
      </c>
      <c r="K242" s="288">
        <f t="shared" ref="K242:K244" si="559">+J242*$X$1</f>
        <v>14210</v>
      </c>
      <c r="L242" s="458">
        <f>F242+170</f>
        <v>14160</v>
      </c>
      <c r="M242" s="288">
        <f t="shared" ref="M242:M244" si="560">+L242*$X$1</f>
        <v>14160</v>
      </c>
      <c r="N242" s="458">
        <f>F242+145</f>
        <v>14135</v>
      </c>
      <c r="O242" s="288">
        <f t="shared" ref="O242:O244" si="561">+N242*$X$1</f>
        <v>14135</v>
      </c>
      <c r="P242" s="458">
        <f>F242+130</f>
        <v>14120</v>
      </c>
      <c r="Q242" s="288">
        <f t="shared" ref="Q242:Q244" si="562">+P242*$X$1</f>
        <v>14120</v>
      </c>
      <c r="R242" s="458">
        <f>F242+110</f>
        <v>14100</v>
      </c>
      <c r="S242" s="288">
        <f t="shared" ref="S242:S244" si="563">+R242*$X$1</f>
        <v>14100</v>
      </c>
      <c r="T242" s="102">
        <f>F242+95</f>
        <v>14085</v>
      </c>
      <c r="U242" s="305">
        <f t="shared" ref="U242:U244" si="564">+T242*$X$1</f>
        <v>14085</v>
      </c>
      <c r="V242" s="102">
        <f>F242+80</f>
        <v>14070</v>
      </c>
      <c r="W242" s="305">
        <f t="shared" ref="W242:W244" si="565">+V242*$X$1</f>
        <v>14070</v>
      </c>
      <c r="X242" s="687"/>
      <c r="Y242" s="688"/>
      <c r="Z242" s="688"/>
      <c r="AA242" s="689"/>
      <c r="AB242" s="192">
        <v>819</v>
      </c>
    </row>
    <row r="243" spans="1:28" ht="12.6" customHeight="1" x14ac:dyDescent="0.2">
      <c r="A243" s="18"/>
      <c r="B243" s="677" t="s">
        <v>698</v>
      </c>
      <c r="C243" s="678"/>
      <c r="D243" s="678"/>
      <c r="E243" s="678"/>
      <c r="F243" s="379">
        <f>4.7*X2</f>
        <v>5094.8</v>
      </c>
      <c r="G243" s="287">
        <f>+F243*$X$1</f>
        <v>5094.8</v>
      </c>
      <c r="H243" s="652">
        <f>F243+500</f>
        <v>5594.8</v>
      </c>
      <c r="I243" s="287">
        <f t="shared" si="558"/>
        <v>5594.8</v>
      </c>
      <c r="J243" s="652">
        <f>F243+220</f>
        <v>5314.8</v>
      </c>
      <c r="K243" s="287">
        <f t="shared" si="559"/>
        <v>5314.8</v>
      </c>
      <c r="L243" s="652">
        <f>F243+170</f>
        <v>5264.8</v>
      </c>
      <c r="M243" s="287">
        <f t="shared" si="560"/>
        <v>5264.8</v>
      </c>
      <c r="N243" s="652">
        <f>F243+145</f>
        <v>5239.8</v>
      </c>
      <c r="O243" s="287">
        <f t="shared" si="561"/>
        <v>5239.8</v>
      </c>
      <c r="P243" s="652">
        <f>F243+130</f>
        <v>5224.8</v>
      </c>
      <c r="Q243" s="287">
        <f t="shared" si="562"/>
        <v>5224.8</v>
      </c>
      <c r="R243" s="652">
        <f>F243+110</f>
        <v>5204.8</v>
      </c>
      <c r="S243" s="287">
        <f t="shared" si="563"/>
        <v>5204.8</v>
      </c>
      <c r="T243" s="103">
        <f>F243+95</f>
        <v>5189.8</v>
      </c>
      <c r="U243" s="255">
        <f t="shared" si="564"/>
        <v>5189.8</v>
      </c>
      <c r="V243" s="103">
        <f>F243+80</f>
        <v>5174.8</v>
      </c>
      <c r="W243" s="255">
        <f t="shared" si="565"/>
        <v>5174.8</v>
      </c>
      <c r="X243" s="687"/>
      <c r="Y243" s="688"/>
      <c r="Z243" s="688"/>
      <c r="AA243" s="689"/>
      <c r="AB243" s="192">
        <v>821</v>
      </c>
    </row>
    <row r="244" spans="1:28" ht="12.6" customHeight="1" x14ac:dyDescent="0.2">
      <c r="A244" s="18"/>
      <c r="B244" s="673" t="s">
        <v>897</v>
      </c>
      <c r="C244" s="674"/>
      <c r="D244" s="674"/>
      <c r="E244" s="674"/>
      <c r="F244" s="380">
        <f>12*X2</f>
        <v>13008</v>
      </c>
      <c r="G244" s="288">
        <f t="shared" ref="G244" si="566">+F244*$X$1</f>
        <v>13008</v>
      </c>
      <c r="H244" s="458">
        <f>F244+500</f>
        <v>13508</v>
      </c>
      <c r="I244" s="288">
        <f t="shared" si="558"/>
        <v>13508</v>
      </c>
      <c r="J244" s="458">
        <f>F244+220</f>
        <v>13228</v>
      </c>
      <c r="K244" s="288">
        <f t="shared" si="559"/>
        <v>13228</v>
      </c>
      <c r="L244" s="458">
        <f>F244+170</f>
        <v>13178</v>
      </c>
      <c r="M244" s="288">
        <f t="shared" si="560"/>
        <v>13178</v>
      </c>
      <c r="N244" s="458">
        <f>F244+145</f>
        <v>13153</v>
      </c>
      <c r="O244" s="288">
        <f t="shared" si="561"/>
        <v>13153</v>
      </c>
      <c r="P244" s="458">
        <f>F244+130</f>
        <v>13138</v>
      </c>
      <c r="Q244" s="288">
        <f t="shared" si="562"/>
        <v>13138</v>
      </c>
      <c r="R244" s="458">
        <f>F244+110</f>
        <v>13118</v>
      </c>
      <c r="S244" s="288">
        <f t="shared" si="563"/>
        <v>13118</v>
      </c>
      <c r="T244" s="102">
        <f>F244+95</f>
        <v>13103</v>
      </c>
      <c r="U244" s="305">
        <f t="shared" si="564"/>
        <v>13103</v>
      </c>
      <c r="V244" s="102">
        <f>F244+80</f>
        <v>13088</v>
      </c>
      <c r="W244" s="305">
        <f t="shared" si="565"/>
        <v>13088</v>
      </c>
      <c r="X244" s="687"/>
      <c r="Y244" s="688"/>
      <c r="Z244" s="688"/>
      <c r="AA244" s="689"/>
      <c r="AB244" s="192">
        <v>822</v>
      </c>
    </row>
    <row r="245" spans="1:28" ht="12.6" customHeight="1" x14ac:dyDescent="0.2">
      <c r="A245" s="18"/>
      <c r="B245" s="677" t="s">
        <v>509</v>
      </c>
      <c r="C245" s="678"/>
      <c r="D245" s="678"/>
      <c r="E245" s="678"/>
      <c r="F245" s="287">
        <v>12995</v>
      </c>
      <c r="G245" s="287">
        <f>+F245*$X$1</f>
        <v>12995</v>
      </c>
      <c r="H245" s="652">
        <f>F245+500</f>
        <v>13495</v>
      </c>
      <c r="I245" s="287">
        <f>+H245*$X$1</f>
        <v>13495</v>
      </c>
      <c r="J245" s="652">
        <f>F245+220</f>
        <v>13215</v>
      </c>
      <c r="K245" s="287">
        <f>+J245*$X$1</f>
        <v>13215</v>
      </c>
      <c r="L245" s="652">
        <f>F245+170</f>
        <v>13165</v>
      </c>
      <c r="M245" s="287">
        <f>+L245*$X$1</f>
        <v>13165</v>
      </c>
      <c r="N245" s="652">
        <f>F245+145</f>
        <v>13140</v>
      </c>
      <c r="O245" s="287">
        <f>+N245*$X$1</f>
        <v>13140</v>
      </c>
      <c r="P245" s="652">
        <f>F245+130</f>
        <v>13125</v>
      </c>
      <c r="Q245" s="287">
        <f>+P245*$X$1</f>
        <v>13125</v>
      </c>
      <c r="R245" s="652">
        <f>F245+110</f>
        <v>13105</v>
      </c>
      <c r="S245" s="287">
        <f>+R245*$X$1</f>
        <v>13105</v>
      </c>
      <c r="T245" s="103">
        <f>F245+95</f>
        <v>13090</v>
      </c>
      <c r="U245" s="255">
        <f>+T245*$X$1</f>
        <v>13090</v>
      </c>
      <c r="V245" s="103">
        <f>F245+80</f>
        <v>13075</v>
      </c>
      <c r="W245" s="255">
        <f>+V245*$X$1</f>
        <v>13075</v>
      </c>
      <c r="X245" s="687"/>
      <c r="Y245" s="688"/>
      <c r="Z245" s="688"/>
      <c r="AA245" s="689"/>
      <c r="AB245" s="192">
        <v>823</v>
      </c>
    </row>
    <row r="246" spans="1:28" ht="12.6" customHeight="1" x14ac:dyDescent="0.2">
      <c r="A246" s="18"/>
      <c r="B246" s="673" t="s">
        <v>908</v>
      </c>
      <c r="C246" s="674"/>
      <c r="D246" s="674"/>
      <c r="E246" s="674"/>
      <c r="F246" s="380">
        <f>3.45*X2</f>
        <v>3739.8</v>
      </c>
      <c r="G246" s="288">
        <f t="shared" ref="G246" si="567">+F246*$X$1</f>
        <v>3739.8</v>
      </c>
      <c r="H246" s="458">
        <f t="shared" ref="H246" si="568">F246+500</f>
        <v>4239.8</v>
      </c>
      <c r="I246" s="288">
        <f t="shared" ref="I246" si="569">+H246*$X$1</f>
        <v>4239.8</v>
      </c>
      <c r="J246" s="458">
        <f t="shared" ref="J246" si="570">F246+220</f>
        <v>3959.8</v>
      </c>
      <c r="K246" s="288">
        <f t="shared" ref="K246" si="571">+J246*$X$1</f>
        <v>3959.8</v>
      </c>
      <c r="L246" s="458">
        <f t="shared" ref="L246" si="572">F246+170</f>
        <v>3909.8</v>
      </c>
      <c r="M246" s="288">
        <f t="shared" ref="M246" si="573">+L246*$X$1</f>
        <v>3909.8</v>
      </c>
      <c r="N246" s="458">
        <f t="shared" ref="N246" si="574">F246+145</f>
        <v>3884.8</v>
      </c>
      <c r="O246" s="288">
        <f t="shared" ref="O246" si="575">+N246*$X$1</f>
        <v>3884.8</v>
      </c>
      <c r="P246" s="458">
        <f t="shared" ref="P246" si="576">F246+130</f>
        <v>3869.8</v>
      </c>
      <c r="Q246" s="288">
        <f t="shared" ref="Q246" si="577">+P246*$X$1</f>
        <v>3869.8</v>
      </c>
      <c r="R246" s="458">
        <f t="shared" ref="R246" si="578">F246+110</f>
        <v>3849.8</v>
      </c>
      <c r="S246" s="288">
        <f t="shared" ref="S246" si="579">+R246*$X$1</f>
        <v>3849.8</v>
      </c>
      <c r="T246" s="102">
        <f t="shared" ref="T246" si="580">F246+95</f>
        <v>3834.8</v>
      </c>
      <c r="U246" s="305">
        <f t="shared" ref="U246" si="581">+T246*$X$1</f>
        <v>3834.8</v>
      </c>
      <c r="V246" s="102">
        <f t="shared" ref="V246" si="582">F246+80</f>
        <v>3819.8</v>
      </c>
      <c r="W246" s="305">
        <f t="shared" ref="W246" si="583">+V246*$X$1</f>
        <v>3819.8</v>
      </c>
      <c r="X246" s="687"/>
      <c r="Y246" s="688"/>
      <c r="Z246" s="688"/>
      <c r="AA246" s="689"/>
      <c r="AB246" s="192">
        <v>824</v>
      </c>
    </row>
    <row r="247" spans="1:28" ht="12.6" customHeight="1" x14ac:dyDescent="0.2">
      <c r="A247" s="18"/>
      <c r="B247" s="677" t="s">
        <v>840</v>
      </c>
      <c r="C247" s="678"/>
      <c r="D247" s="678"/>
      <c r="E247" s="678"/>
      <c r="F247" s="379">
        <f>3.4*X2</f>
        <v>3685.6</v>
      </c>
      <c r="G247" s="287">
        <f>+F247*$X$1</f>
        <v>3685.6</v>
      </c>
      <c r="H247" s="652">
        <f>F247+500</f>
        <v>4185.6000000000004</v>
      </c>
      <c r="I247" s="287">
        <f>+H247*$X$1</f>
        <v>4185.6000000000004</v>
      </c>
      <c r="J247" s="652">
        <f>F247+220</f>
        <v>3905.6</v>
      </c>
      <c r="K247" s="287">
        <f>+J247*$X$1</f>
        <v>3905.6</v>
      </c>
      <c r="L247" s="652">
        <f>F247+170</f>
        <v>3855.6</v>
      </c>
      <c r="M247" s="287">
        <f>+L247*$X$1</f>
        <v>3855.6</v>
      </c>
      <c r="N247" s="652">
        <f>F247+145</f>
        <v>3830.6</v>
      </c>
      <c r="O247" s="287">
        <f>+N247*$X$1</f>
        <v>3830.6</v>
      </c>
      <c r="P247" s="652">
        <f>F247+130</f>
        <v>3815.6</v>
      </c>
      <c r="Q247" s="287">
        <f>+P247*$X$1</f>
        <v>3815.6</v>
      </c>
      <c r="R247" s="652">
        <f>F247+110</f>
        <v>3795.6</v>
      </c>
      <c r="S247" s="287">
        <f>+R247*$X$1</f>
        <v>3795.6</v>
      </c>
      <c r="T247" s="103">
        <f>F247+95</f>
        <v>3780.6</v>
      </c>
      <c r="U247" s="255">
        <f>+T247*$X$1</f>
        <v>3780.6</v>
      </c>
      <c r="V247" s="103">
        <f>F247+80</f>
        <v>3765.6</v>
      </c>
      <c r="W247" s="255">
        <f>+V247*$X$1</f>
        <v>3765.6</v>
      </c>
      <c r="X247" s="687"/>
      <c r="Y247" s="688"/>
      <c r="Z247" s="688"/>
      <c r="AA247" s="689"/>
      <c r="AB247" s="192">
        <v>825</v>
      </c>
    </row>
    <row r="248" spans="1:28" ht="12.6" customHeight="1" x14ac:dyDescent="0.2">
      <c r="A248" s="18"/>
      <c r="B248" s="692" t="s">
        <v>693</v>
      </c>
      <c r="C248" s="693"/>
      <c r="D248" s="693"/>
      <c r="E248" s="693"/>
      <c r="F248" s="380">
        <f>7.5*X2</f>
        <v>8130</v>
      </c>
      <c r="G248" s="288">
        <f>+F248*$X$1</f>
        <v>8130</v>
      </c>
      <c r="H248" s="458">
        <f>F248+500</f>
        <v>8630</v>
      </c>
      <c r="I248" s="288">
        <f>+H248*$X$1</f>
        <v>8630</v>
      </c>
      <c r="J248" s="458">
        <f>F248+220</f>
        <v>8350</v>
      </c>
      <c r="K248" s="288">
        <f>+J248*$X$1</f>
        <v>8350</v>
      </c>
      <c r="L248" s="458">
        <f>F248+170</f>
        <v>8300</v>
      </c>
      <c r="M248" s="288">
        <f>+L248*$X$1</f>
        <v>8300</v>
      </c>
      <c r="N248" s="458">
        <f>F248+145</f>
        <v>8275</v>
      </c>
      <c r="O248" s="288">
        <f>+N248*$X$1</f>
        <v>8275</v>
      </c>
      <c r="P248" s="458">
        <f>F248+130</f>
        <v>8260</v>
      </c>
      <c r="Q248" s="288">
        <f>+P248*$X$1</f>
        <v>8260</v>
      </c>
      <c r="R248" s="458">
        <f>F248+110</f>
        <v>8240</v>
      </c>
      <c r="S248" s="288">
        <f>+R248*$X$1</f>
        <v>8240</v>
      </c>
      <c r="T248" s="102">
        <f>F248+95</f>
        <v>8225</v>
      </c>
      <c r="U248" s="305">
        <f>+T248*$X$1</f>
        <v>8225</v>
      </c>
      <c r="V248" s="102">
        <f>F248+80</f>
        <v>8210</v>
      </c>
      <c r="W248" s="305">
        <f>+V248*$X$1</f>
        <v>8210</v>
      </c>
      <c r="X248" s="687"/>
      <c r="Y248" s="688"/>
      <c r="Z248" s="688"/>
      <c r="AA248" s="689"/>
      <c r="AB248" s="192">
        <v>826</v>
      </c>
    </row>
    <row r="249" spans="1:28" ht="12.6" customHeight="1" x14ac:dyDescent="0.2">
      <c r="A249" s="18"/>
      <c r="B249" s="772" t="s">
        <v>875</v>
      </c>
      <c r="C249" s="678"/>
      <c r="D249" s="678"/>
      <c r="E249" s="678"/>
      <c r="F249" s="379">
        <f>2.9*X2</f>
        <v>3143.6</v>
      </c>
      <c r="G249" s="287">
        <f t="shared" ref="G249" si="584">+F249*$X$1</f>
        <v>3143.6</v>
      </c>
      <c r="H249" s="645">
        <f t="shared" ref="H249:H254" si="585">F249+500</f>
        <v>3643.6</v>
      </c>
      <c r="I249" s="287">
        <f t="shared" ref="I249:I254" si="586">+H249*$X$1</f>
        <v>3643.6</v>
      </c>
      <c r="J249" s="645">
        <f t="shared" ref="J249:J254" si="587">F249+220</f>
        <v>3363.6</v>
      </c>
      <c r="K249" s="287">
        <f t="shared" ref="K249:K254" si="588">+J249*$X$1</f>
        <v>3363.6</v>
      </c>
      <c r="L249" s="645">
        <f t="shared" ref="L249:L254" si="589">F249+170</f>
        <v>3313.6</v>
      </c>
      <c r="M249" s="287">
        <f t="shared" ref="M249:M254" si="590">+L249*$X$1</f>
        <v>3313.6</v>
      </c>
      <c r="N249" s="645">
        <f t="shared" ref="N249:N254" si="591">F249+145</f>
        <v>3288.6</v>
      </c>
      <c r="O249" s="287">
        <f t="shared" ref="O249:O254" si="592">+N249*$X$1</f>
        <v>3288.6</v>
      </c>
      <c r="P249" s="645">
        <f t="shared" ref="P249:P254" si="593">F249+130</f>
        <v>3273.6</v>
      </c>
      <c r="Q249" s="287">
        <f t="shared" ref="Q249:Q254" si="594">+P249*$X$1</f>
        <v>3273.6</v>
      </c>
      <c r="R249" s="645">
        <f t="shared" ref="R249:R254" si="595">F249+110</f>
        <v>3253.6</v>
      </c>
      <c r="S249" s="287">
        <f t="shared" ref="S249:S254" si="596">+R249*$X$1</f>
        <v>3253.6</v>
      </c>
      <c r="T249" s="103">
        <f t="shared" ref="T249:T254" si="597">F249+95</f>
        <v>3238.6</v>
      </c>
      <c r="U249" s="255">
        <f t="shared" ref="U249:U254" si="598">+T249*$X$1</f>
        <v>3238.6</v>
      </c>
      <c r="V249" s="103">
        <f t="shared" ref="V249:V254" si="599">F249+80</f>
        <v>3223.6</v>
      </c>
      <c r="W249" s="255">
        <f t="shared" ref="W249:W254" si="600">+V249*$X$1</f>
        <v>3223.6</v>
      </c>
      <c r="X249" s="687"/>
      <c r="Y249" s="688"/>
      <c r="Z249" s="688"/>
      <c r="AA249" s="689"/>
      <c r="AB249" s="192">
        <v>827</v>
      </c>
    </row>
    <row r="250" spans="1:28" ht="12.6" customHeight="1" x14ac:dyDescent="0.2">
      <c r="A250" s="18"/>
      <c r="B250" s="692" t="s">
        <v>694</v>
      </c>
      <c r="C250" s="693"/>
      <c r="D250" s="693"/>
      <c r="E250" s="693"/>
      <c r="F250" s="380">
        <f>8.75*X2</f>
        <v>9485</v>
      </c>
      <c r="G250" s="288">
        <f>+F250*$X$1</f>
        <v>9485</v>
      </c>
      <c r="H250" s="458">
        <f t="shared" si="585"/>
        <v>9985</v>
      </c>
      <c r="I250" s="288">
        <f t="shared" si="586"/>
        <v>9985</v>
      </c>
      <c r="J250" s="458">
        <f t="shared" si="587"/>
        <v>9705</v>
      </c>
      <c r="K250" s="288">
        <f t="shared" si="588"/>
        <v>9705</v>
      </c>
      <c r="L250" s="458">
        <f t="shared" si="589"/>
        <v>9655</v>
      </c>
      <c r="M250" s="288">
        <f t="shared" si="590"/>
        <v>9655</v>
      </c>
      <c r="N250" s="458">
        <f t="shared" si="591"/>
        <v>9630</v>
      </c>
      <c r="O250" s="288">
        <f t="shared" si="592"/>
        <v>9630</v>
      </c>
      <c r="P250" s="458">
        <f t="shared" si="593"/>
        <v>9615</v>
      </c>
      <c r="Q250" s="288">
        <f t="shared" si="594"/>
        <v>9615</v>
      </c>
      <c r="R250" s="458">
        <f t="shared" si="595"/>
        <v>9595</v>
      </c>
      <c r="S250" s="288">
        <f t="shared" si="596"/>
        <v>9595</v>
      </c>
      <c r="T250" s="102">
        <f t="shared" si="597"/>
        <v>9580</v>
      </c>
      <c r="U250" s="305">
        <f t="shared" si="598"/>
        <v>9580</v>
      </c>
      <c r="V250" s="102">
        <f t="shared" si="599"/>
        <v>9565</v>
      </c>
      <c r="W250" s="305">
        <f t="shared" si="600"/>
        <v>9565</v>
      </c>
      <c r="X250" s="687"/>
      <c r="Y250" s="688"/>
      <c r="Z250" s="688"/>
      <c r="AA250" s="689"/>
      <c r="AB250" s="192">
        <v>828</v>
      </c>
    </row>
    <row r="251" spans="1:28" ht="12.6" customHeight="1" x14ac:dyDescent="0.2">
      <c r="A251" s="18"/>
      <c r="B251" s="677" t="s">
        <v>619</v>
      </c>
      <c r="C251" s="678"/>
      <c r="D251" s="678"/>
      <c r="E251" s="678"/>
      <c r="F251" s="379">
        <f>3.612*X2</f>
        <v>3915.4079999999999</v>
      </c>
      <c r="G251" s="287">
        <f>+F251*$X$1</f>
        <v>3915.4079999999999</v>
      </c>
      <c r="H251" s="645">
        <f t="shared" si="585"/>
        <v>4415.4079999999994</v>
      </c>
      <c r="I251" s="287">
        <f t="shared" si="586"/>
        <v>4415.4079999999994</v>
      </c>
      <c r="J251" s="645">
        <f t="shared" si="587"/>
        <v>4135.4079999999994</v>
      </c>
      <c r="K251" s="287">
        <f t="shared" si="588"/>
        <v>4135.4079999999994</v>
      </c>
      <c r="L251" s="645">
        <f t="shared" si="589"/>
        <v>4085.4079999999999</v>
      </c>
      <c r="M251" s="287">
        <f t="shared" si="590"/>
        <v>4085.4079999999999</v>
      </c>
      <c r="N251" s="645">
        <f t="shared" si="591"/>
        <v>4060.4079999999999</v>
      </c>
      <c r="O251" s="287">
        <f t="shared" si="592"/>
        <v>4060.4079999999999</v>
      </c>
      <c r="P251" s="645">
        <f t="shared" si="593"/>
        <v>4045.4079999999999</v>
      </c>
      <c r="Q251" s="287">
        <f t="shared" si="594"/>
        <v>4045.4079999999999</v>
      </c>
      <c r="R251" s="645">
        <f t="shared" si="595"/>
        <v>4025.4079999999999</v>
      </c>
      <c r="S251" s="287">
        <f t="shared" si="596"/>
        <v>4025.4079999999999</v>
      </c>
      <c r="T251" s="103">
        <f t="shared" si="597"/>
        <v>4010.4079999999999</v>
      </c>
      <c r="U251" s="255">
        <f t="shared" si="598"/>
        <v>4010.4079999999999</v>
      </c>
      <c r="V251" s="103">
        <f t="shared" si="599"/>
        <v>3995.4079999999999</v>
      </c>
      <c r="W251" s="255">
        <f t="shared" si="600"/>
        <v>3995.4079999999999</v>
      </c>
      <c r="X251" s="687"/>
      <c r="Y251" s="688"/>
      <c r="Z251" s="688"/>
      <c r="AA251" s="689"/>
      <c r="AB251" s="192">
        <v>829</v>
      </c>
    </row>
    <row r="252" spans="1:28" ht="12.6" customHeight="1" x14ac:dyDescent="0.2">
      <c r="A252" s="18"/>
      <c r="B252" s="692" t="s">
        <v>841</v>
      </c>
      <c r="C252" s="693"/>
      <c r="D252" s="693"/>
      <c r="E252" s="693"/>
      <c r="F252" s="380">
        <f>7.75*X2</f>
        <v>8401</v>
      </c>
      <c r="G252" s="288">
        <f>+F252*$X$1</f>
        <v>8401</v>
      </c>
      <c r="H252" s="458">
        <f t="shared" si="585"/>
        <v>8901</v>
      </c>
      <c r="I252" s="288">
        <f t="shared" si="586"/>
        <v>8901</v>
      </c>
      <c r="J252" s="458">
        <f t="shared" si="587"/>
        <v>8621</v>
      </c>
      <c r="K252" s="288">
        <f t="shared" si="588"/>
        <v>8621</v>
      </c>
      <c r="L252" s="458">
        <f t="shared" si="589"/>
        <v>8571</v>
      </c>
      <c r="M252" s="288">
        <f t="shared" si="590"/>
        <v>8571</v>
      </c>
      <c r="N252" s="458">
        <f t="shared" si="591"/>
        <v>8546</v>
      </c>
      <c r="O252" s="288">
        <f t="shared" si="592"/>
        <v>8546</v>
      </c>
      <c r="P252" s="458">
        <f t="shared" si="593"/>
        <v>8531</v>
      </c>
      <c r="Q252" s="288">
        <f t="shared" si="594"/>
        <v>8531</v>
      </c>
      <c r="R252" s="458">
        <f t="shared" si="595"/>
        <v>8511</v>
      </c>
      <c r="S252" s="288">
        <f t="shared" si="596"/>
        <v>8511</v>
      </c>
      <c r="T252" s="102">
        <f t="shared" si="597"/>
        <v>8496</v>
      </c>
      <c r="U252" s="305">
        <f t="shared" si="598"/>
        <v>8496</v>
      </c>
      <c r="V252" s="102">
        <f t="shared" si="599"/>
        <v>8481</v>
      </c>
      <c r="W252" s="305">
        <f t="shared" si="600"/>
        <v>8481</v>
      </c>
      <c r="X252" s="687"/>
      <c r="Y252" s="688"/>
      <c r="Z252" s="688"/>
      <c r="AA252" s="689"/>
      <c r="AB252" s="192">
        <v>831</v>
      </c>
    </row>
    <row r="253" spans="1:28" ht="12.6" customHeight="1" x14ac:dyDescent="0.2">
      <c r="A253" s="18"/>
      <c r="B253" s="673" t="s">
        <v>898</v>
      </c>
      <c r="C253" s="674"/>
      <c r="D253" s="674"/>
      <c r="E253" s="674"/>
      <c r="F253" s="379">
        <f>2.81*X2</f>
        <v>3046.04</v>
      </c>
      <c r="G253" s="287">
        <f t="shared" ref="G253" si="601">+F253*$X$1</f>
        <v>3046.04</v>
      </c>
      <c r="H253" s="645">
        <f t="shared" si="585"/>
        <v>3546.04</v>
      </c>
      <c r="I253" s="287">
        <f t="shared" si="586"/>
        <v>3546.04</v>
      </c>
      <c r="J253" s="645">
        <f t="shared" si="587"/>
        <v>3266.04</v>
      </c>
      <c r="K253" s="287">
        <f t="shared" si="588"/>
        <v>3266.04</v>
      </c>
      <c r="L253" s="645">
        <f t="shared" si="589"/>
        <v>3216.04</v>
      </c>
      <c r="M253" s="287">
        <f t="shared" si="590"/>
        <v>3216.04</v>
      </c>
      <c r="N253" s="645">
        <f t="shared" si="591"/>
        <v>3191.04</v>
      </c>
      <c r="O253" s="287">
        <f t="shared" si="592"/>
        <v>3191.04</v>
      </c>
      <c r="P253" s="645">
        <f t="shared" si="593"/>
        <v>3176.04</v>
      </c>
      <c r="Q253" s="287">
        <f t="shared" si="594"/>
        <v>3176.04</v>
      </c>
      <c r="R253" s="645">
        <f t="shared" si="595"/>
        <v>3156.04</v>
      </c>
      <c r="S253" s="287">
        <f t="shared" si="596"/>
        <v>3156.04</v>
      </c>
      <c r="T253" s="103">
        <f t="shared" si="597"/>
        <v>3141.04</v>
      </c>
      <c r="U253" s="255">
        <f t="shared" si="598"/>
        <v>3141.04</v>
      </c>
      <c r="V253" s="103">
        <f t="shared" si="599"/>
        <v>3126.04</v>
      </c>
      <c r="W253" s="255">
        <f t="shared" si="600"/>
        <v>3126.04</v>
      </c>
      <c r="X253" s="687"/>
      <c r="Y253" s="688"/>
      <c r="Z253" s="688"/>
      <c r="AA253" s="689"/>
      <c r="AB253" s="192">
        <v>832</v>
      </c>
    </row>
    <row r="254" spans="1:28" ht="12.6" customHeight="1" x14ac:dyDescent="0.2">
      <c r="A254" s="18"/>
      <c r="B254" s="692" t="s">
        <v>563</v>
      </c>
      <c r="C254" s="693"/>
      <c r="D254" s="693"/>
      <c r="E254" s="693"/>
      <c r="F254" s="380">
        <f>11.8*X2</f>
        <v>12791.2</v>
      </c>
      <c r="G254" s="288">
        <f t="shared" ref="G254" si="602">+F254*$X$1</f>
        <v>12791.2</v>
      </c>
      <c r="H254" s="458">
        <f t="shared" si="585"/>
        <v>13291.2</v>
      </c>
      <c r="I254" s="288">
        <f t="shared" si="586"/>
        <v>13291.2</v>
      </c>
      <c r="J254" s="458">
        <f t="shared" si="587"/>
        <v>13011.2</v>
      </c>
      <c r="K254" s="288">
        <f t="shared" si="588"/>
        <v>13011.2</v>
      </c>
      <c r="L254" s="458">
        <f t="shared" si="589"/>
        <v>12961.2</v>
      </c>
      <c r="M254" s="288">
        <f t="shared" si="590"/>
        <v>12961.2</v>
      </c>
      <c r="N254" s="458">
        <f t="shared" si="591"/>
        <v>12936.2</v>
      </c>
      <c r="O254" s="288">
        <f t="shared" si="592"/>
        <v>12936.2</v>
      </c>
      <c r="P254" s="458">
        <f t="shared" si="593"/>
        <v>12921.2</v>
      </c>
      <c r="Q254" s="288">
        <f t="shared" si="594"/>
        <v>12921.2</v>
      </c>
      <c r="R254" s="458">
        <f t="shared" si="595"/>
        <v>12901.2</v>
      </c>
      <c r="S254" s="288">
        <f t="shared" si="596"/>
        <v>12901.2</v>
      </c>
      <c r="T254" s="102">
        <f t="shared" si="597"/>
        <v>12886.2</v>
      </c>
      <c r="U254" s="305">
        <f t="shared" si="598"/>
        <v>12886.2</v>
      </c>
      <c r="V254" s="102">
        <f t="shared" si="599"/>
        <v>12871.2</v>
      </c>
      <c r="W254" s="305">
        <f t="shared" si="600"/>
        <v>12871.2</v>
      </c>
      <c r="X254" s="687"/>
      <c r="Y254" s="688"/>
      <c r="Z254" s="688"/>
      <c r="AA254" s="689"/>
      <c r="AB254" s="192">
        <v>833</v>
      </c>
    </row>
    <row r="255" spans="1:28" ht="12.6" customHeight="1" x14ac:dyDescent="0.2">
      <c r="A255" s="18"/>
      <c r="B255" s="677" t="s">
        <v>615</v>
      </c>
      <c r="C255" s="678"/>
      <c r="D255" s="678"/>
      <c r="E255" s="678"/>
      <c r="F255" s="379">
        <f>7.35*X2</f>
        <v>7967.4</v>
      </c>
      <c r="G255" s="287">
        <f t="shared" ref="G255" si="603">+F255*$X$1</f>
        <v>7967.4</v>
      </c>
      <c r="H255" s="645">
        <f t="shared" ref="H255:H266" si="604">F255+500</f>
        <v>8467.4</v>
      </c>
      <c r="I255" s="287">
        <f t="shared" ref="I255:I266" si="605">+H255*$X$1</f>
        <v>8467.4</v>
      </c>
      <c r="J255" s="645">
        <f t="shared" ref="J255:J266" si="606">F255+220</f>
        <v>8187.4</v>
      </c>
      <c r="K255" s="287">
        <f t="shared" ref="K255:K266" si="607">+J255*$X$1</f>
        <v>8187.4</v>
      </c>
      <c r="L255" s="645">
        <f t="shared" ref="L255:L266" si="608">F255+170</f>
        <v>8137.4</v>
      </c>
      <c r="M255" s="287">
        <f t="shared" ref="M255:M266" si="609">+L255*$X$1</f>
        <v>8137.4</v>
      </c>
      <c r="N255" s="645">
        <f t="shared" ref="N255:N266" si="610">F255+145</f>
        <v>8112.4</v>
      </c>
      <c r="O255" s="287">
        <f t="shared" ref="O255:O266" si="611">+N255*$X$1</f>
        <v>8112.4</v>
      </c>
      <c r="P255" s="645">
        <f t="shared" ref="P255:P266" si="612">F255+130</f>
        <v>8097.4</v>
      </c>
      <c r="Q255" s="287">
        <f t="shared" ref="Q255:Q266" si="613">+P255*$X$1</f>
        <v>8097.4</v>
      </c>
      <c r="R255" s="645">
        <f t="shared" ref="R255:R266" si="614">F255+110</f>
        <v>8077.4</v>
      </c>
      <c r="S255" s="287">
        <f t="shared" ref="S255:S266" si="615">+R255*$X$1</f>
        <v>8077.4</v>
      </c>
      <c r="T255" s="103">
        <f t="shared" ref="T255:T266" si="616">F255+95</f>
        <v>8062.4</v>
      </c>
      <c r="U255" s="255">
        <f t="shared" ref="U255:U266" si="617">+T255*$X$1</f>
        <v>8062.4</v>
      </c>
      <c r="V255" s="103">
        <f t="shared" ref="V255:V266" si="618">F255+80</f>
        <v>8047.4</v>
      </c>
      <c r="W255" s="255">
        <f t="shared" ref="W255:W266" si="619">+V255*$X$1</f>
        <v>8047.4</v>
      </c>
      <c r="X255" s="687"/>
      <c r="Y255" s="688"/>
      <c r="Z255" s="688"/>
      <c r="AA255" s="689"/>
      <c r="AB255" s="192">
        <v>834</v>
      </c>
    </row>
    <row r="256" spans="1:28" ht="12.6" customHeight="1" x14ac:dyDescent="0.2">
      <c r="A256" s="18"/>
      <c r="B256" s="692" t="s">
        <v>617</v>
      </c>
      <c r="C256" s="693"/>
      <c r="D256" s="693"/>
      <c r="E256" s="693"/>
      <c r="F256" s="380">
        <f>7.2*X2</f>
        <v>7804.8</v>
      </c>
      <c r="G256" s="288">
        <f>+F256*$X$1</f>
        <v>7804.8</v>
      </c>
      <c r="H256" s="458">
        <f t="shared" si="604"/>
        <v>8304.7999999999993</v>
      </c>
      <c r="I256" s="288">
        <f t="shared" si="605"/>
        <v>8304.7999999999993</v>
      </c>
      <c r="J256" s="458">
        <f t="shared" si="606"/>
        <v>8024.8</v>
      </c>
      <c r="K256" s="288">
        <f t="shared" si="607"/>
        <v>8024.8</v>
      </c>
      <c r="L256" s="458">
        <f t="shared" si="608"/>
        <v>7974.8</v>
      </c>
      <c r="M256" s="288">
        <f t="shared" si="609"/>
        <v>7974.8</v>
      </c>
      <c r="N256" s="458">
        <f t="shared" si="610"/>
        <v>7949.8</v>
      </c>
      <c r="O256" s="288">
        <f t="shared" si="611"/>
        <v>7949.8</v>
      </c>
      <c r="P256" s="458">
        <f t="shared" si="612"/>
        <v>7934.8</v>
      </c>
      <c r="Q256" s="288">
        <f t="shared" si="613"/>
        <v>7934.8</v>
      </c>
      <c r="R256" s="458">
        <f t="shared" si="614"/>
        <v>7914.8</v>
      </c>
      <c r="S256" s="288">
        <f t="shared" si="615"/>
        <v>7914.8</v>
      </c>
      <c r="T256" s="102">
        <f t="shared" si="616"/>
        <v>7899.8</v>
      </c>
      <c r="U256" s="305">
        <f t="shared" si="617"/>
        <v>7899.8</v>
      </c>
      <c r="V256" s="102">
        <f t="shared" si="618"/>
        <v>7884.8</v>
      </c>
      <c r="W256" s="305">
        <f t="shared" si="619"/>
        <v>7884.8</v>
      </c>
      <c r="X256" s="687"/>
      <c r="Y256" s="688"/>
      <c r="Z256" s="688"/>
      <c r="AA256" s="689"/>
      <c r="AB256" s="192">
        <v>836</v>
      </c>
    </row>
    <row r="257" spans="1:28" ht="12.6" customHeight="1" x14ac:dyDescent="0.2">
      <c r="A257" s="18"/>
      <c r="B257" s="772" t="s">
        <v>865</v>
      </c>
      <c r="C257" s="678"/>
      <c r="D257" s="678"/>
      <c r="E257" s="678"/>
      <c r="F257" s="379">
        <f>4.8*X2</f>
        <v>5203.2</v>
      </c>
      <c r="G257" s="287">
        <f t="shared" ref="G257" si="620">+F257*$X$1</f>
        <v>5203.2</v>
      </c>
      <c r="H257" s="645">
        <f t="shared" si="604"/>
        <v>5703.2</v>
      </c>
      <c r="I257" s="287">
        <f t="shared" si="605"/>
        <v>5703.2</v>
      </c>
      <c r="J257" s="645">
        <f t="shared" si="606"/>
        <v>5423.2</v>
      </c>
      <c r="K257" s="287">
        <f t="shared" si="607"/>
        <v>5423.2</v>
      </c>
      <c r="L257" s="645">
        <f t="shared" si="608"/>
        <v>5373.2</v>
      </c>
      <c r="M257" s="287">
        <f t="shared" si="609"/>
        <v>5373.2</v>
      </c>
      <c r="N257" s="645">
        <f t="shared" si="610"/>
        <v>5348.2</v>
      </c>
      <c r="O257" s="287">
        <f t="shared" si="611"/>
        <v>5348.2</v>
      </c>
      <c r="P257" s="645">
        <f t="shared" si="612"/>
        <v>5333.2</v>
      </c>
      <c r="Q257" s="287">
        <f t="shared" si="613"/>
        <v>5333.2</v>
      </c>
      <c r="R257" s="645">
        <f t="shared" si="614"/>
        <v>5313.2</v>
      </c>
      <c r="S257" s="287">
        <f t="shared" si="615"/>
        <v>5313.2</v>
      </c>
      <c r="T257" s="103">
        <f t="shared" si="616"/>
        <v>5298.2</v>
      </c>
      <c r="U257" s="255">
        <f t="shared" si="617"/>
        <v>5298.2</v>
      </c>
      <c r="V257" s="103">
        <f t="shared" si="618"/>
        <v>5283.2</v>
      </c>
      <c r="W257" s="255">
        <f t="shared" si="619"/>
        <v>5283.2</v>
      </c>
      <c r="X257" s="687"/>
      <c r="Y257" s="688"/>
      <c r="Z257" s="688"/>
      <c r="AA257" s="689"/>
      <c r="AB257" s="192">
        <v>837</v>
      </c>
    </row>
    <row r="258" spans="1:28" ht="12.6" customHeight="1" x14ac:dyDescent="0.2">
      <c r="A258" s="18"/>
      <c r="B258" s="735" t="s">
        <v>948</v>
      </c>
      <c r="C258" s="674"/>
      <c r="D258" s="674"/>
      <c r="E258" s="674"/>
      <c r="F258" s="380">
        <f>7.98*X2</f>
        <v>8650.32</v>
      </c>
      <c r="G258" s="288">
        <f t="shared" ref="G258" si="621">+F258*$X$1</f>
        <v>8650.32</v>
      </c>
      <c r="H258" s="458">
        <f t="shared" ref="H258" si="622">F258+500</f>
        <v>9150.32</v>
      </c>
      <c r="I258" s="288">
        <f t="shared" ref="I258" si="623">+H258*$X$1</f>
        <v>9150.32</v>
      </c>
      <c r="J258" s="458">
        <f t="shared" ref="J258" si="624">F258+220</f>
        <v>8870.32</v>
      </c>
      <c r="K258" s="288">
        <f t="shared" ref="K258" si="625">+J258*$X$1</f>
        <v>8870.32</v>
      </c>
      <c r="L258" s="458">
        <f t="shared" ref="L258" si="626">F258+170</f>
        <v>8820.32</v>
      </c>
      <c r="M258" s="288">
        <f t="shared" ref="M258" si="627">+L258*$X$1</f>
        <v>8820.32</v>
      </c>
      <c r="N258" s="458">
        <f t="shared" ref="N258" si="628">F258+145</f>
        <v>8795.32</v>
      </c>
      <c r="O258" s="288">
        <f t="shared" ref="O258" si="629">+N258*$X$1</f>
        <v>8795.32</v>
      </c>
      <c r="P258" s="458">
        <f t="shared" ref="P258" si="630">F258+130</f>
        <v>8780.32</v>
      </c>
      <c r="Q258" s="288">
        <f t="shared" ref="Q258" si="631">+P258*$X$1</f>
        <v>8780.32</v>
      </c>
      <c r="R258" s="458">
        <f t="shared" ref="R258" si="632">F258+110</f>
        <v>8760.32</v>
      </c>
      <c r="S258" s="288">
        <f t="shared" ref="S258" si="633">+R258*$X$1</f>
        <v>8760.32</v>
      </c>
      <c r="T258" s="102">
        <f t="shared" ref="T258" si="634">F258+95</f>
        <v>8745.32</v>
      </c>
      <c r="U258" s="305">
        <f t="shared" ref="U258" si="635">+T258*$X$1</f>
        <v>8745.32</v>
      </c>
      <c r="V258" s="102">
        <f t="shared" ref="V258" si="636">F258+80</f>
        <v>8730.32</v>
      </c>
      <c r="W258" s="288">
        <f t="shared" si="619"/>
        <v>8730.32</v>
      </c>
      <c r="X258" s="687"/>
      <c r="Y258" s="688"/>
      <c r="Z258" s="688"/>
      <c r="AA258" s="689"/>
      <c r="AB258" s="192">
        <v>838</v>
      </c>
    </row>
    <row r="259" spans="1:28" ht="12.6" customHeight="1" x14ac:dyDescent="0.2">
      <c r="A259" s="18"/>
      <c r="B259" s="735" t="s">
        <v>982</v>
      </c>
      <c r="C259" s="674"/>
      <c r="D259" s="674"/>
      <c r="E259" s="674"/>
      <c r="F259" s="379">
        <f>2.55*X2</f>
        <v>2764.2</v>
      </c>
      <c r="G259" s="287">
        <f t="shared" ref="G259" si="637">+F259*$X$1</f>
        <v>2764.2</v>
      </c>
      <c r="H259" s="671">
        <f t="shared" ref="H259" si="638">F259+500</f>
        <v>3264.2</v>
      </c>
      <c r="I259" s="287">
        <f t="shared" ref="I259" si="639">+H259*$X$1</f>
        <v>3264.2</v>
      </c>
      <c r="J259" s="671">
        <f t="shared" ref="J259" si="640">F259+220</f>
        <v>2984.2</v>
      </c>
      <c r="K259" s="287">
        <f t="shared" ref="K259" si="641">+J259*$X$1</f>
        <v>2984.2</v>
      </c>
      <c r="L259" s="671">
        <f t="shared" ref="L259" si="642">F259+170</f>
        <v>2934.2</v>
      </c>
      <c r="M259" s="287">
        <f t="shared" ref="M259" si="643">+L259*$X$1</f>
        <v>2934.2</v>
      </c>
      <c r="N259" s="671">
        <f t="shared" ref="N259" si="644">F259+145</f>
        <v>2909.2</v>
      </c>
      <c r="O259" s="287">
        <f t="shared" ref="O259" si="645">+N259*$X$1</f>
        <v>2909.2</v>
      </c>
      <c r="P259" s="671">
        <f t="shared" ref="P259" si="646">F259+130</f>
        <v>2894.2</v>
      </c>
      <c r="Q259" s="287">
        <f t="shared" ref="Q259" si="647">+P259*$X$1</f>
        <v>2894.2</v>
      </c>
      <c r="R259" s="671">
        <f t="shared" ref="R259" si="648">F259+110</f>
        <v>2874.2</v>
      </c>
      <c r="S259" s="287">
        <f t="shared" ref="S259" si="649">+R259*$X$1</f>
        <v>2874.2</v>
      </c>
      <c r="T259" s="103">
        <f t="shared" ref="T259" si="650">F259+95</f>
        <v>2859.2</v>
      </c>
      <c r="U259" s="255">
        <f t="shared" ref="U259" si="651">+T259*$X$1</f>
        <v>2859.2</v>
      </c>
      <c r="V259" s="103">
        <f t="shared" ref="V259" si="652">F259+80</f>
        <v>2844.2</v>
      </c>
      <c r="W259" s="287">
        <f t="shared" ref="W259" si="653">+V259*$X$1</f>
        <v>2844.2</v>
      </c>
      <c r="X259" s="687"/>
      <c r="Y259" s="688"/>
      <c r="Z259" s="688"/>
      <c r="AA259" s="689"/>
      <c r="AB259" s="192">
        <v>839</v>
      </c>
    </row>
    <row r="260" spans="1:28" ht="12.6" customHeight="1" x14ac:dyDescent="0.2">
      <c r="A260" s="18"/>
      <c r="B260" s="735" t="s">
        <v>983</v>
      </c>
      <c r="C260" s="674"/>
      <c r="D260" s="674"/>
      <c r="E260" s="674"/>
      <c r="F260" s="380">
        <f>2.36*X2</f>
        <v>2558.2399999999998</v>
      </c>
      <c r="G260" s="288">
        <f t="shared" ref="G260" si="654">+F260*$X$1</f>
        <v>2558.2399999999998</v>
      </c>
      <c r="H260" s="458">
        <f t="shared" ref="H260" si="655">F260+500</f>
        <v>3058.24</v>
      </c>
      <c r="I260" s="288">
        <f t="shared" ref="I260" si="656">+H260*$X$1</f>
        <v>3058.24</v>
      </c>
      <c r="J260" s="458">
        <f t="shared" ref="J260" si="657">F260+220</f>
        <v>2778.24</v>
      </c>
      <c r="K260" s="288">
        <f t="shared" ref="K260" si="658">+J260*$X$1</f>
        <v>2778.24</v>
      </c>
      <c r="L260" s="458">
        <f t="shared" ref="L260" si="659">F260+170</f>
        <v>2728.24</v>
      </c>
      <c r="M260" s="288">
        <f t="shared" ref="M260" si="660">+L260*$X$1</f>
        <v>2728.24</v>
      </c>
      <c r="N260" s="458">
        <f t="shared" ref="N260" si="661">F260+145</f>
        <v>2703.24</v>
      </c>
      <c r="O260" s="288">
        <f t="shared" ref="O260" si="662">+N260*$X$1</f>
        <v>2703.24</v>
      </c>
      <c r="P260" s="458">
        <f t="shared" ref="P260" si="663">F260+130</f>
        <v>2688.24</v>
      </c>
      <c r="Q260" s="288">
        <f t="shared" ref="Q260" si="664">+P260*$X$1</f>
        <v>2688.24</v>
      </c>
      <c r="R260" s="458">
        <f t="shared" ref="R260" si="665">F260+110</f>
        <v>2668.24</v>
      </c>
      <c r="S260" s="288">
        <f t="shared" ref="S260" si="666">+R260*$X$1</f>
        <v>2668.24</v>
      </c>
      <c r="T260" s="102">
        <f t="shared" ref="T260" si="667">F260+95</f>
        <v>2653.24</v>
      </c>
      <c r="U260" s="305">
        <f t="shared" ref="U260" si="668">+T260*$X$1</f>
        <v>2653.24</v>
      </c>
      <c r="V260" s="102">
        <f t="shared" ref="V260" si="669">F260+80</f>
        <v>2638.24</v>
      </c>
      <c r="W260" s="288">
        <f t="shared" ref="W260" si="670">+V260*$X$1</f>
        <v>2638.24</v>
      </c>
      <c r="X260" s="687"/>
      <c r="Y260" s="688"/>
      <c r="Z260" s="688"/>
      <c r="AA260" s="689"/>
      <c r="AB260" s="192">
        <v>840</v>
      </c>
    </row>
    <row r="261" spans="1:28" ht="12.6" customHeight="1" x14ac:dyDescent="0.2">
      <c r="A261" s="18"/>
      <c r="B261" s="696" t="s">
        <v>490</v>
      </c>
      <c r="C261" s="807"/>
      <c r="D261" s="807"/>
      <c r="E261" s="807"/>
      <c r="F261" s="384">
        <f>7.23*X2</f>
        <v>7837.3200000000006</v>
      </c>
      <c r="G261" s="306">
        <f>+F261*$X$1</f>
        <v>7837.3200000000006</v>
      </c>
      <c r="H261" s="645">
        <f t="shared" si="604"/>
        <v>8337.32</v>
      </c>
      <c r="I261" s="287">
        <f t="shared" si="605"/>
        <v>8337.32</v>
      </c>
      <c r="J261" s="645">
        <f t="shared" si="606"/>
        <v>8057.3200000000006</v>
      </c>
      <c r="K261" s="287">
        <f t="shared" si="607"/>
        <v>8057.3200000000006</v>
      </c>
      <c r="L261" s="645">
        <f t="shared" si="608"/>
        <v>8007.3200000000006</v>
      </c>
      <c r="M261" s="287">
        <f t="shared" si="609"/>
        <v>8007.3200000000006</v>
      </c>
      <c r="N261" s="645">
        <f t="shared" si="610"/>
        <v>7982.3200000000006</v>
      </c>
      <c r="O261" s="287">
        <f t="shared" si="611"/>
        <v>7982.3200000000006</v>
      </c>
      <c r="P261" s="645">
        <f t="shared" si="612"/>
        <v>7967.3200000000006</v>
      </c>
      <c r="Q261" s="287">
        <f t="shared" si="613"/>
        <v>7967.3200000000006</v>
      </c>
      <c r="R261" s="645">
        <f t="shared" si="614"/>
        <v>7947.3200000000006</v>
      </c>
      <c r="S261" s="287">
        <f t="shared" si="615"/>
        <v>7947.3200000000006</v>
      </c>
      <c r="T261" s="103">
        <f t="shared" si="616"/>
        <v>7932.3200000000006</v>
      </c>
      <c r="U261" s="255">
        <f t="shared" si="617"/>
        <v>7932.3200000000006</v>
      </c>
      <c r="V261" s="103">
        <f t="shared" si="618"/>
        <v>7917.3200000000006</v>
      </c>
      <c r="W261" s="255">
        <f t="shared" si="619"/>
        <v>7917.3200000000006</v>
      </c>
      <c r="X261" s="687"/>
      <c r="Y261" s="688"/>
      <c r="Z261" s="688"/>
      <c r="AA261" s="689"/>
      <c r="AB261" s="404">
        <v>916</v>
      </c>
    </row>
    <row r="262" spans="1:28" ht="12.6" customHeight="1" x14ac:dyDescent="0.2">
      <c r="A262" s="18"/>
      <c r="B262" s="692" t="s">
        <v>794</v>
      </c>
      <c r="C262" s="693"/>
      <c r="D262" s="693"/>
      <c r="E262" s="693"/>
      <c r="F262" s="380">
        <f>6.41*X2</f>
        <v>6948.4400000000005</v>
      </c>
      <c r="G262" s="288">
        <f>+F262*$X$1</f>
        <v>6948.4400000000005</v>
      </c>
      <c r="H262" s="458">
        <f t="shared" si="604"/>
        <v>7448.4400000000005</v>
      </c>
      <c r="I262" s="288">
        <f t="shared" si="605"/>
        <v>7448.4400000000005</v>
      </c>
      <c r="J262" s="458">
        <f t="shared" si="606"/>
        <v>7168.4400000000005</v>
      </c>
      <c r="K262" s="288">
        <f t="shared" si="607"/>
        <v>7168.4400000000005</v>
      </c>
      <c r="L262" s="458">
        <f t="shared" si="608"/>
        <v>7118.4400000000005</v>
      </c>
      <c r="M262" s="288">
        <f t="shared" si="609"/>
        <v>7118.4400000000005</v>
      </c>
      <c r="N262" s="458">
        <f t="shared" si="610"/>
        <v>7093.4400000000005</v>
      </c>
      <c r="O262" s="288">
        <f t="shared" si="611"/>
        <v>7093.4400000000005</v>
      </c>
      <c r="P262" s="458">
        <f t="shared" si="612"/>
        <v>7078.4400000000005</v>
      </c>
      <c r="Q262" s="288">
        <f t="shared" si="613"/>
        <v>7078.4400000000005</v>
      </c>
      <c r="R262" s="458">
        <f t="shared" si="614"/>
        <v>7058.4400000000005</v>
      </c>
      <c r="S262" s="288">
        <f t="shared" si="615"/>
        <v>7058.4400000000005</v>
      </c>
      <c r="T262" s="102">
        <f t="shared" si="616"/>
        <v>7043.4400000000005</v>
      </c>
      <c r="U262" s="305">
        <f t="shared" si="617"/>
        <v>7043.4400000000005</v>
      </c>
      <c r="V262" s="102">
        <f t="shared" si="618"/>
        <v>7028.4400000000005</v>
      </c>
      <c r="W262" s="305">
        <f t="shared" si="619"/>
        <v>7028.4400000000005</v>
      </c>
      <c r="X262" s="687"/>
      <c r="Y262" s="688"/>
      <c r="Z262" s="688"/>
      <c r="AA262" s="689"/>
      <c r="AB262" s="192">
        <v>917</v>
      </c>
    </row>
    <row r="263" spans="1:28" ht="12.6" customHeight="1" x14ac:dyDescent="0.2">
      <c r="A263" s="18"/>
      <c r="B263" s="677" t="s">
        <v>200</v>
      </c>
      <c r="C263" s="678"/>
      <c r="D263" s="678"/>
      <c r="E263" s="678"/>
      <c r="F263" s="379">
        <f>9.93*X2</f>
        <v>10764.119999999999</v>
      </c>
      <c r="G263" s="287">
        <f>+F263*$X$1</f>
        <v>10764.119999999999</v>
      </c>
      <c r="H263" s="645">
        <f t="shared" si="604"/>
        <v>11264.119999999999</v>
      </c>
      <c r="I263" s="287">
        <f t="shared" si="605"/>
        <v>11264.119999999999</v>
      </c>
      <c r="J263" s="645">
        <f t="shared" si="606"/>
        <v>10984.119999999999</v>
      </c>
      <c r="K263" s="287">
        <f t="shared" si="607"/>
        <v>10984.119999999999</v>
      </c>
      <c r="L263" s="645">
        <f t="shared" si="608"/>
        <v>10934.119999999999</v>
      </c>
      <c r="M263" s="287">
        <f t="shared" si="609"/>
        <v>10934.119999999999</v>
      </c>
      <c r="N263" s="645">
        <f t="shared" si="610"/>
        <v>10909.119999999999</v>
      </c>
      <c r="O263" s="287">
        <f t="shared" si="611"/>
        <v>10909.119999999999</v>
      </c>
      <c r="P263" s="645">
        <f t="shared" si="612"/>
        <v>10894.119999999999</v>
      </c>
      <c r="Q263" s="287">
        <f t="shared" si="613"/>
        <v>10894.119999999999</v>
      </c>
      <c r="R263" s="645">
        <f t="shared" si="614"/>
        <v>10874.119999999999</v>
      </c>
      <c r="S263" s="287">
        <f t="shared" si="615"/>
        <v>10874.119999999999</v>
      </c>
      <c r="T263" s="103">
        <f t="shared" si="616"/>
        <v>10859.119999999999</v>
      </c>
      <c r="U263" s="255">
        <f t="shared" si="617"/>
        <v>10859.119999999999</v>
      </c>
      <c r="V263" s="103">
        <f t="shared" si="618"/>
        <v>10844.119999999999</v>
      </c>
      <c r="W263" s="255">
        <f t="shared" si="619"/>
        <v>10844.119999999999</v>
      </c>
      <c r="X263" s="1023"/>
      <c r="Y263" s="1024"/>
      <c r="Z263" s="1024"/>
      <c r="AA263" s="1025"/>
      <c r="AB263" s="415">
        <v>918</v>
      </c>
    </row>
    <row r="264" spans="1:28" ht="12.6" customHeight="1" x14ac:dyDescent="0.2">
      <c r="A264" s="18"/>
      <c r="B264" s="692" t="s">
        <v>438</v>
      </c>
      <c r="C264" s="693"/>
      <c r="D264" s="693"/>
      <c r="E264" s="693"/>
      <c r="F264" s="380">
        <f>8.9*X2</f>
        <v>9647.6</v>
      </c>
      <c r="G264" s="288">
        <f>+F264*$X$1</f>
        <v>9647.6</v>
      </c>
      <c r="H264" s="458">
        <f t="shared" si="604"/>
        <v>10147.6</v>
      </c>
      <c r="I264" s="288">
        <f t="shared" si="605"/>
        <v>10147.6</v>
      </c>
      <c r="J264" s="458">
        <f t="shared" si="606"/>
        <v>9867.6</v>
      </c>
      <c r="K264" s="288">
        <f t="shared" si="607"/>
        <v>9867.6</v>
      </c>
      <c r="L264" s="458">
        <f t="shared" si="608"/>
        <v>9817.6</v>
      </c>
      <c r="M264" s="288">
        <f t="shared" si="609"/>
        <v>9817.6</v>
      </c>
      <c r="N264" s="458">
        <f t="shared" si="610"/>
        <v>9792.6</v>
      </c>
      <c r="O264" s="288">
        <f t="shared" si="611"/>
        <v>9792.6</v>
      </c>
      <c r="P264" s="458">
        <f t="shared" si="612"/>
        <v>9777.6</v>
      </c>
      <c r="Q264" s="288">
        <f t="shared" si="613"/>
        <v>9777.6</v>
      </c>
      <c r="R264" s="458">
        <f t="shared" si="614"/>
        <v>9757.6</v>
      </c>
      <c r="S264" s="288">
        <f t="shared" si="615"/>
        <v>9757.6</v>
      </c>
      <c r="T264" s="102">
        <f t="shared" si="616"/>
        <v>9742.6</v>
      </c>
      <c r="U264" s="305">
        <f t="shared" si="617"/>
        <v>9742.6</v>
      </c>
      <c r="V264" s="102">
        <f t="shared" si="618"/>
        <v>9727.6</v>
      </c>
      <c r="W264" s="305">
        <f t="shared" si="619"/>
        <v>9727.6</v>
      </c>
      <c r="X264" s="687"/>
      <c r="Y264" s="867"/>
      <c r="Z264" s="867"/>
      <c r="AA264" s="689"/>
      <c r="AB264" s="192">
        <v>919</v>
      </c>
    </row>
    <row r="265" spans="1:28" ht="12.6" customHeight="1" x14ac:dyDescent="0.2">
      <c r="A265" s="18"/>
      <c r="B265" s="677" t="s">
        <v>814</v>
      </c>
      <c r="C265" s="678"/>
      <c r="D265" s="678"/>
      <c r="E265" s="678"/>
      <c r="F265" s="379">
        <f>7.5*X2</f>
        <v>8130</v>
      </c>
      <c r="G265" s="287">
        <f t="shared" ref="G265:G270" si="671">+F265*$X$1</f>
        <v>8130</v>
      </c>
      <c r="H265" s="645">
        <f t="shared" si="604"/>
        <v>8630</v>
      </c>
      <c r="I265" s="287">
        <f t="shared" si="605"/>
        <v>8630</v>
      </c>
      <c r="J265" s="645">
        <f t="shared" si="606"/>
        <v>8350</v>
      </c>
      <c r="K265" s="287">
        <f t="shared" si="607"/>
        <v>8350</v>
      </c>
      <c r="L265" s="645">
        <f t="shared" si="608"/>
        <v>8300</v>
      </c>
      <c r="M265" s="287">
        <f t="shared" si="609"/>
        <v>8300</v>
      </c>
      <c r="N265" s="645">
        <f t="shared" si="610"/>
        <v>8275</v>
      </c>
      <c r="O265" s="287">
        <f t="shared" si="611"/>
        <v>8275</v>
      </c>
      <c r="P265" s="645">
        <f t="shared" si="612"/>
        <v>8260</v>
      </c>
      <c r="Q265" s="287">
        <f t="shared" si="613"/>
        <v>8260</v>
      </c>
      <c r="R265" s="645">
        <f t="shared" si="614"/>
        <v>8240</v>
      </c>
      <c r="S265" s="287">
        <f t="shared" si="615"/>
        <v>8240</v>
      </c>
      <c r="T265" s="103">
        <f t="shared" si="616"/>
        <v>8225</v>
      </c>
      <c r="U265" s="255">
        <f t="shared" si="617"/>
        <v>8225</v>
      </c>
      <c r="V265" s="103">
        <f t="shared" si="618"/>
        <v>8210</v>
      </c>
      <c r="W265" s="255">
        <f t="shared" si="619"/>
        <v>8210</v>
      </c>
      <c r="X265" s="687"/>
      <c r="Y265" s="688"/>
      <c r="Z265" s="688"/>
      <c r="AA265" s="689"/>
      <c r="AB265" s="192">
        <v>920</v>
      </c>
    </row>
    <row r="266" spans="1:28" ht="12.6" customHeight="1" x14ac:dyDescent="0.2">
      <c r="A266" s="18"/>
      <c r="B266" s="692" t="s">
        <v>813</v>
      </c>
      <c r="C266" s="693"/>
      <c r="D266" s="693"/>
      <c r="E266" s="693"/>
      <c r="F266" s="380">
        <f>7.5*X2</f>
        <v>8130</v>
      </c>
      <c r="G266" s="288">
        <f t="shared" ref="G266" si="672">+F266*$X$1</f>
        <v>8130</v>
      </c>
      <c r="H266" s="458">
        <f t="shared" si="604"/>
        <v>8630</v>
      </c>
      <c r="I266" s="288">
        <f t="shared" si="605"/>
        <v>8630</v>
      </c>
      <c r="J266" s="458">
        <f t="shared" si="606"/>
        <v>8350</v>
      </c>
      <c r="K266" s="288">
        <f t="shared" si="607"/>
        <v>8350</v>
      </c>
      <c r="L266" s="458">
        <f t="shared" si="608"/>
        <v>8300</v>
      </c>
      <c r="M266" s="288">
        <f t="shared" si="609"/>
        <v>8300</v>
      </c>
      <c r="N266" s="458">
        <f t="shared" si="610"/>
        <v>8275</v>
      </c>
      <c r="O266" s="288">
        <f t="shared" si="611"/>
        <v>8275</v>
      </c>
      <c r="P266" s="458">
        <f t="shared" si="612"/>
        <v>8260</v>
      </c>
      <c r="Q266" s="288">
        <f t="shared" si="613"/>
        <v>8260</v>
      </c>
      <c r="R266" s="458">
        <f t="shared" si="614"/>
        <v>8240</v>
      </c>
      <c r="S266" s="288">
        <f t="shared" si="615"/>
        <v>8240</v>
      </c>
      <c r="T266" s="102">
        <f t="shared" si="616"/>
        <v>8225</v>
      </c>
      <c r="U266" s="305">
        <f t="shared" si="617"/>
        <v>8225</v>
      </c>
      <c r="V266" s="102">
        <f t="shared" si="618"/>
        <v>8210</v>
      </c>
      <c r="W266" s="305">
        <f t="shared" si="619"/>
        <v>8210</v>
      </c>
      <c r="X266" s="687"/>
      <c r="Y266" s="688"/>
      <c r="Z266" s="688"/>
      <c r="AA266" s="689"/>
      <c r="AB266" s="192" t="s">
        <v>815</v>
      </c>
    </row>
    <row r="267" spans="1:28" ht="12.6" customHeight="1" x14ac:dyDescent="0.2">
      <c r="A267" s="18"/>
      <c r="B267" s="677" t="s">
        <v>866</v>
      </c>
      <c r="C267" s="678"/>
      <c r="D267" s="678"/>
      <c r="E267" s="678"/>
      <c r="F267" s="379">
        <f>7.4*X2</f>
        <v>8021.6</v>
      </c>
      <c r="G267" s="287">
        <f t="shared" ref="G267:G269" si="673">+F267*$X$1</f>
        <v>8021.6</v>
      </c>
      <c r="H267" s="645">
        <f t="shared" ref="H267:H280" si="674">F267+500</f>
        <v>8521.6</v>
      </c>
      <c r="I267" s="287">
        <f t="shared" ref="I267:I279" si="675">+H267*$X$1</f>
        <v>8521.6</v>
      </c>
      <c r="J267" s="645">
        <f t="shared" ref="J267:J279" si="676">F267+220</f>
        <v>8241.6</v>
      </c>
      <c r="K267" s="287">
        <f t="shared" ref="K267:K279" si="677">+J267*$X$1</f>
        <v>8241.6</v>
      </c>
      <c r="L267" s="645">
        <f t="shared" ref="L267:L279" si="678">F267+170</f>
        <v>8191.6</v>
      </c>
      <c r="M267" s="287">
        <f t="shared" ref="M267:M279" si="679">+L267*$X$1</f>
        <v>8191.6</v>
      </c>
      <c r="N267" s="645">
        <f t="shared" ref="N267:N279" si="680">F267+145</f>
        <v>8166.6</v>
      </c>
      <c r="O267" s="287">
        <f t="shared" ref="O267:O279" si="681">+N267*$X$1</f>
        <v>8166.6</v>
      </c>
      <c r="P267" s="645">
        <f t="shared" ref="P267:P279" si="682">F267+130</f>
        <v>8151.6</v>
      </c>
      <c r="Q267" s="287">
        <f t="shared" ref="Q267:Q279" si="683">+P267*$X$1</f>
        <v>8151.6</v>
      </c>
      <c r="R267" s="645">
        <f t="shared" ref="R267:R279" si="684">F267+110</f>
        <v>8131.6</v>
      </c>
      <c r="S267" s="287">
        <f t="shared" ref="S267:S279" si="685">+R267*$X$1</f>
        <v>8131.6</v>
      </c>
      <c r="T267" s="103">
        <f t="shared" ref="T267:T279" si="686">F267+95</f>
        <v>8116.6</v>
      </c>
      <c r="U267" s="255">
        <f t="shared" ref="U267:U279" si="687">+T267*$X$1</f>
        <v>8116.6</v>
      </c>
      <c r="V267" s="103">
        <f t="shared" ref="V267:V279" si="688">F267+80</f>
        <v>8101.6</v>
      </c>
      <c r="W267" s="255">
        <f t="shared" ref="W267:W279" si="689">+V267*$X$1</f>
        <v>8101.6</v>
      </c>
      <c r="X267" s="687"/>
      <c r="Y267" s="688"/>
      <c r="Z267" s="688"/>
      <c r="AA267" s="689"/>
      <c r="AB267" s="192" t="s">
        <v>867</v>
      </c>
    </row>
    <row r="268" spans="1:28" ht="12.6" customHeight="1" x14ac:dyDescent="0.2">
      <c r="A268" s="18"/>
      <c r="B268" s="685" t="s">
        <v>955</v>
      </c>
      <c r="C268" s="686"/>
      <c r="D268" s="686"/>
      <c r="E268" s="686"/>
      <c r="F268" s="549">
        <f>4.7*X2</f>
        <v>5094.8</v>
      </c>
      <c r="G268" s="544">
        <f t="shared" ref="G268" si="690">+F268*$X$1</f>
        <v>5094.8</v>
      </c>
      <c r="H268" s="644">
        <f t="shared" ref="H268" si="691">F268+500</f>
        <v>5594.8</v>
      </c>
      <c r="I268" s="544">
        <f t="shared" ref="I268" si="692">+H268*$X$1</f>
        <v>5594.8</v>
      </c>
      <c r="J268" s="644">
        <f t="shared" ref="J268" si="693">F268+220</f>
        <v>5314.8</v>
      </c>
      <c r="K268" s="544">
        <f t="shared" ref="K268" si="694">+J268*$X$1</f>
        <v>5314.8</v>
      </c>
      <c r="L268" s="644">
        <f t="shared" ref="L268" si="695">F268+170</f>
        <v>5264.8</v>
      </c>
      <c r="M268" s="544">
        <f t="shared" ref="M268" si="696">+L268*$X$1</f>
        <v>5264.8</v>
      </c>
      <c r="N268" s="644">
        <f t="shared" ref="N268" si="697">F268+145</f>
        <v>5239.8</v>
      </c>
      <c r="O268" s="544">
        <f t="shared" ref="O268" si="698">+N268*$X$1</f>
        <v>5239.8</v>
      </c>
      <c r="P268" s="644">
        <f t="shared" ref="P268" si="699">F268+130</f>
        <v>5224.8</v>
      </c>
      <c r="Q268" s="544">
        <f t="shared" ref="Q268" si="700">+P268*$X$1</f>
        <v>5224.8</v>
      </c>
      <c r="R268" s="644">
        <f t="shared" ref="R268" si="701">F268+110</f>
        <v>5204.8</v>
      </c>
      <c r="S268" s="544">
        <f t="shared" ref="S268" si="702">+R268*$X$1</f>
        <v>5204.8</v>
      </c>
      <c r="T268" s="556">
        <f t="shared" ref="T268" si="703">F268+95</f>
        <v>5189.8</v>
      </c>
      <c r="U268" s="555">
        <f t="shared" ref="U268" si="704">+T268*$X$1</f>
        <v>5189.8</v>
      </c>
      <c r="V268" s="556">
        <f t="shared" ref="V268" si="705">F268+80</f>
        <v>5174.8</v>
      </c>
      <c r="W268" s="555">
        <f t="shared" ref="W268" si="706">+V268*$X$1</f>
        <v>5174.8</v>
      </c>
      <c r="X268" s="687"/>
      <c r="Y268" s="688"/>
      <c r="Z268" s="688"/>
      <c r="AA268" s="689"/>
      <c r="AB268" s="192">
        <v>922</v>
      </c>
    </row>
    <row r="269" spans="1:28" ht="12.6" customHeight="1" x14ac:dyDescent="0.2">
      <c r="A269" s="18"/>
      <c r="B269" s="735" t="s">
        <v>913</v>
      </c>
      <c r="C269" s="674"/>
      <c r="D269" s="674"/>
      <c r="E269" s="674"/>
      <c r="F269" s="379">
        <f>6.39*X2</f>
        <v>6926.7599999999993</v>
      </c>
      <c r="G269" s="287">
        <f t="shared" si="673"/>
        <v>6926.7599999999993</v>
      </c>
      <c r="H269" s="592">
        <f t="shared" si="674"/>
        <v>7426.7599999999993</v>
      </c>
      <c r="I269" s="287">
        <f t="shared" si="675"/>
        <v>7426.7599999999993</v>
      </c>
      <c r="J269" s="592">
        <f t="shared" si="676"/>
        <v>7146.7599999999993</v>
      </c>
      <c r="K269" s="287">
        <f t="shared" si="677"/>
        <v>7146.7599999999993</v>
      </c>
      <c r="L269" s="592">
        <f t="shared" si="678"/>
        <v>7096.7599999999993</v>
      </c>
      <c r="M269" s="287">
        <f t="shared" si="679"/>
        <v>7096.7599999999993</v>
      </c>
      <c r="N269" s="592">
        <f t="shared" si="680"/>
        <v>7071.7599999999993</v>
      </c>
      <c r="O269" s="287">
        <f t="shared" si="681"/>
        <v>7071.7599999999993</v>
      </c>
      <c r="P269" s="592">
        <f t="shared" si="682"/>
        <v>7056.7599999999993</v>
      </c>
      <c r="Q269" s="287">
        <f t="shared" si="683"/>
        <v>7056.7599999999993</v>
      </c>
      <c r="R269" s="592">
        <f t="shared" si="684"/>
        <v>7036.7599999999993</v>
      </c>
      <c r="S269" s="287">
        <f t="shared" si="685"/>
        <v>7036.7599999999993</v>
      </c>
      <c r="T269" s="103">
        <f t="shared" si="686"/>
        <v>7021.7599999999993</v>
      </c>
      <c r="U269" s="255">
        <f t="shared" si="687"/>
        <v>7021.7599999999993</v>
      </c>
      <c r="V269" s="103">
        <f t="shared" si="688"/>
        <v>7006.7599999999993</v>
      </c>
      <c r="W269" s="255">
        <f t="shared" si="689"/>
        <v>7006.7599999999993</v>
      </c>
      <c r="X269" s="687"/>
      <c r="Y269" s="688"/>
      <c r="Z269" s="688"/>
      <c r="AA269" s="689"/>
      <c r="AB269" s="192">
        <v>923</v>
      </c>
    </row>
    <row r="270" spans="1:28" ht="12.6" customHeight="1" x14ac:dyDescent="0.2">
      <c r="A270" s="18"/>
      <c r="B270" s="692" t="s">
        <v>795</v>
      </c>
      <c r="C270" s="693"/>
      <c r="D270" s="693"/>
      <c r="E270" s="693"/>
      <c r="F270" s="380">
        <f>5.7*X2</f>
        <v>6178.8</v>
      </c>
      <c r="G270" s="288">
        <f t="shared" si="671"/>
        <v>6178.8</v>
      </c>
      <c r="H270" s="458">
        <f t="shared" si="674"/>
        <v>6678.8</v>
      </c>
      <c r="I270" s="288">
        <f t="shared" si="675"/>
        <v>6678.8</v>
      </c>
      <c r="J270" s="458">
        <f t="shared" si="676"/>
        <v>6398.8</v>
      </c>
      <c r="K270" s="288">
        <f t="shared" si="677"/>
        <v>6398.8</v>
      </c>
      <c r="L270" s="458">
        <f t="shared" si="678"/>
        <v>6348.8</v>
      </c>
      <c r="M270" s="288">
        <f t="shared" si="679"/>
        <v>6348.8</v>
      </c>
      <c r="N270" s="458">
        <f t="shared" si="680"/>
        <v>6323.8</v>
      </c>
      <c r="O270" s="288">
        <f t="shared" si="681"/>
        <v>6323.8</v>
      </c>
      <c r="P270" s="458">
        <f t="shared" si="682"/>
        <v>6308.8</v>
      </c>
      <c r="Q270" s="288">
        <f t="shared" si="683"/>
        <v>6308.8</v>
      </c>
      <c r="R270" s="458">
        <f t="shared" si="684"/>
        <v>6288.8</v>
      </c>
      <c r="S270" s="288">
        <f t="shared" si="685"/>
        <v>6288.8</v>
      </c>
      <c r="T270" s="102">
        <f t="shared" si="686"/>
        <v>6273.8</v>
      </c>
      <c r="U270" s="305">
        <f t="shared" si="687"/>
        <v>6273.8</v>
      </c>
      <c r="V270" s="102">
        <f t="shared" si="688"/>
        <v>6258.8</v>
      </c>
      <c r="W270" s="305">
        <f t="shared" si="689"/>
        <v>6258.8</v>
      </c>
      <c r="X270" s="727"/>
      <c r="Y270" s="799"/>
      <c r="Z270" s="799"/>
      <c r="AA270" s="728"/>
      <c r="AB270" s="192" t="s">
        <v>796</v>
      </c>
    </row>
    <row r="271" spans="1:28" ht="12.6" customHeight="1" x14ac:dyDescent="0.2">
      <c r="A271" s="18"/>
      <c r="B271" s="673" t="s">
        <v>936</v>
      </c>
      <c r="C271" s="674"/>
      <c r="D271" s="674"/>
      <c r="E271" s="674"/>
      <c r="F271" s="379">
        <f>1.07*X2</f>
        <v>1159.8800000000001</v>
      </c>
      <c r="G271" s="287">
        <f t="shared" ref="G271" si="707">+F271*$X$1</f>
        <v>1159.8800000000001</v>
      </c>
      <c r="H271" s="592"/>
      <c r="I271" s="287"/>
      <c r="J271" s="592">
        <f t="shared" si="676"/>
        <v>1379.88</v>
      </c>
      <c r="K271" s="287">
        <f t="shared" si="677"/>
        <v>1379.88</v>
      </c>
      <c r="L271" s="592">
        <f t="shared" si="678"/>
        <v>1329.88</v>
      </c>
      <c r="M271" s="287">
        <f t="shared" si="679"/>
        <v>1329.88</v>
      </c>
      <c r="N271" s="592">
        <f t="shared" si="680"/>
        <v>1304.8800000000001</v>
      </c>
      <c r="O271" s="287">
        <f t="shared" si="681"/>
        <v>1304.8800000000001</v>
      </c>
      <c r="P271" s="592">
        <f t="shared" si="682"/>
        <v>1289.8800000000001</v>
      </c>
      <c r="Q271" s="287">
        <f t="shared" si="683"/>
        <v>1289.8800000000001</v>
      </c>
      <c r="R271" s="592">
        <f t="shared" si="684"/>
        <v>1269.8800000000001</v>
      </c>
      <c r="S271" s="287">
        <f t="shared" si="685"/>
        <v>1269.8800000000001</v>
      </c>
      <c r="T271" s="103">
        <f t="shared" si="686"/>
        <v>1254.8800000000001</v>
      </c>
      <c r="U271" s="255">
        <f t="shared" si="687"/>
        <v>1254.8800000000001</v>
      </c>
      <c r="V271" s="103">
        <f t="shared" si="688"/>
        <v>1239.8800000000001</v>
      </c>
      <c r="W271" s="255">
        <f t="shared" si="689"/>
        <v>1239.8800000000001</v>
      </c>
      <c r="X271" s="687"/>
      <c r="Y271" s="688"/>
      <c r="Z271" s="688"/>
      <c r="AA271" s="689"/>
      <c r="AB271" s="192">
        <v>927</v>
      </c>
    </row>
    <row r="272" spans="1:28" ht="12.6" customHeight="1" x14ac:dyDescent="0.2">
      <c r="A272" s="104"/>
      <c r="B272" s="692" t="s">
        <v>426</v>
      </c>
      <c r="C272" s="693"/>
      <c r="D272" s="693"/>
      <c r="E272" s="693"/>
      <c r="F272" s="380">
        <f>7*X2</f>
        <v>7588</v>
      </c>
      <c r="G272" s="288">
        <f t="shared" ref="G272:G275" si="708">+F272*$X$1</f>
        <v>7588</v>
      </c>
      <c r="H272" s="458">
        <f t="shared" si="674"/>
        <v>8088</v>
      </c>
      <c r="I272" s="288">
        <f t="shared" si="675"/>
        <v>8088</v>
      </c>
      <c r="J272" s="458">
        <f t="shared" si="676"/>
        <v>7808</v>
      </c>
      <c r="K272" s="288">
        <f t="shared" si="677"/>
        <v>7808</v>
      </c>
      <c r="L272" s="458">
        <f t="shared" si="678"/>
        <v>7758</v>
      </c>
      <c r="M272" s="288">
        <f t="shared" si="679"/>
        <v>7758</v>
      </c>
      <c r="N272" s="458">
        <f t="shared" si="680"/>
        <v>7733</v>
      </c>
      <c r="O272" s="288">
        <f t="shared" si="681"/>
        <v>7733</v>
      </c>
      <c r="P272" s="458">
        <f t="shared" si="682"/>
        <v>7718</v>
      </c>
      <c r="Q272" s="288">
        <f t="shared" si="683"/>
        <v>7718</v>
      </c>
      <c r="R272" s="458">
        <f t="shared" si="684"/>
        <v>7698</v>
      </c>
      <c r="S272" s="288">
        <f t="shared" si="685"/>
        <v>7698</v>
      </c>
      <c r="T272" s="102">
        <f t="shared" si="686"/>
        <v>7683</v>
      </c>
      <c r="U272" s="305">
        <f t="shared" si="687"/>
        <v>7683</v>
      </c>
      <c r="V272" s="102">
        <f t="shared" si="688"/>
        <v>7668</v>
      </c>
      <c r="W272" s="305">
        <f t="shared" si="689"/>
        <v>7668</v>
      </c>
      <c r="X272" s="687"/>
      <c r="Y272" s="688"/>
      <c r="Z272" s="688"/>
      <c r="AA272" s="689"/>
      <c r="AB272" s="192">
        <v>928</v>
      </c>
    </row>
    <row r="273" spans="1:38" ht="12.6" customHeight="1" x14ac:dyDescent="0.2">
      <c r="A273" s="18"/>
      <c r="B273" s="677" t="s">
        <v>391</v>
      </c>
      <c r="C273" s="678"/>
      <c r="D273" s="678"/>
      <c r="E273" s="678"/>
      <c r="F273" s="379">
        <f>7.29*X2</f>
        <v>7902.36</v>
      </c>
      <c r="G273" s="287">
        <f t="shared" si="708"/>
        <v>7902.36</v>
      </c>
      <c r="H273" s="540">
        <f t="shared" si="674"/>
        <v>8402.36</v>
      </c>
      <c r="I273" s="287">
        <f t="shared" si="675"/>
        <v>8402.36</v>
      </c>
      <c r="J273" s="540">
        <f t="shared" si="676"/>
        <v>8122.36</v>
      </c>
      <c r="K273" s="287">
        <f t="shared" si="677"/>
        <v>8122.36</v>
      </c>
      <c r="L273" s="540">
        <f t="shared" si="678"/>
        <v>8072.36</v>
      </c>
      <c r="M273" s="287">
        <f t="shared" si="679"/>
        <v>8072.36</v>
      </c>
      <c r="N273" s="540">
        <f t="shared" si="680"/>
        <v>8047.36</v>
      </c>
      <c r="O273" s="287">
        <f t="shared" si="681"/>
        <v>8047.36</v>
      </c>
      <c r="P273" s="540">
        <f t="shared" si="682"/>
        <v>8032.36</v>
      </c>
      <c r="Q273" s="287">
        <f t="shared" si="683"/>
        <v>8032.36</v>
      </c>
      <c r="R273" s="540">
        <f t="shared" si="684"/>
        <v>8012.36</v>
      </c>
      <c r="S273" s="287">
        <f t="shared" si="685"/>
        <v>8012.36</v>
      </c>
      <c r="T273" s="103">
        <f t="shared" si="686"/>
        <v>7997.36</v>
      </c>
      <c r="U273" s="255">
        <f t="shared" si="687"/>
        <v>7997.36</v>
      </c>
      <c r="V273" s="103">
        <f t="shared" si="688"/>
        <v>7982.36</v>
      </c>
      <c r="W273" s="255">
        <f t="shared" si="689"/>
        <v>7982.36</v>
      </c>
      <c r="X273" s="687"/>
      <c r="Y273" s="867"/>
      <c r="Z273" s="867"/>
      <c r="AA273" s="689"/>
      <c r="AB273" s="192">
        <v>931</v>
      </c>
    </row>
    <row r="274" spans="1:38" ht="12.6" customHeight="1" x14ac:dyDescent="0.2">
      <c r="A274" s="18"/>
      <c r="B274" s="692" t="s">
        <v>793</v>
      </c>
      <c r="C274" s="693"/>
      <c r="D274" s="693"/>
      <c r="E274" s="693"/>
      <c r="F274" s="380">
        <f>2.98*X2</f>
        <v>3230.32</v>
      </c>
      <c r="G274" s="288">
        <f t="shared" si="708"/>
        <v>3230.32</v>
      </c>
      <c r="H274" s="458">
        <f t="shared" si="674"/>
        <v>3730.32</v>
      </c>
      <c r="I274" s="288">
        <f t="shared" si="675"/>
        <v>3730.32</v>
      </c>
      <c r="J274" s="458">
        <f t="shared" si="676"/>
        <v>3450.32</v>
      </c>
      <c r="K274" s="288">
        <f t="shared" si="677"/>
        <v>3450.32</v>
      </c>
      <c r="L274" s="458">
        <f t="shared" si="678"/>
        <v>3400.32</v>
      </c>
      <c r="M274" s="288">
        <f t="shared" si="679"/>
        <v>3400.32</v>
      </c>
      <c r="N274" s="458">
        <f t="shared" si="680"/>
        <v>3375.32</v>
      </c>
      <c r="O274" s="288">
        <f t="shared" si="681"/>
        <v>3375.32</v>
      </c>
      <c r="P274" s="458">
        <f t="shared" si="682"/>
        <v>3360.32</v>
      </c>
      <c r="Q274" s="288">
        <f t="shared" si="683"/>
        <v>3360.32</v>
      </c>
      <c r="R274" s="458">
        <f t="shared" si="684"/>
        <v>3340.32</v>
      </c>
      <c r="S274" s="288">
        <f t="shared" si="685"/>
        <v>3340.32</v>
      </c>
      <c r="T274" s="102">
        <f t="shared" si="686"/>
        <v>3325.32</v>
      </c>
      <c r="U274" s="305">
        <f t="shared" si="687"/>
        <v>3325.32</v>
      </c>
      <c r="V274" s="102">
        <f t="shared" si="688"/>
        <v>3310.32</v>
      </c>
      <c r="W274" s="305">
        <f t="shared" si="689"/>
        <v>3310.32</v>
      </c>
      <c r="X274" s="687"/>
      <c r="Y274" s="867"/>
      <c r="Z274" s="867"/>
      <c r="AA274" s="689"/>
      <c r="AB274" s="192">
        <v>933</v>
      </c>
    </row>
    <row r="275" spans="1:38" ht="12.6" customHeight="1" x14ac:dyDescent="0.2">
      <c r="A275" s="18"/>
      <c r="B275" s="677" t="s">
        <v>585</v>
      </c>
      <c r="C275" s="678"/>
      <c r="D275" s="678"/>
      <c r="E275" s="678"/>
      <c r="F275" s="379">
        <f>7.55*X2</f>
        <v>8184.2</v>
      </c>
      <c r="G275" s="287">
        <f t="shared" si="708"/>
        <v>8184.2</v>
      </c>
      <c r="H275" s="540">
        <f t="shared" si="674"/>
        <v>8684.2000000000007</v>
      </c>
      <c r="I275" s="287">
        <f t="shared" si="675"/>
        <v>8684.2000000000007</v>
      </c>
      <c r="J275" s="540">
        <f t="shared" si="676"/>
        <v>8404.2000000000007</v>
      </c>
      <c r="K275" s="287">
        <f t="shared" si="677"/>
        <v>8404.2000000000007</v>
      </c>
      <c r="L275" s="540">
        <f t="shared" si="678"/>
        <v>8354.2000000000007</v>
      </c>
      <c r="M275" s="287">
        <f t="shared" si="679"/>
        <v>8354.2000000000007</v>
      </c>
      <c r="N275" s="540">
        <f t="shared" si="680"/>
        <v>8329.2000000000007</v>
      </c>
      <c r="O275" s="287">
        <f t="shared" si="681"/>
        <v>8329.2000000000007</v>
      </c>
      <c r="P275" s="540">
        <f t="shared" si="682"/>
        <v>8314.2000000000007</v>
      </c>
      <c r="Q275" s="287">
        <f t="shared" si="683"/>
        <v>8314.2000000000007</v>
      </c>
      <c r="R275" s="540">
        <f t="shared" si="684"/>
        <v>8294.2000000000007</v>
      </c>
      <c r="S275" s="287">
        <f t="shared" si="685"/>
        <v>8294.2000000000007</v>
      </c>
      <c r="T275" s="103">
        <f t="shared" si="686"/>
        <v>8279.2000000000007</v>
      </c>
      <c r="U275" s="255">
        <f t="shared" si="687"/>
        <v>8279.2000000000007</v>
      </c>
      <c r="V275" s="103">
        <f t="shared" si="688"/>
        <v>8264.2000000000007</v>
      </c>
      <c r="W275" s="255">
        <f t="shared" si="689"/>
        <v>8264.2000000000007</v>
      </c>
      <c r="X275" s="377"/>
      <c r="Y275" s="377"/>
      <c r="Z275" s="377"/>
      <c r="AA275" s="377"/>
      <c r="AB275" s="192">
        <v>935</v>
      </c>
    </row>
    <row r="276" spans="1:38" ht="12.6" customHeight="1" x14ac:dyDescent="0.2">
      <c r="A276" s="18"/>
      <c r="B276" s="692" t="s">
        <v>618</v>
      </c>
      <c r="C276" s="693"/>
      <c r="D276" s="693"/>
      <c r="E276" s="693"/>
      <c r="F276" s="380">
        <f>10*X2</f>
        <v>10840</v>
      </c>
      <c r="G276" s="288">
        <f t="shared" ref="G276" si="709">+F276*$X$1</f>
        <v>10840</v>
      </c>
      <c r="H276" s="458">
        <f t="shared" si="674"/>
        <v>11340</v>
      </c>
      <c r="I276" s="288">
        <f t="shared" si="675"/>
        <v>11340</v>
      </c>
      <c r="J276" s="458">
        <f t="shared" si="676"/>
        <v>11060</v>
      </c>
      <c r="K276" s="288">
        <f t="shared" si="677"/>
        <v>11060</v>
      </c>
      <c r="L276" s="458">
        <f t="shared" si="678"/>
        <v>11010</v>
      </c>
      <c r="M276" s="288">
        <f t="shared" si="679"/>
        <v>11010</v>
      </c>
      <c r="N276" s="458">
        <f t="shared" si="680"/>
        <v>10985</v>
      </c>
      <c r="O276" s="288">
        <f t="shared" si="681"/>
        <v>10985</v>
      </c>
      <c r="P276" s="458">
        <f t="shared" si="682"/>
        <v>10970</v>
      </c>
      <c r="Q276" s="288">
        <f t="shared" si="683"/>
        <v>10970</v>
      </c>
      <c r="R276" s="458">
        <f t="shared" si="684"/>
        <v>10950</v>
      </c>
      <c r="S276" s="288">
        <f t="shared" si="685"/>
        <v>10950</v>
      </c>
      <c r="T276" s="102">
        <f t="shared" si="686"/>
        <v>10935</v>
      </c>
      <c r="U276" s="305">
        <f t="shared" si="687"/>
        <v>10935</v>
      </c>
      <c r="V276" s="102">
        <f t="shared" si="688"/>
        <v>10920</v>
      </c>
      <c r="W276" s="305">
        <f t="shared" si="689"/>
        <v>10920</v>
      </c>
      <c r="X276" s="687"/>
      <c r="Y276" s="688"/>
      <c r="Z276" s="688"/>
      <c r="AA276" s="689"/>
      <c r="AB276" s="192">
        <v>936</v>
      </c>
    </row>
    <row r="277" spans="1:38" ht="12.6" customHeight="1" x14ac:dyDescent="0.2">
      <c r="A277" s="18"/>
      <c r="B277" s="677" t="s">
        <v>859</v>
      </c>
      <c r="C277" s="678"/>
      <c r="D277" s="678"/>
      <c r="E277" s="678"/>
      <c r="F277" s="379">
        <f>4.9*X2</f>
        <v>5311.6</v>
      </c>
      <c r="G277" s="287">
        <f t="shared" ref="G277" si="710">+F277*$X$1</f>
        <v>5311.6</v>
      </c>
      <c r="H277" s="540">
        <f t="shared" si="674"/>
        <v>5811.6</v>
      </c>
      <c r="I277" s="287">
        <f t="shared" si="675"/>
        <v>5811.6</v>
      </c>
      <c r="J277" s="540">
        <f t="shared" si="676"/>
        <v>5531.6</v>
      </c>
      <c r="K277" s="287">
        <f t="shared" si="677"/>
        <v>5531.6</v>
      </c>
      <c r="L277" s="540">
        <f t="shared" si="678"/>
        <v>5481.6</v>
      </c>
      <c r="M277" s="287">
        <f t="shared" si="679"/>
        <v>5481.6</v>
      </c>
      <c r="N277" s="540">
        <f t="shared" si="680"/>
        <v>5456.6</v>
      </c>
      <c r="O277" s="287">
        <f t="shared" si="681"/>
        <v>5456.6</v>
      </c>
      <c r="P277" s="540">
        <f t="shared" si="682"/>
        <v>5441.6</v>
      </c>
      <c r="Q277" s="287">
        <f t="shared" si="683"/>
        <v>5441.6</v>
      </c>
      <c r="R277" s="540">
        <f t="shared" si="684"/>
        <v>5421.6</v>
      </c>
      <c r="S277" s="287">
        <f t="shared" si="685"/>
        <v>5421.6</v>
      </c>
      <c r="T277" s="103">
        <f t="shared" si="686"/>
        <v>5406.6</v>
      </c>
      <c r="U277" s="255">
        <f t="shared" si="687"/>
        <v>5406.6</v>
      </c>
      <c r="V277" s="103">
        <f t="shared" si="688"/>
        <v>5391.6</v>
      </c>
      <c r="W277" s="255">
        <f t="shared" si="689"/>
        <v>5391.6</v>
      </c>
      <c r="X277" s="687"/>
      <c r="Y277" s="688"/>
      <c r="Z277" s="688"/>
      <c r="AA277" s="689"/>
      <c r="AB277" s="192">
        <v>940</v>
      </c>
    </row>
    <row r="278" spans="1:38" ht="12.6" customHeight="1" x14ac:dyDescent="0.2">
      <c r="A278" s="18"/>
      <c r="B278" s="699" t="s">
        <v>201</v>
      </c>
      <c r="C278" s="1021"/>
      <c r="D278" s="1021"/>
      <c r="E278" s="1022"/>
      <c r="F278" s="380">
        <f>5.483*X2</f>
        <v>5943.5719999999992</v>
      </c>
      <c r="G278" s="288">
        <f t="shared" ref="G278:G282" si="711">+F278*$X$1</f>
        <v>5943.5719999999992</v>
      </c>
      <c r="H278" s="458">
        <f t="shared" si="674"/>
        <v>6443.5719999999992</v>
      </c>
      <c r="I278" s="288">
        <f t="shared" si="675"/>
        <v>6443.5719999999992</v>
      </c>
      <c r="J278" s="458">
        <f t="shared" si="676"/>
        <v>6163.5719999999992</v>
      </c>
      <c r="K278" s="288">
        <f t="shared" si="677"/>
        <v>6163.5719999999992</v>
      </c>
      <c r="L278" s="458">
        <f t="shared" si="678"/>
        <v>6113.5719999999992</v>
      </c>
      <c r="M278" s="288">
        <f t="shared" si="679"/>
        <v>6113.5719999999992</v>
      </c>
      <c r="N278" s="458">
        <f t="shared" si="680"/>
        <v>6088.5719999999992</v>
      </c>
      <c r="O278" s="288">
        <f t="shared" si="681"/>
        <v>6088.5719999999992</v>
      </c>
      <c r="P278" s="458">
        <f t="shared" si="682"/>
        <v>6073.5719999999992</v>
      </c>
      <c r="Q278" s="288">
        <f t="shared" si="683"/>
        <v>6073.5719999999992</v>
      </c>
      <c r="R278" s="458">
        <f t="shared" si="684"/>
        <v>6053.5719999999992</v>
      </c>
      <c r="S278" s="288">
        <f t="shared" si="685"/>
        <v>6053.5719999999992</v>
      </c>
      <c r="T278" s="102">
        <f t="shared" si="686"/>
        <v>6038.5719999999992</v>
      </c>
      <c r="U278" s="305">
        <f t="shared" si="687"/>
        <v>6038.5719999999992</v>
      </c>
      <c r="V278" s="102">
        <f t="shared" si="688"/>
        <v>6023.5719999999992</v>
      </c>
      <c r="W278" s="305">
        <f t="shared" si="689"/>
        <v>6023.5719999999992</v>
      </c>
      <c r="X278" s="133"/>
      <c r="Y278" s="135"/>
      <c r="Z278" s="131"/>
      <c r="AA278" s="131"/>
      <c r="AB278" s="192">
        <v>945</v>
      </c>
      <c r="AD278" s="65"/>
      <c r="AE278" s="65"/>
      <c r="AF278" s="65"/>
      <c r="AG278" s="65"/>
    </row>
    <row r="279" spans="1:38" ht="12.6" customHeight="1" x14ac:dyDescent="0.2">
      <c r="A279" s="18"/>
      <c r="B279" s="677" t="s">
        <v>480</v>
      </c>
      <c r="C279" s="678"/>
      <c r="D279" s="678"/>
      <c r="E279" s="678"/>
      <c r="F279" s="379">
        <f>4.52*X2</f>
        <v>4899.6799999999994</v>
      </c>
      <c r="G279" s="287">
        <f t="shared" ref="G279" si="712">+F279*$X$1</f>
        <v>4899.6799999999994</v>
      </c>
      <c r="H279" s="540">
        <f t="shared" si="674"/>
        <v>5399.6799999999994</v>
      </c>
      <c r="I279" s="287">
        <f t="shared" si="675"/>
        <v>5399.6799999999994</v>
      </c>
      <c r="J279" s="540">
        <f t="shared" si="676"/>
        <v>5119.6799999999994</v>
      </c>
      <c r="K279" s="287">
        <f t="shared" si="677"/>
        <v>5119.6799999999994</v>
      </c>
      <c r="L279" s="540">
        <f t="shared" si="678"/>
        <v>5069.6799999999994</v>
      </c>
      <c r="M279" s="287">
        <f t="shared" si="679"/>
        <v>5069.6799999999994</v>
      </c>
      <c r="N279" s="540">
        <f t="shared" si="680"/>
        <v>5044.6799999999994</v>
      </c>
      <c r="O279" s="287">
        <f t="shared" si="681"/>
        <v>5044.6799999999994</v>
      </c>
      <c r="P279" s="540">
        <f t="shared" si="682"/>
        <v>5029.6799999999994</v>
      </c>
      <c r="Q279" s="287">
        <f t="shared" si="683"/>
        <v>5029.6799999999994</v>
      </c>
      <c r="R279" s="540">
        <f t="shared" si="684"/>
        <v>5009.6799999999994</v>
      </c>
      <c r="S279" s="287">
        <f t="shared" si="685"/>
        <v>5009.6799999999994</v>
      </c>
      <c r="T279" s="103">
        <f t="shared" si="686"/>
        <v>4994.6799999999994</v>
      </c>
      <c r="U279" s="255">
        <f t="shared" si="687"/>
        <v>4994.6799999999994</v>
      </c>
      <c r="V279" s="103">
        <f t="shared" si="688"/>
        <v>4979.6799999999994</v>
      </c>
      <c r="W279" s="255">
        <f t="shared" si="689"/>
        <v>4979.6799999999994</v>
      </c>
      <c r="X279" s="151"/>
      <c r="Y279" s="151"/>
      <c r="Z279" s="151"/>
      <c r="AA279" s="151"/>
      <c r="AB279" s="192">
        <v>946</v>
      </c>
    </row>
    <row r="280" spans="1:38" ht="12.6" customHeight="1" x14ac:dyDescent="0.2">
      <c r="A280" s="18"/>
      <c r="B280" s="1047" t="s">
        <v>202</v>
      </c>
      <c r="C280" s="1048"/>
      <c r="D280" s="1048"/>
      <c r="E280" s="1049"/>
      <c r="F280" s="380">
        <f>5.1*X2</f>
        <v>5528.4</v>
      </c>
      <c r="G280" s="288">
        <f t="shared" si="711"/>
        <v>5528.4</v>
      </c>
      <c r="H280" s="458">
        <f t="shared" si="674"/>
        <v>6028.4</v>
      </c>
      <c r="I280" s="288">
        <f t="shared" ref="I280" si="713">+H280*$X$1</f>
        <v>6028.4</v>
      </c>
      <c r="J280" s="458"/>
      <c r="K280" s="288"/>
      <c r="L280" s="458"/>
      <c r="M280" s="288"/>
      <c r="N280" s="458"/>
      <c r="O280" s="288"/>
      <c r="P280" s="458"/>
      <c r="Q280" s="288"/>
      <c r="R280" s="458"/>
      <c r="S280" s="288"/>
      <c r="T280" s="102"/>
      <c r="U280" s="305"/>
      <c r="V280" s="102"/>
      <c r="W280" s="305"/>
      <c r="X280" s="687"/>
      <c r="Y280" s="867"/>
      <c r="Z280" s="867"/>
      <c r="AA280" s="689"/>
      <c r="AB280" s="415">
        <v>949</v>
      </c>
    </row>
    <row r="281" spans="1:38" ht="12.6" customHeight="1" x14ac:dyDescent="0.2">
      <c r="A281" s="18"/>
      <c r="B281" s="677" t="s">
        <v>586</v>
      </c>
      <c r="C281" s="678"/>
      <c r="D281" s="678"/>
      <c r="E281" s="678"/>
      <c r="F281" s="379">
        <f>6*X2</f>
        <v>6504</v>
      </c>
      <c r="G281" s="287">
        <f t="shared" si="711"/>
        <v>6504</v>
      </c>
      <c r="H281" s="542">
        <f>F281+500</f>
        <v>7004</v>
      </c>
      <c r="I281" s="287">
        <f t="shared" ref="I281:I282" si="714">+H281*$X$1</f>
        <v>7004</v>
      </c>
      <c r="J281" s="542">
        <f>F281+220</f>
        <v>6724</v>
      </c>
      <c r="K281" s="287">
        <f t="shared" ref="K281:K284" si="715">+J281*$X$1</f>
        <v>6724</v>
      </c>
      <c r="L281" s="542">
        <f>F281+170</f>
        <v>6674</v>
      </c>
      <c r="M281" s="287">
        <f t="shared" ref="M281:M282" si="716">+L281*$X$1</f>
        <v>6674</v>
      </c>
      <c r="N281" s="542">
        <f>F281+145</f>
        <v>6649</v>
      </c>
      <c r="O281" s="287">
        <f t="shared" ref="O281:O282" si="717">+N281*$X$1</f>
        <v>6649</v>
      </c>
      <c r="P281" s="542">
        <f>F281+130</f>
        <v>6634</v>
      </c>
      <c r="Q281" s="287">
        <f t="shared" ref="Q281:Q282" si="718">+P281*$X$1</f>
        <v>6634</v>
      </c>
      <c r="R281" s="542">
        <f>F281+110</f>
        <v>6614</v>
      </c>
      <c r="S281" s="287">
        <f t="shared" ref="S281:S282" si="719">+R281*$X$1</f>
        <v>6614</v>
      </c>
      <c r="T281" s="103">
        <f>F281+95</f>
        <v>6599</v>
      </c>
      <c r="U281" s="255">
        <f t="shared" ref="U281:U282" si="720">+T281*$X$1</f>
        <v>6599</v>
      </c>
      <c r="V281" s="103">
        <f>F281+80</f>
        <v>6584</v>
      </c>
      <c r="W281" s="255">
        <f t="shared" ref="W281:W282" si="721">+V281*$X$1</f>
        <v>6584</v>
      </c>
      <c r="X281" s="682"/>
      <c r="Y281" s="995"/>
      <c r="Z281" s="995"/>
      <c r="AA281" s="960"/>
      <c r="AB281" s="192">
        <v>962</v>
      </c>
    </row>
    <row r="282" spans="1:38" ht="12.6" customHeight="1" x14ac:dyDescent="0.2">
      <c r="A282" s="18"/>
      <c r="B282" s="692" t="s">
        <v>848</v>
      </c>
      <c r="C282" s="693"/>
      <c r="D282" s="693"/>
      <c r="E282" s="693"/>
      <c r="F282" s="380">
        <f>10.94*X2</f>
        <v>11858.96</v>
      </c>
      <c r="G282" s="288">
        <f t="shared" si="711"/>
        <v>11858.96</v>
      </c>
      <c r="H282" s="458">
        <f>F282+500</f>
        <v>12358.96</v>
      </c>
      <c r="I282" s="288">
        <f t="shared" si="714"/>
        <v>12358.96</v>
      </c>
      <c r="J282" s="458">
        <f>F282+220</f>
        <v>12078.96</v>
      </c>
      <c r="K282" s="288">
        <f t="shared" si="715"/>
        <v>12078.96</v>
      </c>
      <c r="L282" s="458">
        <f>F282+170</f>
        <v>12028.96</v>
      </c>
      <c r="M282" s="288">
        <f t="shared" si="716"/>
        <v>12028.96</v>
      </c>
      <c r="N282" s="458">
        <f>F282+145</f>
        <v>12003.96</v>
      </c>
      <c r="O282" s="288">
        <f t="shared" si="717"/>
        <v>12003.96</v>
      </c>
      <c r="P282" s="458">
        <f>F282+130</f>
        <v>11988.96</v>
      </c>
      <c r="Q282" s="288">
        <f t="shared" si="718"/>
        <v>11988.96</v>
      </c>
      <c r="R282" s="458">
        <f>F282+110</f>
        <v>11968.96</v>
      </c>
      <c r="S282" s="288">
        <f t="shared" si="719"/>
        <v>11968.96</v>
      </c>
      <c r="T282" s="102">
        <f>F282+95</f>
        <v>11953.96</v>
      </c>
      <c r="U282" s="305">
        <f t="shared" si="720"/>
        <v>11953.96</v>
      </c>
      <c r="V282" s="102">
        <f>F282+80</f>
        <v>11938.96</v>
      </c>
      <c r="W282" s="305">
        <f t="shared" si="721"/>
        <v>11938.96</v>
      </c>
      <c r="X282" s="456"/>
      <c r="Y282" s="456"/>
      <c r="Z282" s="456"/>
      <c r="AA282" s="456"/>
      <c r="AB282" s="192">
        <v>963</v>
      </c>
    </row>
    <row r="283" spans="1:38" ht="12.6" customHeight="1" x14ac:dyDescent="0.2">
      <c r="A283" s="18"/>
      <c r="B283" s="673" t="s">
        <v>889</v>
      </c>
      <c r="C283" s="674"/>
      <c r="D283" s="674"/>
      <c r="E283" s="674"/>
      <c r="F283" s="379">
        <f>7.1*X2</f>
        <v>7696.4</v>
      </c>
      <c r="G283" s="287">
        <f t="shared" ref="G283" si="722">+F283*$X$1</f>
        <v>7696.4</v>
      </c>
      <c r="H283" s="542">
        <f>F283+500</f>
        <v>8196.4</v>
      </c>
      <c r="I283" s="287">
        <f t="shared" ref="I283" si="723">+H283*$X$1</f>
        <v>8196.4</v>
      </c>
      <c r="J283" s="542">
        <f>F283+220</f>
        <v>7916.4</v>
      </c>
      <c r="K283" s="287">
        <f t="shared" ref="K283" si="724">+J283*$X$1</f>
        <v>7916.4</v>
      </c>
      <c r="L283" s="542">
        <f>F283+170</f>
        <v>7866.4</v>
      </c>
      <c r="M283" s="287">
        <f t="shared" ref="M283" si="725">+L283*$X$1</f>
        <v>7866.4</v>
      </c>
      <c r="N283" s="542">
        <f>F283+145</f>
        <v>7841.4</v>
      </c>
      <c r="O283" s="287">
        <f t="shared" ref="O283" si="726">+N283*$X$1</f>
        <v>7841.4</v>
      </c>
      <c r="P283" s="542">
        <f>F283+130</f>
        <v>7826.4</v>
      </c>
      <c r="Q283" s="287">
        <f t="shared" ref="Q283" si="727">+P283*$X$1</f>
        <v>7826.4</v>
      </c>
      <c r="R283" s="542">
        <f>F283+110</f>
        <v>7806.4</v>
      </c>
      <c r="S283" s="287">
        <f t="shared" ref="S283" si="728">+R283*$X$1</f>
        <v>7806.4</v>
      </c>
      <c r="T283" s="103">
        <f>F283+95</f>
        <v>7791.4</v>
      </c>
      <c r="U283" s="255">
        <f t="shared" ref="U283" si="729">+T283*$X$1</f>
        <v>7791.4</v>
      </c>
      <c r="V283" s="103">
        <f>F283+80</f>
        <v>7776.4</v>
      </c>
      <c r="W283" s="255">
        <f t="shared" ref="W283" si="730">+V283*$X$1</f>
        <v>7776.4</v>
      </c>
      <c r="X283" s="456"/>
      <c r="Y283" s="456"/>
      <c r="Z283" s="456"/>
      <c r="AA283" s="456"/>
      <c r="AB283" s="192">
        <v>966</v>
      </c>
    </row>
    <row r="284" spans="1:38" s="1" customFormat="1" ht="12.6" customHeight="1" x14ac:dyDescent="0.2">
      <c r="A284" s="19"/>
      <c r="B284" s="692" t="s">
        <v>375</v>
      </c>
      <c r="C284" s="693"/>
      <c r="D284" s="693"/>
      <c r="E284" s="693"/>
      <c r="F284" s="288">
        <v>430</v>
      </c>
      <c r="G284" s="288">
        <f>+F284*$X$1</f>
        <v>430</v>
      </c>
      <c r="H284" s="280"/>
      <c r="I284" s="280"/>
      <c r="J284" s="458">
        <f>F284+180</f>
        <v>610</v>
      </c>
      <c r="K284" s="288">
        <f t="shared" si="715"/>
        <v>610</v>
      </c>
      <c r="L284" s="458">
        <f>F284+140</f>
        <v>570</v>
      </c>
      <c r="M284" s="288">
        <f>+L284*$X$1</f>
        <v>570</v>
      </c>
      <c r="N284" s="458">
        <f>F284+80</f>
        <v>510</v>
      </c>
      <c r="O284" s="288">
        <f>+N284*$X$1</f>
        <v>510</v>
      </c>
      <c r="P284" s="458">
        <f>F284+65</f>
        <v>495</v>
      </c>
      <c r="Q284" s="288">
        <f>+P284*$X$1</f>
        <v>495</v>
      </c>
      <c r="R284" s="458">
        <f>F284+52</f>
        <v>482</v>
      </c>
      <c r="S284" s="288">
        <f>+R284*$X$1</f>
        <v>482</v>
      </c>
      <c r="T284" s="102">
        <f>F284+45</f>
        <v>475</v>
      </c>
      <c r="U284" s="305">
        <f>+T284*$X$1</f>
        <v>475</v>
      </c>
      <c r="V284" s="102">
        <f>F284+39</f>
        <v>469</v>
      </c>
      <c r="W284" s="305">
        <f>+V284*$X$1</f>
        <v>469</v>
      </c>
      <c r="X284" s="148"/>
      <c r="Y284" s="148"/>
      <c r="Z284" s="148"/>
      <c r="AA284" s="148"/>
      <c r="AB284" s="192">
        <v>998</v>
      </c>
      <c r="AC284" s="75"/>
      <c r="AD284" s="4"/>
      <c r="AE284" s="4"/>
      <c r="AF284" s="4"/>
      <c r="AG284" s="4"/>
      <c r="AH284" s="4"/>
      <c r="AI284" s="4"/>
      <c r="AJ284" s="4"/>
      <c r="AK284" s="4"/>
      <c r="AL284" s="4"/>
    </row>
    <row r="285" spans="1:38" s="1" customFormat="1" ht="12.6" customHeight="1" x14ac:dyDescent="0.2">
      <c r="A285" s="19"/>
      <c r="B285" s="732" t="s">
        <v>212</v>
      </c>
      <c r="C285" s="796"/>
      <c r="D285" s="796"/>
      <c r="E285" s="797"/>
      <c r="F285" s="287">
        <v>1400</v>
      </c>
      <c r="G285" s="306">
        <f t="shared" ref="G285" si="731">+F285*$X$1</f>
        <v>1400</v>
      </c>
      <c r="H285" s="1009" t="s">
        <v>394</v>
      </c>
      <c r="I285" s="1010"/>
      <c r="J285" s="1010"/>
      <c r="K285" s="1010"/>
      <c r="L285" s="1010"/>
      <c r="M285" s="1011"/>
      <c r="N285" s="495">
        <f>F285+100</f>
        <v>1500</v>
      </c>
      <c r="O285" s="287">
        <f t="shared" ref="O285" si="732">+N285*$X$1</f>
        <v>1500</v>
      </c>
      <c r="P285" s="495">
        <f>F285+80</f>
        <v>1480</v>
      </c>
      <c r="Q285" s="287">
        <f t="shared" ref="Q285" si="733">+P285*$X$1</f>
        <v>1480</v>
      </c>
      <c r="R285" s="495">
        <f>F285+63</f>
        <v>1463</v>
      </c>
      <c r="S285" s="287">
        <f t="shared" ref="S285" si="734">+R285*$X$1</f>
        <v>1463</v>
      </c>
      <c r="T285" s="495">
        <f>F285+55</f>
        <v>1455</v>
      </c>
      <c r="U285" s="287">
        <f t="shared" ref="U285" si="735">+T285*$X$1</f>
        <v>1455</v>
      </c>
      <c r="V285" s="495">
        <f>F285+50</f>
        <v>1450</v>
      </c>
      <c r="W285" s="287">
        <f t="shared" ref="W285" si="736">+V285*$X$1</f>
        <v>1450</v>
      </c>
      <c r="X285" s="726"/>
      <c r="Y285" s="727"/>
      <c r="Z285" s="727"/>
      <c r="AA285" s="728"/>
      <c r="AB285" s="192">
        <v>1001</v>
      </c>
      <c r="AC285" s="4"/>
      <c r="AD285" s="4"/>
      <c r="AE285" s="4"/>
      <c r="AF285" s="4"/>
      <c r="AG285" s="4"/>
      <c r="AH285" s="4"/>
      <c r="AI285" s="4"/>
      <c r="AJ285" s="4"/>
      <c r="AK285" s="4"/>
      <c r="AL285" s="4"/>
    </row>
    <row r="286" spans="1:38" s="1" customFormat="1" ht="12.6" customHeight="1" x14ac:dyDescent="0.2">
      <c r="A286" s="19"/>
      <c r="B286" s="699" t="s">
        <v>213</v>
      </c>
      <c r="C286" s="978"/>
      <c r="D286" s="978"/>
      <c r="E286" s="979"/>
      <c r="F286" s="319">
        <v>1400</v>
      </c>
      <c r="G286" s="288">
        <f t="shared" ref="G286:G295" si="737">+F286*$X$1</f>
        <v>1400</v>
      </c>
      <c r="H286" s="1012"/>
      <c r="I286" s="1013"/>
      <c r="J286" s="1013"/>
      <c r="K286" s="1010"/>
      <c r="L286" s="1013"/>
      <c r="M286" s="1011"/>
      <c r="N286" s="495">
        <f>F286+100</f>
        <v>1500</v>
      </c>
      <c r="O286" s="288">
        <f t="shared" ref="O286:O289" si="738">+N286*$X$1</f>
        <v>1500</v>
      </c>
      <c r="P286" s="458">
        <f>F286+80</f>
        <v>1480</v>
      </c>
      <c r="Q286" s="288">
        <f t="shared" ref="Q286:Q289" si="739">+P286*$X$1</f>
        <v>1480</v>
      </c>
      <c r="R286" s="458">
        <f>F286+63</f>
        <v>1463</v>
      </c>
      <c r="S286" s="288">
        <f t="shared" ref="S286:S289" si="740">+R286*$X$1</f>
        <v>1463</v>
      </c>
      <c r="T286" s="458">
        <f>F286+55</f>
        <v>1455</v>
      </c>
      <c r="U286" s="288">
        <f t="shared" ref="U286:U289" si="741">+T286*$X$1</f>
        <v>1455</v>
      </c>
      <c r="V286" s="458">
        <f>F286+50</f>
        <v>1450</v>
      </c>
      <c r="W286" s="288">
        <f t="shared" ref="W286:W289" si="742">+V286*$X$1</f>
        <v>1450</v>
      </c>
      <c r="X286" s="726"/>
      <c r="Y286" s="727"/>
      <c r="Z286" s="727"/>
      <c r="AA286" s="728"/>
      <c r="AB286" s="192">
        <v>1002</v>
      </c>
      <c r="AC286" s="4"/>
      <c r="AD286" s="4"/>
      <c r="AE286" s="4"/>
      <c r="AF286" s="4"/>
      <c r="AG286" s="4"/>
      <c r="AH286" s="4"/>
      <c r="AI286" s="4"/>
      <c r="AJ286" s="4"/>
      <c r="AK286" s="4"/>
      <c r="AL286" s="4"/>
    </row>
    <row r="287" spans="1:38" s="1" customFormat="1" ht="12.6" customHeight="1" x14ac:dyDescent="0.2">
      <c r="A287" s="19"/>
      <c r="B287" s="732" t="s">
        <v>633</v>
      </c>
      <c r="C287" s="796"/>
      <c r="D287" s="796"/>
      <c r="E287" s="797"/>
      <c r="F287" s="287">
        <v>1400</v>
      </c>
      <c r="G287" s="287">
        <f t="shared" si="737"/>
        <v>1400</v>
      </c>
      <c r="H287" s="1012"/>
      <c r="I287" s="1013"/>
      <c r="J287" s="1013"/>
      <c r="K287" s="1010"/>
      <c r="L287" s="1013"/>
      <c r="M287" s="1011"/>
      <c r="N287" s="495">
        <f>F287+100</f>
        <v>1500</v>
      </c>
      <c r="O287" s="287">
        <f t="shared" si="738"/>
        <v>1500</v>
      </c>
      <c r="P287" s="495">
        <f>F287+80</f>
        <v>1480</v>
      </c>
      <c r="Q287" s="287">
        <f t="shared" si="739"/>
        <v>1480</v>
      </c>
      <c r="R287" s="495">
        <f>F287+63</f>
        <v>1463</v>
      </c>
      <c r="S287" s="287">
        <f t="shared" si="740"/>
        <v>1463</v>
      </c>
      <c r="T287" s="495">
        <f>F287+55</f>
        <v>1455</v>
      </c>
      <c r="U287" s="287">
        <f t="shared" si="741"/>
        <v>1455</v>
      </c>
      <c r="V287" s="495">
        <f>F287+50</f>
        <v>1450</v>
      </c>
      <c r="W287" s="287">
        <f t="shared" si="742"/>
        <v>1450</v>
      </c>
      <c r="X287" s="726"/>
      <c r="Y287" s="727"/>
      <c r="Z287" s="727"/>
      <c r="AA287" s="728"/>
      <c r="AB287" s="192"/>
      <c r="AC287" s="4"/>
      <c r="AD287" s="4"/>
      <c r="AE287" s="4"/>
      <c r="AF287" s="4"/>
      <c r="AG287" s="4"/>
      <c r="AH287" s="4"/>
      <c r="AI287" s="4"/>
      <c r="AJ287" s="4"/>
      <c r="AK287" s="4"/>
      <c r="AL287" s="4"/>
    </row>
    <row r="288" spans="1:38" s="1" customFormat="1" ht="12.6" customHeight="1" x14ac:dyDescent="0.2">
      <c r="A288" s="19"/>
      <c r="B288" s="692" t="s">
        <v>687</v>
      </c>
      <c r="C288" s="693"/>
      <c r="D288" s="693"/>
      <c r="E288" s="693"/>
      <c r="F288" s="288">
        <v>1650</v>
      </c>
      <c r="G288" s="288">
        <f t="shared" si="737"/>
        <v>1650</v>
      </c>
      <c r="H288" s="1012"/>
      <c r="I288" s="1013"/>
      <c r="J288" s="1013"/>
      <c r="K288" s="1010"/>
      <c r="L288" s="1013"/>
      <c r="M288" s="1011"/>
      <c r="N288" s="495">
        <f>F288+100</f>
        <v>1750</v>
      </c>
      <c r="O288" s="288">
        <f t="shared" si="738"/>
        <v>1750</v>
      </c>
      <c r="P288" s="458">
        <f>F288+80</f>
        <v>1730</v>
      </c>
      <c r="Q288" s="288">
        <f t="shared" si="739"/>
        <v>1730</v>
      </c>
      <c r="R288" s="458">
        <f>F288+63</f>
        <v>1713</v>
      </c>
      <c r="S288" s="288">
        <f t="shared" si="740"/>
        <v>1713</v>
      </c>
      <c r="T288" s="458">
        <f>F288+55</f>
        <v>1705</v>
      </c>
      <c r="U288" s="288">
        <f t="shared" si="741"/>
        <v>1705</v>
      </c>
      <c r="V288" s="458">
        <f>F288+50</f>
        <v>1700</v>
      </c>
      <c r="W288" s="288">
        <f t="shared" si="742"/>
        <v>1700</v>
      </c>
      <c r="X288" s="726"/>
      <c r="Y288" s="799"/>
      <c r="Z288" s="799"/>
      <c r="AA288" s="728"/>
      <c r="AB288" s="192">
        <v>1004</v>
      </c>
      <c r="AC288" s="4"/>
      <c r="AD288" s="4"/>
      <c r="AE288" s="4"/>
      <c r="AF288" s="4"/>
      <c r="AG288" s="4"/>
      <c r="AH288" s="4"/>
      <c r="AI288" s="4"/>
      <c r="AJ288" s="4"/>
      <c r="AK288" s="4"/>
      <c r="AL288" s="4"/>
    </row>
    <row r="289" spans="1:38" s="1" customFormat="1" ht="12.6" customHeight="1" x14ac:dyDescent="0.2">
      <c r="A289" s="19"/>
      <c r="B289" s="732" t="s">
        <v>686</v>
      </c>
      <c r="C289" s="796"/>
      <c r="D289" s="796"/>
      <c r="E289" s="797"/>
      <c r="F289" s="287">
        <v>1650</v>
      </c>
      <c r="G289" s="287">
        <f t="shared" si="737"/>
        <v>1650</v>
      </c>
      <c r="H289" s="1012"/>
      <c r="I289" s="1013"/>
      <c r="J289" s="1013"/>
      <c r="K289" s="1010"/>
      <c r="L289" s="1013"/>
      <c r="M289" s="1011"/>
      <c r="N289" s="495">
        <f>F289+100</f>
        <v>1750</v>
      </c>
      <c r="O289" s="287">
        <f t="shared" si="738"/>
        <v>1750</v>
      </c>
      <c r="P289" s="495">
        <f>F289+80</f>
        <v>1730</v>
      </c>
      <c r="Q289" s="287">
        <f t="shared" si="739"/>
        <v>1730</v>
      </c>
      <c r="R289" s="495">
        <f>F289+63</f>
        <v>1713</v>
      </c>
      <c r="S289" s="287">
        <f t="shared" si="740"/>
        <v>1713</v>
      </c>
      <c r="T289" s="495">
        <f>F289+55</f>
        <v>1705</v>
      </c>
      <c r="U289" s="287">
        <f t="shared" si="741"/>
        <v>1705</v>
      </c>
      <c r="V289" s="495">
        <f>F289+50</f>
        <v>1700</v>
      </c>
      <c r="W289" s="287">
        <f t="shared" si="742"/>
        <v>1700</v>
      </c>
      <c r="X289" s="726"/>
      <c r="Y289" s="727"/>
      <c r="Z289" s="727"/>
      <c r="AA289" s="728"/>
      <c r="AB289" s="192">
        <v>1005</v>
      </c>
      <c r="AC289" s="4"/>
      <c r="AD289" s="4"/>
      <c r="AE289" s="4"/>
      <c r="AF289" s="4"/>
      <c r="AG289" s="4"/>
      <c r="AH289" s="128"/>
      <c r="AI289" s="4"/>
      <c r="AJ289" s="4"/>
      <c r="AK289" s="4"/>
      <c r="AL289" s="4"/>
    </row>
    <row r="290" spans="1:38" s="1" customFormat="1" ht="12.6" customHeight="1" x14ac:dyDescent="0.2">
      <c r="A290" s="19"/>
      <c r="B290" s="699" t="s">
        <v>214</v>
      </c>
      <c r="C290" s="740"/>
      <c r="D290" s="740"/>
      <c r="E290" s="741"/>
      <c r="F290" s="288"/>
      <c r="G290" s="288"/>
      <c r="H290" s="1014"/>
      <c r="I290" s="1015"/>
      <c r="J290" s="1015"/>
      <c r="K290" s="1015"/>
      <c r="L290" s="1015"/>
      <c r="M290" s="1016"/>
      <c r="N290" s="458"/>
      <c r="O290" s="288"/>
      <c r="P290" s="458"/>
      <c r="Q290" s="288"/>
      <c r="R290" s="458"/>
      <c r="S290" s="288"/>
      <c r="T290" s="458"/>
      <c r="U290" s="288"/>
      <c r="V290" s="458"/>
      <c r="W290" s="288"/>
      <c r="X290" s="726"/>
      <c r="Y290" s="727"/>
      <c r="Z290" s="727"/>
      <c r="AA290" s="728"/>
      <c r="AB290" s="192">
        <v>1006</v>
      </c>
      <c r="AC290" s="4"/>
      <c r="AD290" s="4"/>
      <c r="AE290" s="4"/>
      <c r="AF290" s="4"/>
      <c r="AG290" s="4"/>
      <c r="AH290" s="128"/>
      <c r="AI290" s="4"/>
      <c r="AJ290" s="4"/>
      <c r="AK290" s="4"/>
      <c r="AL290" s="4"/>
    </row>
    <row r="291" spans="1:38" s="1" customFormat="1" ht="12.6" customHeight="1" x14ac:dyDescent="0.2">
      <c r="A291" s="19"/>
      <c r="B291" s="679" t="s">
        <v>914</v>
      </c>
      <c r="C291" s="680"/>
      <c r="D291" s="680"/>
      <c r="E291" s="681"/>
      <c r="F291" s="379">
        <f>2.8*X2</f>
        <v>3035.2</v>
      </c>
      <c r="G291" s="287">
        <f>+F291*$X$1</f>
        <v>3035.2</v>
      </c>
      <c r="H291" s="71">
        <f>F291+500</f>
        <v>3535.2</v>
      </c>
      <c r="I291" s="287">
        <f t="shared" ref="I291" si="743">+H291*$X$1</f>
        <v>3535.2</v>
      </c>
      <c r="J291" s="577">
        <f>F291+210</f>
        <v>3245.2</v>
      </c>
      <c r="K291" s="287">
        <f>+J291*$X$1</f>
        <v>3245.2</v>
      </c>
      <c r="L291" s="577">
        <f>F291+170</f>
        <v>3205.2</v>
      </c>
      <c r="M291" s="287">
        <f>+L291*$X$1</f>
        <v>3205.2</v>
      </c>
      <c r="N291" s="71">
        <f>F291+130</f>
        <v>3165.2</v>
      </c>
      <c r="O291" s="287">
        <f t="shared" ref="O291" si="744">+N291*$X$1</f>
        <v>3165.2</v>
      </c>
      <c r="P291" s="71">
        <f>F291+110</f>
        <v>3145.2</v>
      </c>
      <c r="Q291" s="287">
        <f t="shared" ref="Q291" si="745">+P291*$X$1</f>
        <v>3145.2</v>
      </c>
      <c r="R291" s="577">
        <f>F291+100</f>
        <v>3135.2</v>
      </c>
      <c r="S291" s="287">
        <f t="shared" ref="S291" si="746">+R291*$X$1</f>
        <v>3135.2</v>
      </c>
      <c r="T291" s="577">
        <f>F291+93</f>
        <v>3128.2</v>
      </c>
      <c r="U291" s="287">
        <f t="shared" ref="U291" si="747">+T291*$X$1</f>
        <v>3128.2</v>
      </c>
      <c r="V291" s="577">
        <f>F291+84</f>
        <v>3119.2</v>
      </c>
      <c r="W291" s="287">
        <f t="shared" ref="W291" si="748">+V291*$X$1</f>
        <v>3119.2</v>
      </c>
      <c r="X291" s="574"/>
      <c r="Y291" s="576"/>
      <c r="Z291" s="576"/>
      <c r="AA291" s="575"/>
      <c r="AB291" s="192">
        <v>1024</v>
      </c>
      <c r="AC291" s="4"/>
      <c r="AD291" s="4"/>
      <c r="AE291" s="4"/>
      <c r="AF291" s="4"/>
      <c r="AG291" s="4"/>
      <c r="AH291" s="493"/>
      <c r="AI291" s="4"/>
      <c r="AJ291" s="4"/>
      <c r="AK291" s="4"/>
      <c r="AL291" s="4"/>
    </row>
    <row r="292" spans="1:38" s="1" customFormat="1" ht="12.6" customHeight="1" x14ac:dyDescent="0.2">
      <c r="A292" s="19"/>
      <c r="B292" s="699" t="s">
        <v>837</v>
      </c>
      <c r="C292" s="740"/>
      <c r="D292" s="740"/>
      <c r="E292" s="741"/>
      <c r="F292" s="380">
        <f>3*X2</f>
        <v>3252</v>
      </c>
      <c r="G292" s="288">
        <f>+F292*$X$1</f>
        <v>3252</v>
      </c>
      <c r="H292" s="89">
        <f>F292+500</f>
        <v>3752</v>
      </c>
      <c r="I292" s="288">
        <f t="shared" ref="I292:I293" si="749">+H292*$X$1</f>
        <v>3752</v>
      </c>
      <c r="J292" s="458">
        <f>F292+210</f>
        <v>3462</v>
      </c>
      <c r="K292" s="288">
        <f>+J292*$X$1</f>
        <v>3462</v>
      </c>
      <c r="L292" s="458">
        <f>F292+170</f>
        <v>3422</v>
      </c>
      <c r="M292" s="288">
        <f>+L292*$X$1</f>
        <v>3422</v>
      </c>
      <c r="N292" s="89">
        <f>F292+130</f>
        <v>3382</v>
      </c>
      <c r="O292" s="288">
        <f t="shared" ref="O292:O293" si="750">+N292*$X$1</f>
        <v>3382</v>
      </c>
      <c r="P292" s="89">
        <f>F292+110</f>
        <v>3362</v>
      </c>
      <c r="Q292" s="288">
        <f t="shared" ref="Q292:Q293" si="751">+P292*$X$1</f>
        <v>3362</v>
      </c>
      <c r="R292" s="458">
        <f>F292+100</f>
        <v>3352</v>
      </c>
      <c r="S292" s="288">
        <f t="shared" ref="S292:S293" si="752">+R292*$X$1</f>
        <v>3352</v>
      </c>
      <c r="T292" s="458">
        <f>F292+93</f>
        <v>3345</v>
      </c>
      <c r="U292" s="288">
        <f t="shared" ref="U292:U293" si="753">+T292*$X$1</f>
        <v>3345</v>
      </c>
      <c r="V292" s="458">
        <f>F292+84</f>
        <v>3336</v>
      </c>
      <c r="W292" s="288">
        <f t="shared" ref="W292:W293" si="754">+V292*$X$1</f>
        <v>3336</v>
      </c>
      <c r="X292" s="492"/>
      <c r="Y292" s="490"/>
      <c r="Z292" s="490"/>
      <c r="AA292" s="491"/>
      <c r="AB292" s="192">
        <v>1026</v>
      </c>
      <c r="AC292" s="4"/>
      <c r="AD292" s="4"/>
      <c r="AE292" s="4"/>
      <c r="AF292" s="4"/>
      <c r="AG292" s="4"/>
      <c r="AH292" s="493"/>
      <c r="AI292" s="4"/>
      <c r="AJ292" s="4"/>
      <c r="AK292" s="4"/>
      <c r="AL292" s="4"/>
    </row>
    <row r="293" spans="1:38" s="1" customFormat="1" ht="12.6" customHeight="1" x14ac:dyDescent="0.2">
      <c r="A293" s="19"/>
      <c r="B293" s="732" t="s">
        <v>590</v>
      </c>
      <c r="C293" s="733"/>
      <c r="D293" s="733"/>
      <c r="E293" s="734"/>
      <c r="F293" s="533">
        <f>14.4*X2</f>
        <v>15609.6</v>
      </c>
      <c r="G293" s="289">
        <f t="shared" si="737"/>
        <v>15609.6</v>
      </c>
      <c r="H293" s="71">
        <f>F293+500</f>
        <v>16109.6</v>
      </c>
      <c r="I293" s="287">
        <f t="shared" si="749"/>
        <v>16109.6</v>
      </c>
      <c r="J293" s="577">
        <f>F293+210</f>
        <v>15819.6</v>
      </c>
      <c r="K293" s="287">
        <f t="shared" ref="K293" si="755">+J293*$X$1</f>
        <v>15819.6</v>
      </c>
      <c r="L293" s="577">
        <f>F293+150</f>
        <v>15759.6</v>
      </c>
      <c r="M293" s="287">
        <f t="shared" ref="M293" si="756">+L293*$X$1</f>
        <v>15759.6</v>
      </c>
      <c r="N293" s="577">
        <f>F293+120</f>
        <v>15729.6</v>
      </c>
      <c r="O293" s="287">
        <f t="shared" si="750"/>
        <v>15729.6</v>
      </c>
      <c r="P293" s="577">
        <f>F293+95</f>
        <v>15704.6</v>
      </c>
      <c r="Q293" s="287">
        <f t="shared" si="751"/>
        <v>15704.6</v>
      </c>
      <c r="R293" s="577">
        <f>F293+85</f>
        <v>15694.6</v>
      </c>
      <c r="S293" s="287">
        <f t="shared" si="752"/>
        <v>15694.6</v>
      </c>
      <c r="T293" s="577">
        <f>F293+77</f>
        <v>15686.6</v>
      </c>
      <c r="U293" s="287">
        <f t="shared" si="753"/>
        <v>15686.6</v>
      </c>
      <c r="V293" s="577">
        <f>F293+68</f>
        <v>15677.6</v>
      </c>
      <c r="W293" s="287">
        <f t="shared" si="754"/>
        <v>15677.6</v>
      </c>
      <c r="X293" s="335"/>
      <c r="Y293" s="336"/>
      <c r="Z293" s="336"/>
      <c r="AA293" s="337"/>
      <c r="AB293" s="192">
        <v>1028</v>
      </c>
      <c r="AC293" s="4"/>
      <c r="AD293" s="4"/>
      <c r="AE293" s="4"/>
      <c r="AF293" s="4"/>
      <c r="AG293" s="4"/>
      <c r="AH293" s="128"/>
      <c r="AI293" s="4"/>
      <c r="AJ293" s="4"/>
      <c r="AK293" s="4"/>
      <c r="AL293" s="4"/>
    </row>
    <row r="294" spans="1:38" s="1" customFormat="1" ht="12.6" customHeight="1" x14ac:dyDescent="0.2">
      <c r="A294" s="19"/>
      <c r="B294" s="699" t="s">
        <v>850</v>
      </c>
      <c r="C294" s="740"/>
      <c r="D294" s="740"/>
      <c r="E294" s="741"/>
      <c r="F294" s="329">
        <v>3300</v>
      </c>
      <c r="G294" s="288">
        <f t="shared" ref="G294" si="757">+F294*$X$1</f>
        <v>3300</v>
      </c>
      <c r="H294" s="89"/>
      <c r="I294" s="288"/>
      <c r="J294" s="458"/>
      <c r="K294" s="288"/>
      <c r="L294" s="458">
        <f>F294+170</f>
        <v>3470</v>
      </c>
      <c r="M294" s="288">
        <f>+L294*$X$1</f>
        <v>3470</v>
      </c>
      <c r="N294" s="89">
        <f>F294+130</f>
        <v>3430</v>
      </c>
      <c r="O294" s="288">
        <f t="shared" ref="O294:O297" si="758">+N294*$X$1</f>
        <v>3430</v>
      </c>
      <c r="P294" s="89">
        <f>F294+110</f>
        <v>3410</v>
      </c>
      <c r="Q294" s="288">
        <f t="shared" ref="Q294:Q297" si="759">+P294*$X$1</f>
        <v>3410</v>
      </c>
      <c r="R294" s="458">
        <f>F294+100</f>
        <v>3400</v>
      </c>
      <c r="S294" s="288">
        <f t="shared" ref="S294:S297" si="760">+R294*$X$1</f>
        <v>3400</v>
      </c>
      <c r="T294" s="458">
        <f>F294+93</f>
        <v>3393</v>
      </c>
      <c r="U294" s="288">
        <f t="shared" ref="U294:U297" si="761">+T294*$X$1</f>
        <v>3393</v>
      </c>
      <c r="V294" s="458">
        <f>F294+84</f>
        <v>3384</v>
      </c>
      <c r="W294" s="288">
        <f t="shared" ref="W294:W297" si="762">+V294*$X$1</f>
        <v>3384</v>
      </c>
      <c r="X294" s="499"/>
      <c r="Y294" s="500"/>
      <c r="Z294" s="500"/>
      <c r="AA294" s="501"/>
      <c r="AB294" s="192">
        <v>1029</v>
      </c>
      <c r="AC294" s="4"/>
      <c r="AD294" s="4"/>
      <c r="AE294" s="4"/>
      <c r="AF294" s="4"/>
      <c r="AG294" s="4"/>
      <c r="AH294" s="128"/>
      <c r="AI294" s="4"/>
      <c r="AJ294" s="4"/>
      <c r="AK294" s="4"/>
      <c r="AL294" s="4"/>
    </row>
    <row r="295" spans="1:38" s="1" customFormat="1" ht="12.6" customHeight="1" x14ac:dyDescent="0.2">
      <c r="A295" s="19"/>
      <c r="B295" s="732" t="s">
        <v>588</v>
      </c>
      <c r="C295" s="733"/>
      <c r="D295" s="733"/>
      <c r="E295" s="734"/>
      <c r="F295" s="330">
        <v>3300</v>
      </c>
      <c r="G295" s="287">
        <f t="shared" si="737"/>
        <v>3300</v>
      </c>
      <c r="H295" s="71"/>
      <c r="I295" s="287"/>
      <c r="J295" s="577"/>
      <c r="K295" s="287"/>
      <c r="L295" s="577">
        <f>F295+170</f>
        <v>3470</v>
      </c>
      <c r="M295" s="287">
        <f>+L295*$X$1</f>
        <v>3470</v>
      </c>
      <c r="N295" s="71">
        <f>F295+130</f>
        <v>3430</v>
      </c>
      <c r="O295" s="287">
        <f t="shared" si="758"/>
        <v>3430</v>
      </c>
      <c r="P295" s="71">
        <f>F295+110</f>
        <v>3410</v>
      </c>
      <c r="Q295" s="287">
        <f t="shared" si="759"/>
        <v>3410</v>
      </c>
      <c r="R295" s="577">
        <f>F295+100</f>
        <v>3400</v>
      </c>
      <c r="S295" s="287">
        <f t="shared" si="760"/>
        <v>3400</v>
      </c>
      <c r="T295" s="577">
        <f>F295+93</f>
        <v>3393</v>
      </c>
      <c r="U295" s="287">
        <f t="shared" si="761"/>
        <v>3393</v>
      </c>
      <c r="V295" s="577">
        <f>F295+84</f>
        <v>3384</v>
      </c>
      <c r="W295" s="287">
        <f t="shared" si="762"/>
        <v>3384</v>
      </c>
      <c r="X295" s="325"/>
      <c r="Y295" s="323"/>
      <c r="Z295" s="323"/>
      <c r="AA295" s="324"/>
      <c r="AB295" s="192">
        <v>1030</v>
      </c>
      <c r="AC295" s="4"/>
      <c r="AD295" s="4"/>
      <c r="AE295" s="4"/>
      <c r="AF295" s="4"/>
      <c r="AG295" s="4"/>
      <c r="AH295" s="128"/>
      <c r="AI295" s="4"/>
      <c r="AJ295" s="4"/>
      <c r="AK295" s="4"/>
      <c r="AL295" s="4"/>
    </row>
    <row r="296" spans="1:38" s="1" customFormat="1" ht="12.6" customHeight="1" x14ac:dyDescent="0.2">
      <c r="A296" s="19"/>
      <c r="B296" s="699" t="s">
        <v>589</v>
      </c>
      <c r="C296" s="740"/>
      <c r="D296" s="740"/>
      <c r="E296" s="741"/>
      <c r="F296" s="329">
        <v>3300</v>
      </c>
      <c r="G296" s="288">
        <f t="shared" ref="G296:G297" si="763">+F296*$X$1</f>
        <v>3300</v>
      </c>
      <c r="H296" s="89"/>
      <c r="I296" s="288"/>
      <c r="J296" s="458"/>
      <c r="K296" s="288"/>
      <c r="L296" s="458">
        <f>F296+170</f>
        <v>3470</v>
      </c>
      <c r="M296" s="288">
        <f>+L296*$X$1</f>
        <v>3470</v>
      </c>
      <c r="N296" s="89">
        <f>F296+130</f>
        <v>3430</v>
      </c>
      <c r="O296" s="288">
        <f t="shared" si="758"/>
        <v>3430</v>
      </c>
      <c r="P296" s="89">
        <f>F296+110</f>
        <v>3410</v>
      </c>
      <c r="Q296" s="288">
        <f t="shared" si="759"/>
        <v>3410</v>
      </c>
      <c r="R296" s="458">
        <f>F296+100</f>
        <v>3400</v>
      </c>
      <c r="S296" s="288">
        <f t="shared" si="760"/>
        <v>3400</v>
      </c>
      <c r="T296" s="458">
        <f>F296+93</f>
        <v>3393</v>
      </c>
      <c r="U296" s="288">
        <f t="shared" si="761"/>
        <v>3393</v>
      </c>
      <c r="V296" s="458">
        <f>F296+84</f>
        <v>3384</v>
      </c>
      <c r="W296" s="288">
        <f t="shared" si="762"/>
        <v>3384</v>
      </c>
      <c r="X296" s="331"/>
      <c r="Y296" s="332"/>
      <c r="Z296" s="332"/>
      <c r="AA296" s="333"/>
      <c r="AB296" s="192">
        <v>1031</v>
      </c>
      <c r="AC296" s="4"/>
      <c r="AD296" s="4"/>
      <c r="AE296" s="4"/>
      <c r="AF296" s="4"/>
      <c r="AG296" s="4"/>
      <c r="AH296" s="128"/>
      <c r="AI296" s="4"/>
      <c r="AJ296" s="4"/>
      <c r="AK296" s="4"/>
      <c r="AL296" s="4"/>
    </row>
    <row r="297" spans="1:38" s="1" customFormat="1" ht="12.6" customHeight="1" x14ac:dyDescent="0.2">
      <c r="A297" s="19"/>
      <c r="B297" s="732" t="s">
        <v>862</v>
      </c>
      <c r="C297" s="733"/>
      <c r="D297" s="733"/>
      <c r="E297" s="734"/>
      <c r="F297" s="379">
        <f>14.82*X2</f>
        <v>16064.880000000001</v>
      </c>
      <c r="G297" s="287">
        <f t="shared" si="763"/>
        <v>16064.880000000001</v>
      </c>
      <c r="H297" s="71">
        <f>F297+500</f>
        <v>16564.88</v>
      </c>
      <c r="I297" s="287">
        <f t="shared" ref="I297" si="764">+H297*$X$1</f>
        <v>16564.88</v>
      </c>
      <c r="J297" s="577">
        <f t="shared" ref="J297:J317" si="765">F297+210</f>
        <v>16274.880000000001</v>
      </c>
      <c r="K297" s="287">
        <f t="shared" ref="K297" si="766">+J297*$X$1</f>
        <v>16274.880000000001</v>
      </c>
      <c r="L297" s="577">
        <f t="shared" ref="L297:L314" si="767">F297+150</f>
        <v>16214.880000000001</v>
      </c>
      <c r="M297" s="287">
        <f t="shared" ref="M297" si="768">+L297*$X$1</f>
        <v>16214.880000000001</v>
      </c>
      <c r="N297" s="577">
        <f t="shared" ref="N297:N314" si="769">F297+120</f>
        <v>16184.880000000001</v>
      </c>
      <c r="O297" s="287">
        <f t="shared" si="758"/>
        <v>16184.880000000001</v>
      </c>
      <c r="P297" s="577">
        <f t="shared" ref="P297:P314" si="770">F297+95</f>
        <v>16159.880000000001</v>
      </c>
      <c r="Q297" s="287">
        <f t="shared" si="759"/>
        <v>16159.880000000001</v>
      </c>
      <c r="R297" s="577">
        <f t="shared" ref="R297:R314" si="771">F297+85</f>
        <v>16149.880000000001</v>
      </c>
      <c r="S297" s="287">
        <f t="shared" si="760"/>
        <v>16149.880000000001</v>
      </c>
      <c r="T297" s="577">
        <f t="shared" ref="T297:T314" si="772">F297+77</f>
        <v>16141.880000000001</v>
      </c>
      <c r="U297" s="287">
        <f t="shared" si="761"/>
        <v>16141.880000000001</v>
      </c>
      <c r="V297" s="577">
        <f t="shared" ref="V297:V314" si="773">F297+68</f>
        <v>16132.880000000001</v>
      </c>
      <c r="W297" s="287">
        <f t="shared" si="762"/>
        <v>16132.880000000001</v>
      </c>
      <c r="X297" s="249"/>
      <c r="Y297" s="250"/>
      <c r="Z297" s="250"/>
      <c r="AA297" s="251"/>
      <c r="AB297" s="192">
        <v>1032</v>
      </c>
      <c r="AC297" s="4"/>
      <c r="AD297" s="4"/>
      <c r="AE297" s="4"/>
      <c r="AF297" s="4"/>
      <c r="AG297" s="4"/>
      <c r="AH297" s="128"/>
      <c r="AI297" s="4"/>
      <c r="AJ297" s="4"/>
      <c r="AK297" s="4"/>
      <c r="AL297" s="4"/>
    </row>
    <row r="298" spans="1:38" s="1" customFormat="1" ht="12.6" customHeight="1" x14ac:dyDescent="0.2">
      <c r="A298" s="19"/>
      <c r="B298" s="699" t="s">
        <v>468</v>
      </c>
      <c r="C298" s="740"/>
      <c r="D298" s="740"/>
      <c r="E298" s="741"/>
      <c r="F298" s="380">
        <f>20.46*X2</f>
        <v>22178.639999999999</v>
      </c>
      <c r="G298" s="288">
        <f t="shared" ref="G298" si="774">+F298*$X$1</f>
        <v>22178.639999999999</v>
      </c>
      <c r="H298" s="89">
        <f>F298+500</f>
        <v>22678.639999999999</v>
      </c>
      <c r="I298" s="288">
        <f t="shared" ref="I298:I315" si="775">+H298*$X$1</f>
        <v>22678.639999999999</v>
      </c>
      <c r="J298" s="458">
        <f t="shared" si="765"/>
        <v>22388.639999999999</v>
      </c>
      <c r="K298" s="288">
        <f t="shared" ref="K298:K314" si="776">+J298*$X$1</f>
        <v>22388.639999999999</v>
      </c>
      <c r="L298" s="458">
        <f t="shared" si="767"/>
        <v>22328.639999999999</v>
      </c>
      <c r="M298" s="288">
        <f t="shared" ref="M298:M314" si="777">+L298*$X$1</f>
        <v>22328.639999999999</v>
      </c>
      <c r="N298" s="458">
        <f t="shared" si="769"/>
        <v>22298.639999999999</v>
      </c>
      <c r="O298" s="288">
        <f t="shared" ref="O298:O315" si="778">+N298*$X$1</f>
        <v>22298.639999999999</v>
      </c>
      <c r="P298" s="458">
        <f t="shared" si="770"/>
        <v>22273.64</v>
      </c>
      <c r="Q298" s="288">
        <f t="shared" ref="Q298:Q315" si="779">+P298*$X$1</f>
        <v>22273.64</v>
      </c>
      <c r="R298" s="458">
        <f t="shared" si="771"/>
        <v>22263.64</v>
      </c>
      <c r="S298" s="288">
        <f t="shared" ref="S298:S315" si="780">+R298*$X$1</f>
        <v>22263.64</v>
      </c>
      <c r="T298" s="458">
        <f t="shared" si="772"/>
        <v>22255.64</v>
      </c>
      <c r="U298" s="288">
        <f t="shared" ref="U298:U315" si="781">+T298*$X$1</f>
        <v>22255.64</v>
      </c>
      <c r="V298" s="458">
        <f t="shared" si="773"/>
        <v>22246.639999999999</v>
      </c>
      <c r="W298" s="288">
        <f t="shared" ref="W298:W315" si="782">+V298*$X$1</f>
        <v>22246.639999999999</v>
      </c>
      <c r="X298" s="242"/>
      <c r="Y298" s="244"/>
      <c r="Z298" s="244"/>
      <c r="AA298" s="243"/>
      <c r="AB298" s="192">
        <v>1034</v>
      </c>
      <c r="AC298" s="4"/>
      <c r="AD298" s="4"/>
      <c r="AE298" s="4"/>
      <c r="AF298" s="4"/>
      <c r="AG298" s="4"/>
      <c r="AH298" s="128"/>
      <c r="AI298" s="4"/>
      <c r="AJ298" s="4"/>
      <c r="AK298" s="4"/>
      <c r="AL298" s="4"/>
    </row>
    <row r="299" spans="1:38" ht="12.6" customHeight="1" x14ac:dyDescent="0.2">
      <c r="A299" s="18"/>
      <c r="B299" s="677" t="s">
        <v>430</v>
      </c>
      <c r="C299" s="678"/>
      <c r="D299" s="678"/>
      <c r="E299" s="678"/>
      <c r="F299" s="330">
        <v>13615</v>
      </c>
      <c r="G299" s="287">
        <f>+F299*$X$1</f>
        <v>13615</v>
      </c>
      <c r="H299" s="71">
        <f>F299+500</f>
        <v>14115</v>
      </c>
      <c r="I299" s="287">
        <f t="shared" si="775"/>
        <v>14115</v>
      </c>
      <c r="J299" s="582">
        <f t="shared" si="765"/>
        <v>13825</v>
      </c>
      <c r="K299" s="287">
        <f t="shared" si="776"/>
        <v>13825</v>
      </c>
      <c r="L299" s="582">
        <f t="shared" si="767"/>
        <v>13765</v>
      </c>
      <c r="M299" s="287">
        <f t="shared" si="777"/>
        <v>13765</v>
      </c>
      <c r="N299" s="582">
        <f t="shared" si="769"/>
        <v>13735</v>
      </c>
      <c r="O299" s="287">
        <f t="shared" si="778"/>
        <v>13735</v>
      </c>
      <c r="P299" s="582">
        <f t="shared" si="770"/>
        <v>13710</v>
      </c>
      <c r="Q299" s="287">
        <f t="shared" si="779"/>
        <v>13710</v>
      </c>
      <c r="R299" s="582">
        <f t="shared" si="771"/>
        <v>13700</v>
      </c>
      <c r="S299" s="287">
        <f t="shared" si="780"/>
        <v>13700</v>
      </c>
      <c r="T299" s="582">
        <f t="shared" si="772"/>
        <v>13692</v>
      </c>
      <c r="U299" s="287">
        <f t="shared" si="781"/>
        <v>13692</v>
      </c>
      <c r="V299" s="582">
        <f t="shared" si="773"/>
        <v>13683</v>
      </c>
      <c r="W299" s="287">
        <f t="shared" si="782"/>
        <v>13683</v>
      </c>
      <c r="X299" s="726"/>
      <c r="Y299" s="727"/>
      <c r="Z299" s="727"/>
      <c r="AA299" s="728"/>
      <c r="AB299" s="192">
        <v>1040</v>
      </c>
      <c r="AC299" s="64"/>
    </row>
    <row r="300" spans="1:38" ht="12.6" customHeight="1" x14ac:dyDescent="0.2">
      <c r="A300" s="18"/>
      <c r="B300" s="692" t="s">
        <v>769</v>
      </c>
      <c r="C300" s="693"/>
      <c r="D300" s="693"/>
      <c r="E300" s="693"/>
      <c r="F300" s="380">
        <f>21.3*X2</f>
        <v>23089.200000000001</v>
      </c>
      <c r="G300" s="288">
        <f>+F300*$X$1</f>
        <v>23089.200000000001</v>
      </c>
      <c r="H300" s="89">
        <f>F300+500</f>
        <v>23589.200000000001</v>
      </c>
      <c r="I300" s="288">
        <f t="shared" si="775"/>
        <v>23589.200000000001</v>
      </c>
      <c r="J300" s="458">
        <f t="shared" si="765"/>
        <v>23299.200000000001</v>
      </c>
      <c r="K300" s="288">
        <f t="shared" si="776"/>
        <v>23299.200000000001</v>
      </c>
      <c r="L300" s="458">
        <f t="shared" si="767"/>
        <v>23239.200000000001</v>
      </c>
      <c r="M300" s="288">
        <f t="shared" si="777"/>
        <v>23239.200000000001</v>
      </c>
      <c r="N300" s="458">
        <f t="shared" si="769"/>
        <v>23209.200000000001</v>
      </c>
      <c r="O300" s="288">
        <f t="shared" si="778"/>
        <v>23209.200000000001</v>
      </c>
      <c r="P300" s="458">
        <f t="shared" si="770"/>
        <v>23184.2</v>
      </c>
      <c r="Q300" s="288">
        <f t="shared" si="779"/>
        <v>23184.2</v>
      </c>
      <c r="R300" s="458">
        <f t="shared" si="771"/>
        <v>23174.2</v>
      </c>
      <c r="S300" s="288">
        <f t="shared" si="780"/>
        <v>23174.2</v>
      </c>
      <c r="T300" s="458">
        <f t="shared" si="772"/>
        <v>23166.2</v>
      </c>
      <c r="U300" s="288">
        <f t="shared" si="781"/>
        <v>23166.2</v>
      </c>
      <c r="V300" s="458">
        <f t="shared" si="773"/>
        <v>23157.200000000001</v>
      </c>
      <c r="W300" s="288">
        <f t="shared" si="782"/>
        <v>23157.200000000001</v>
      </c>
      <c r="X300" s="726"/>
      <c r="Y300" s="727"/>
      <c r="Z300" s="727"/>
      <c r="AA300" s="728"/>
      <c r="AB300" s="192">
        <v>1041</v>
      </c>
      <c r="AC300" s="64"/>
    </row>
    <row r="301" spans="1:38" ht="12.6" customHeight="1" x14ac:dyDescent="0.2">
      <c r="A301" s="18"/>
      <c r="B301" s="677" t="s">
        <v>768</v>
      </c>
      <c r="C301" s="678"/>
      <c r="D301" s="678"/>
      <c r="E301" s="678"/>
      <c r="F301" s="379">
        <f>14.8*X2</f>
        <v>16043.2</v>
      </c>
      <c r="G301" s="287">
        <f t="shared" ref="G301" si="783">+F301*$X$1</f>
        <v>16043.2</v>
      </c>
      <c r="H301" s="71">
        <f>F301+500</f>
        <v>16543.2</v>
      </c>
      <c r="I301" s="287">
        <f t="shared" si="775"/>
        <v>16543.2</v>
      </c>
      <c r="J301" s="577">
        <f t="shared" si="765"/>
        <v>16253.2</v>
      </c>
      <c r="K301" s="287">
        <f t="shared" si="776"/>
        <v>16253.2</v>
      </c>
      <c r="L301" s="577">
        <f t="shared" si="767"/>
        <v>16193.2</v>
      </c>
      <c r="M301" s="287">
        <f t="shared" si="777"/>
        <v>16193.2</v>
      </c>
      <c r="N301" s="577">
        <f t="shared" si="769"/>
        <v>16163.2</v>
      </c>
      <c r="O301" s="287">
        <f t="shared" si="778"/>
        <v>16163.2</v>
      </c>
      <c r="P301" s="577">
        <f t="shared" si="770"/>
        <v>16138.2</v>
      </c>
      <c r="Q301" s="287">
        <f t="shared" si="779"/>
        <v>16138.2</v>
      </c>
      <c r="R301" s="577">
        <f t="shared" si="771"/>
        <v>16128.2</v>
      </c>
      <c r="S301" s="287">
        <f t="shared" si="780"/>
        <v>16128.2</v>
      </c>
      <c r="T301" s="577">
        <f t="shared" si="772"/>
        <v>16120.2</v>
      </c>
      <c r="U301" s="287">
        <f t="shared" si="781"/>
        <v>16120.2</v>
      </c>
      <c r="V301" s="577">
        <f t="shared" si="773"/>
        <v>16111.2</v>
      </c>
      <c r="W301" s="287">
        <f t="shared" si="782"/>
        <v>16111.2</v>
      </c>
      <c r="X301" s="726"/>
      <c r="Y301" s="727"/>
      <c r="Z301" s="727"/>
      <c r="AA301" s="728"/>
      <c r="AB301" s="192">
        <v>1042</v>
      </c>
    </row>
    <row r="302" spans="1:38" ht="12.6" customHeight="1" x14ac:dyDescent="0.2">
      <c r="A302" s="18"/>
      <c r="B302" s="692" t="s">
        <v>517</v>
      </c>
      <c r="C302" s="693"/>
      <c r="D302" s="693"/>
      <c r="E302" s="693"/>
      <c r="F302" s="329">
        <v>19627</v>
      </c>
      <c r="G302" s="288">
        <f t="shared" ref="G302:G310" si="784">+F302*$X$1</f>
        <v>19627</v>
      </c>
      <c r="H302" s="89">
        <f t="shared" ref="H302:H314" si="785">F302+500</f>
        <v>20127</v>
      </c>
      <c r="I302" s="288">
        <f t="shared" si="775"/>
        <v>20127</v>
      </c>
      <c r="J302" s="458">
        <f t="shared" si="765"/>
        <v>19837</v>
      </c>
      <c r="K302" s="288">
        <f t="shared" si="776"/>
        <v>19837</v>
      </c>
      <c r="L302" s="458">
        <f t="shared" si="767"/>
        <v>19777</v>
      </c>
      <c r="M302" s="288">
        <f t="shared" si="777"/>
        <v>19777</v>
      </c>
      <c r="N302" s="458">
        <f t="shared" si="769"/>
        <v>19747</v>
      </c>
      <c r="O302" s="288">
        <f t="shared" si="778"/>
        <v>19747</v>
      </c>
      <c r="P302" s="458">
        <f t="shared" si="770"/>
        <v>19722</v>
      </c>
      <c r="Q302" s="288">
        <f t="shared" si="779"/>
        <v>19722</v>
      </c>
      <c r="R302" s="458">
        <f t="shared" si="771"/>
        <v>19712</v>
      </c>
      <c r="S302" s="288">
        <f t="shared" si="780"/>
        <v>19712</v>
      </c>
      <c r="T302" s="458">
        <f t="shared" si="772"/>
        <v>19704</v>
      </c>
      <c r="U302" s="288">
        <f t="shared" si="781"/>
        <v>19704</v>
      </c>
      <c r="V302" s="458">
        <f t="shared" si="773"/>
        <v>19695</v>
      </c>
      <c r="W302" s="288">
        <f t="shared" si="782"/>
        <v>19695</v>
      </c>
      <c r="X302" s="726"/>
      <c r="Y302" s="727"/>
      <c r="Z302" s="727"/>
      <c r="AA302" s="728"/>
      <c r="AB302" s="192">
        <v>1043</v>
      </c>
      <c r="AC302" s="64"/>
    </row>
    <row r="303" spans="1:38" ht="12.6" customHeight="1" x14ac:dyDescent="0.2">
      <c r="A303" s="18"/>
      <c r="B303" s="677" t="s">
        <v>518</v>
      </c>
      <c r="C303" s="678"/>
      <c r="D303" s="678"/>
      <c r="E303" s="678"/>
      <c r="F303" s="330">
        <v>22700</v>
      </c>
      <c r="G303" s="287">
        <f t="shared" si="784"/>
        <v>22700</v>
      </c>
      <c r="H303" s="71">
        <f t="shared" si="785"/>
        <v>23200</v>
      </c>
      <c r="I303" s="287">
        <f t="shared" si="775"/>
        <v>23200</v>
      </c>
      <c r="J303" s="577">
        <f t="shared" si="765"/>
        <v>22910</v>
      </c>
      <c r="K303" s="287">
        <f t="shared" si="776"/>
        <v>22910</v>
      </c>
      <c r="L303" s="577">
        <f t="shared" si="767"/>
        <v>22850</v>
      </c>
      <c r="M303" s="287">
        <f t="shared" si="777"/>
        <v>22850</v>
      </c>
      <c r="N303" s="577">
        <f t="shared" si="769"/>
        <v>22820</v>
      </c>
      <c r="O303" s="287">
        <f t="shared" si="778"/>
        <v>22820</v>
      </c>
      <c r="P303" s="577">
        <f t="shared" si="770"/>
        <v>22795</v>
      </c>
      <c r="Q303" s="287">
        <f t="shared" si="779"/>
        <v>22795</v>
      </c>
      <c r="R303" s="577">
        <f t="shared" si="771"/>
        <v>22785</v>
      </c>
      <c r="S303" s="287">
        <f t="shared" si="780"/>
        <v>22785</v>
      </c>
      <c r="T303" s="577">
        <f t="shared" si="772"/>
        <v>22777</v>
      </c>
      <c r="U303" s="287">
        <f t="shared" si="781"/>
        <v>22777</v>
      </c>
      <c r="V303" s="577">
        <f t="shared" si="773"/>
        <v>22768</v>
      </c>
      <c r="W303" s="287">
        <f t="shared" si="782"/>
        <v>22768</v>
      </c>
      <c r="X303" s="726"/>
      <c r="Y303" s="727"/>
      <c r="Z303" s="727"/>
      <c r="AA303" s="728"/>
      <c r="AB303" s="192">
        <v>1044</v>
      </c>
      <c r="AC303" s="64"/>
    </row>
    <row r="304" spans="1:38" ht="12.6" customHeight="1" x14ac:dyDescent="0.2">
      <c r="A304" s="18"/>
      <c r="B304" s="692" t="s">
        <v>806</v>
      </c>
      <c r="C304" s="693"/>
      <c r="D304" s="693"/>
      <c r="E304" s="693"/>
      <c r="F304" s="329">
        <v>24164</v>
      </c>
      <c r="G304" s="288">
        <f>+F304*$X$1</f>
        <v>24164</v>
      </c>
      <c r="H304" s="89">
        <f t="shared" si="785"/>
        <v>24664</v>
      </c>
      <c r="I304" s="288">
        <f t="shared" si="775"/>
        <v>24664</v>
      </c>
      <c r="J304" s="458">
        <f t="shared" si="765"/>
        <v>24374</v>
      </c>
      <c r="K304" s="288">
        <f t="shared" si="776"/>
        <v>24374</v>
      </c>
      <c r="L304" s="458">
        <f t="shared" si="767"/>
        <v>24314</v>
      </c>
      <c r="M304" s="288">
        <f t="shared" si="777"/>
        <v>24314</v>
      </c>
      <c r="N304" s="458">
        <f t="shared" si="769"/>
        <v>24284</v>
      </c>
      <c r="O304" s="288">
        <f t="shared" si="778"/>
        <v>24284</v>
      </c>
      <c r="P304" s="458">
        <f t="shared" si="770"/>
        <v>24259</v>
      </c>
      <c r="Q304" s="288">
        <f t="shared" si="779"/>
        <v>24259</v>
      </c>
      <c r="R304" s="458">
        <f t="shared" si="771"/>
        <v>24249</v>
      </c>
      <c r="S304" s="288">
        <f t="shared" si="780"/>
        <v>24249</v>
      </c>
      <c r="T304" s="458">
        <f t="shared" si="772"/>
        <v>24241</v>
      </c>
      <c r="U304" s="288">
        <f t="shared" si="781"/>
        <v>24241</v>
      </c>
      <c r="V304" s="458">
        <f t="shared" si="773"/>
        <v>24232</v>
      </c>
      <c r="W304" s="288">
        <f t="shared" si="782"/>
        <v>24232</v>
      </c>
      <c r="X304" s="727"/>
      <c r="Y304" s="727"/>
      <c r="Z304" s="727"/>
      <c r="AA304" s="728"/>
      <c r="AB304" s="192">
        <v>1045</v>
      </c>
      <c r="AC304" s="64"/>
    </row>
    <row r="305" spans="1:29" ht="12.6" customHeight="1" x14ac:dyDescent="0.2">
      <c r="A305" s="18"/>
      <c r="B305" s="677" t="s">
        <v>965</v>
      </c>
      <c r="C305" s="678"/>
      <c r="D305" s="678"/>
      <c r="E305" s="678"/>
      <c r="F305" s="330">
        <v>21495</v>
      </c>
      <c r="G305" s="287">
        <f>+F305*$X$1</f>
        <v>21495</v>
      </c>
      <c r="H305" s="71">
        <f t="shared" ref="H305" si="786">F305+500</f>
        <v>21995</v>
      </c>
      <c r="I305" s="287">
        <f t="shared" ref="I305" si="787">+H305*$X$1</f>
        <v>21995</v>
      </c>
      <c r="J305" s="654">
        <f t="shared" ref="J305" si="788">F305+210</f>
        <v>21705</v>
      </c>
      <c r="K305" s="287">
        <f t="shared" ref="K305" si="789">+J305*$X$1</f>
        <v>21705</v>
      </c>
      <c r="L305" s="654">
        <f t="shared" ref="L305" si="790">F305+150</f>
        <v>21645</v>
      </c>
      <c r="M305" s="287">
        <f t="shared" ref="M305" si="791">+L305*$X$1</f>
        <v>21645</v>
      </c>
      <c r="N305" s="654">
        <f t="shared" ref="N305" si="792">F305+120</f>
        <v>21615</v>
      </c>
      <c r="O305" s="287">
        <f t="shared" ref="O305" si="793">+N305*$X$1</f>
        <v>21615</v>
      </c>
      <c r="P305" s="654">
        <f t="shared" ref="P305" si="794">F305+95</f>
        <v>21590</v>
      </c>
      <c r="Q305" s="287">
        <f t="shared" ref="Q305" si="795">+P305*$X$1</f>
        <v>21590</v>
      </c>
      <c r="R305" s="654">
        <f t="shared" ref="R305" si="796">F305+85</f>
        <v>21580</v>
      </c>
      <c r="S305" s="287">
        <f t="shared" ref="S305" si="797">+R305*$X$1</f>
        <v>21580</v>
      </c>
      <c r="T305" s="654">
        <f t="shared" ref="T305" si="798">F305+77</f>
        <v>21572</v>
      </c>
      <c r="U305" s="287">
        <f t="shared" ref="U305" si="799">+T305*$X$1</f>
        <v>21572</v>
      </c>
      <c r="V305" s="654">
        <f t="shared" ref="V305" si="800">F305+68</f>
        <v>21563</v>
      </c>
      <c r="W305" s="287">
        <f t="shared" ref="W305" si="801">+V305*$X$1</f>
        <v>21563</v>
      </c>
      <c r="X305" s="727"/>
      <c r="Y305" s="727"/>
      <c r="Z305" s="727"/>
      <c r="AA305" s="728"/>
      <c r="AB305" s="192">
        <v>1046</v>
      </c>
      <c r="AC305" s="64"/>
    </row>
    <row r="306" spans="1:29" ht="12.6" customHeight="1" x14ac:dyDescent="0.2">
      <c r="A306" s="18"/>
      <c r="B306" s="692" t="s">
        <v>550</v>
      </c>
      <c r="C306" s="693"/>
      <c r="D306" s="693"/>
      <c r="E306" s="693"/>
      <c r="F306" s="329">
        <v>12490</v>
      </c>
      <c r="G306" s="288">
        <f t="shared" si="784"/>
        <v>12490</v>
      </c>
      <c r="H306" s="89">
        <f t="shared" si="785"/>
        <v>12990</v>
      </c>
      <c r="I306" s="288">
        <f t="shared" si="775"/>
        <v>12990</v>
      </c>
      <c r="J306" s="458">
        <f t="shared" si="765"/>
        <v>12700</v>
      </c>
      <c r="K306" s="288">
        <f t="shared" si="776"/>
        <v>12700</v>
      </c>
      <c r="L306" s="458">
        <f t="shared" si="767"/>
        <v>12640</v>
      </c>
      <c r="M306" s="288">
        <f t="shared" si="777"/>
        <v>12640</v>
      </c>
      <c r="N306" s="458">
        <f t="shared" si="769"/>
        <v>12610</v>
      </c>
      <c r="O306" s="288">
        <f t="shared" si="778"/>
        <v>12610</v>
      </c>
      <c r="P306" s="458">
        <f t="shared" si="770"/>
        <v>12585</v>
      </c>
      <c r="Q306" s="288">
        <f t="shared" si="779"/>
        <v>12585</v>
      </c>
      <c r="R306" s="458">
        <f t="shared" si="771"/>
        <v>12575</v>
      </c>
      <c r="S306" s="288">
        <f t="shared" si="780"/>
        <v>12575</v>
      </c>
      <c r="T306" s="458">
        <f t="shared" si="772"/>
        <v>12567</v>
      </c>
      <c r="U306" s="288">
        <f t="shared" si="781"/>
        <v>12567</v>
      </c>
      <c r="V306" s="458">
        <f t="shared" si="773"/>
        <v>12558</v>
      </c>
      <c r="W306" s="288">
        <f t="shared" si="782"/>
        <v>12558</v>
      </c>
      <c r="X306" s="726"/>
      <c r="Y306" s="727"/>
      <c r="Z306" s="727"/>
      <c r="AA306" s="728"/>
      <c r="AB306" s="192">
        <v>1048</v>
      </c>
      <c r="AC306" s="64"/>
    </row>
    <row r="307" spans="1:29" ht="12.6" customHeight="1" x14ac:dyDescent="0.2">
      <c r="A307" s="18"/>
      <c r="B307" s="677" t="s">
        <v>549</v>
      </c>
      <c r="C307" s="678"/>
      <c r="D307" s="678"/>
      <c r="E307" s="678"/>
      <c r="F307" s="330">
        <v>9780</v>
      </c>
      <c r="G307" s="287">
        <f t="shared" si="784"/>
        <v>9780</v>
      </c>
      <c r="H307" s="71">
        <f t="shared" si="785"/>
        <v>10280</v>
      </c>
      <c r="I307" s="287">
        <f t="shared" si="775"/>
        <v>10280</v>
      </c>
      <c r="J307" s="654">
        <f t="shared" si="765"/>
        <v>9990</v>
      </c>
      <c r="K307" s="287">
        <f t="shared" si="776"/>
        <v>9990</v>
      </c>
      <c r="L307" s="654">
        <f t="shared" si="767"/>
        <v>9930</v>
      </c>
      <c r="M307" s="287">
        <f t="shared" si="777"/>
        <v>9930</v>
      </c>
      <c r="N307" s="654">
        <f t="shared" si="769"/>
        <v>9900</v>
      </c>
      <c r="O307" s="287">
        <f t="shared" si="778"/>
        <v>9900</v>
      </c>
      <c r="P307" s="654">
        <f t="shared" si="770"/>
        <v>9875</v>
      </c>
      <c r="Q307" s="287">
        <f t="shared" si="779"/>
        <v>9875</v>
      </c>
      <c r="R307" s="654">
        <f t="shared" si="771"/>
        <v>9865</v>
      </c>
      <c r="S307" s="287">
        <f t="shared" si="780"/>
        <v>9865</v>
      </c>
      <c r="T307" s="654">
        <f t="shared" si="772"/>
        <v>9857</v>
      </c>
      <c r="U307" s="287">
        <f t="shared" si="781"/>
        <v>9857</v>
      </c>
      <c r="V307" s="654">
        <f t="shared" si="773"/>
        <v>9848</v>
      </c>
      <c r="W307" s="287">
        <f t="shared" si="782"/>
        <v>9848</v>
      </c>
      <c r="X307" s="726"/>
      <c r="Y307" s="727"/>
      <c r="Z307" s="727"/>
      <c r="AA307" s="728"/>
      <c r="AB307" s="192">
        <v>1049</v>
      </c>
      <c r="AC307" s="64"/>
    </row>
    <row r="308" spans="1:29" ht="12.6" customHeight="1" x14ac:dyDescent="0.2">
      <c r="A308" s="18"/>
      <c r="B308" s="692" t="s">
        <v>551</v>
      </c>
      <c r="C308" s="693"/>
      <c r="D308" s="693"/>
      <c r="E308" s="693"/>
      <c r="F308" s="329">
        <v>11225</v>
      </c>
      <c r="G308" s="288">
        <f t="shared" si="784"/>
        <v>11225</v>
      </c>
      <c r="H308" s="89">
        <f t="shared" si="785"/>
        <v>11725</v>
      </c>
      <c r="I308" s="288">
        <f t="shared" si="775"/>
        <v>11725</v>
      </c>
      <c r="J308" s="458">
        <f t="shared" si="765"/>
        <v>11435</v>
      </c>
      <c r="K308" s="288">
        <f t="shared" si="776"/>
        <v>11435</v>
      </c>
      <c r="L308" s="458">
        <f t="shared" si="767"/>
        <v>11375</v>
      </c>
      <c r="M308" s="288">
        <f t="shared" si="777"/>
        <v>11375</v>
      </c>
      <c r="N308" s="458">
        <f t="shared" si="769"/>
        <v>11345</v>
      </c>
      <c r="O308" s="288">
        <f t="shared" si="778"/>
        <v>11345</v>
      </c>
      <c r="P308" s="458">
        <f t="shared" si="770"/>
        <v>11320</v>
      </c>
      <c r="Q308" s="288">
        <f t="shared" si="779"/>
        <v>11320</v>
      </c>
      <c r="R308" s="458">
        <f t="shared" si="771"/>
        <v>11310</v>
      </c>
      <c r="S308" s="288">
        <f t="shared" si="780"/>
        <v>11310</v>
      </c>
      <c r="T308" s="458">
        <f t="shared" si="772"/>
        <v>11302</v>
      </c>
      <c r="U308" s="288">
        <f t="shared" si="781"/>
        <v>11302</v>
      </c>
      <c r="V308" s="458">
        <f t="shared" si="773"/>
        <v>11293</v>
      </c>
      <c r="W308" s="288">
        <f t="shared" si="782"/>
        <v>11293</v>
      </c>
      <c r="X308" s="726"/>
      <c r="Y308" s="727"/>
      <c r="Z308" s="727"/>
      <c r="AA308" s="728"/>
      <c r="AB308" s="192">
        <v>1050</v>
      </c>
      <c r="AC308" s="64"/>
    </row>
    <row r="309" spans="1:29" ht="12.6" customHeight="1" x14ac:dyDescent="0.2">
      <c r="A309" s="18"/>
      <c r="B309" s="732" t="s">
        <v>807</v>
      </c>
      <c r="C309" s="796"/>
      <c r="D309" s="796"/>
      <c r="E309" s="797"/>
      <c r="F309" s="379">
        <f>12.3*X2</f>
        <v>13333.2</v>
      </c>
      <c r="G309" s="287">
        <f t="shared" ref="G309" si="802">+F309*$X$1</f>
        <v>13333.2</v>
      </c>
      <c r="H309" s="71">
        <f t="shared" si="785"/>
        <v>13833.2</v>
      </c>
      <c r="I309" s="287">
        <f t="shared" si="775"/>
        <v>13833.2</v>
      </c>
      <c r="J309" s="654">
        <f t="shared" si="765"/>
        <v>13543.2</v>
      </c>
      <c r="K309" s="287">
        <f t="shared" si="776"/>
        <v>13543.2</v>
      </c>
      <c r="L309" s="654">
        <f t="shared" si="767"/>
        <v>13483.2</v>
      </c>
      <c r="M309" s="287">
        <f t="shared" si="777"/>
        <v>13483.2</v>
      </c>
      <c r="N309" s="654">
        <f t="shared" si="769"/>
        <v>13453.2</v>
      </c>
      <c r="O309" s="287">
        <f t="shared" si="778"/>
        <v>13453.2</v>
      </c>
      <c r="P309" s="654">
        <f t="shared" si="770"/>
        <v>13428.2</v>
      </c>
      <c r="Q309" s="287">
        <f t="shared" si="779"/>
        <v>13428.2</v>
      </c>
      <c r="R309" s="654">
        <f t="shared" si="771"/>
        <v>13418.2</v>
      </c>
      <c r="S309" s="287">
        <f t="shared" si="780"/>
        <v>13418.2</v>
      </c>
      <c r="T309" s="654">
        <f t="shared" si="772"/>
        <v>13410.2</v>
      </c>
      <c r="U309" s="287">
        <f t="shared" si="781"/>
        <v>13410.2</v>
      </c>
      <c r="V309" s="654">
        <f t="shared" si="773"/>
        <v>13401.2</v>
      </c>
      <c r="W309" s="287">
        <f t="shared" si="782"/>
        <v>13401.2</v>
      </c>
      <c r="X309" s="726"/>
      <c r="Y309" s="727"/>
      <c r="Z309" s="727"/>
      <c r="AA309" s="728"/>
      <c r="AB309" s="192">
        <v>1052</v>
      </c>
      <c r="AC309" s="64"/>
    </row>
    <row r="310" spans="1:29" ht="12.6" customHeight="1" x14ac:dyDescent="0.2">
      <c r="A310" s="18"/>
      <c r="B310" s="699" t="s">
        <v>460</v>
      </c>
      <c r="C310" s="978"/>
      <c r="D310" s="978"/>
      <c r="E310" s="979"/>
      <c r="F310" s="380">
        <f>31.583*X2</f>
        <v>34235.972000000002</v>
      </c>
      <c r="G310" s="288">
        <f t="shared" si="784"/>
        <v>34235.972000000002</v>
      </c>
      <c r="H310" s="89">
        <f t="shared" si="785"/>
        <v>34735.972000000002</v>
      </c>
      <c r="I310" s="288">
        <f t="shared" si="775"/>
        <v>34735.972000000002</v>
      </c>
      <c r="J310" s="458">
        <f t="shared" si="765"/>
        <v>34445.972000000002</v>
      </c>
      <c r="K310" s="288">
        <f t="shared" si="776"/>
        <v>34445.972000000002</v>
      </c>
      <c r="L310" s="458">
        <f t="shared" si="767"/>
        <v>34385.972000000002</v>
      </c>
      <c r="M310" s="288">
        <f t="shared" si="777"/>
        <v>34385.972000000002</v>
      </c>
      <c r="N310" s="458">
        <f t="shared" si="769"/>
        <v>34355.972000000002</v>
      </c>
      <c r="O310" s="288">
        <f t="shared" si="778"/>
        <v>34355.972000000002</v>
      </c>
      <c r="P310" s="458">
        <f t="shared" si="770"/>
        <v>34330.972000000002</v>
      </c>
      <c r="Q310" s="288">
        <f t="shared" si="779"/>
        <v>34330.972000000002</v>
      </c>
      <c r="R310" s="458">
        <f t="shared" si="771"/>
        <v>34320.972000000002</v>
      </c>
      <c r="S310" s="288">
        <f t="shared" si="780"/>
        <v>34320.972000000002</v>
      </c>
      <c r="T310" s="458">
        <f t="shared" si="772"/>
        <v>34312.972000000002</v>
      </c>
      <c r="U310" s="288">
        <f t="shared" si="781"/>
        <v>34312.972000000002</v>
      </c>
      <c r="V310" s="458">
        <f t="shared" si="773"/>
        <v>34303.972000000002</v>
      </c>
      <c r="W310" s="288">
        <f t="shared" si="782"/>
        <v>34303.972000000002</v>
      </c>
      <c r="X310" s="726"/>
      <c r="Y310" s="727"/>
      <c r="Z310" s="727"/>
      <c r="AA310" s="728"/>
      <c r="AB310" s="192">
        <v>1053</v>
      </c>
      <c r="AC310" s="64"/>
    </row>
    <row r="311" spans="1:29" ht="12.6" customHeight="1" x14ac:dyDescent="0.2">
      <c r="A311" s="18"/>
      <c r="B311" s="732" t="s">
        <v>868</v>
      </c>
      <c r="C311" s="796"/>
      <c r="D311" s="796"/>
      <c r="E311" s="797"/>
      <c r="F311" s="379">
        <f>10.6*X2</f>
        <v>11490.4</v>
      </c>
      <c r="G311" s="287">
        <f t="shared" ref="G311" si="803">+F311*$X$1</f>
        <v>11490.4</v>
      </c>
      <c r="H311" s="71">
        <f t="shared" si="785"/>
        <v>11990.4</v>
      </c>
      <c r="I311" s="287">
        <f t="shared" si="775"/>
        <v>11990.4</v>
      </c>
      <c r="J311" s="654">
        <f t="shared" si="765"/>
        <v>11700.4</v>
      </c>
      <c r="K311" s="287">
        <f t="shared" si="776"/>
        <v>11700.4</v>
      </c>
      <c r="L311" s="654">
        <f t="shared" si="767"/>
        <v>11640.4</v>
      </c>
      <c r="M311" s="287">
        <f t="shared" si="777"/>
        <v>11640.4</v>
      </c>
      <c r="N311" s="654">
        <f t="shared" si="769"/>
        <v>11610.4</v>
      </c>
      <c r="O311" s="287">
        <f t="shared" si="778"/>
        <v>11610.4</v>
      </c>
      <c r="P311" s="654">
        <f t="shared" si="770"/>
        <v>11585.4</v>
      </c>
      <c r="Q311" s="287">
        <f t="shared" si="779"/>
        <v>11585.4</v>
      </c>
      <c r="R311" s="654">
        <f t="shared" si="771"/>
        <v>11575.4</v>
      </c>
      <c r="S311" s="287">
        <f t="shared" si="780"/>
        <v>11575.4</v>
      </c>
      <c r="T311" s="654">
        <f t="shared" si="772"/>
        <v>11567.4</v>
      </c>
      <c r="U311" s="287">
        <f t="shared" si="781"/>
        <v>11567.4</v>
      </c>
      <c r="V311" s="654">
        <f t="shared" si="773"/>
        <v>11558.4</v>
      </c>
      <c r="W311" s="287">
        <f t="shared" si="782"/>
        <v>11558.4</v>
      </c>
      <c r="X311" s="726"/>
      <c r="Y311" s="727"/>
      <c r="Z311" s="727"/>
      <c r="AA311" s="728"/>
      <c r="AB311" s="192">
        <v>1054</v>
      </c>
      <c r="AC311" s="64"/>
    </row>
    <row r="312" spans="1:29" ht="12.6" customHeight="1" x14ac:dyDescent="0.2">
      <c r="A312" s="18"/>
      <c r="B312" s="679" t="s">
        <v>937</v>
      </c>
      <c r="C312" s="1240"/>
      <c r="D312" s="1240"/>
      <c r="E312" s="1241"/>
      <c r="F312" s="380">
        <f>26.9*X2</f>
        <v>29159.599999999999</v>
      </c>
      <c r="G312" s="288">
        <f t="shared" ref="G312" si="804">+F312*$X$1</f>
        <v>29159.599999999999</v>
      </c>
      <c r="H312" s="89">
        <f t="shared" si="785"/>
        <v>29659.599999999999</v>
      </c>
      <c r="I312" s="288">
        <f t="shared" ref="I312" si="805">+H312*$X$1</f>
        <v>29659.599999999999</v>
      </c>
      <c r="J312" s="458">
        <f t="shared" ref="J312" si="806">F312+210</f>
        <v>29369.599999999999</v>
      </c>
      <c r="K312" s="288">
        <f t="shared" ref="K312" si="807">+J312*$X$1</f>
        <v>29369.599999999999</v>
      </c>
      <c r="L312" s="458">
        <f t="shared" ref="L312" si="808">F312+150</f>
        <v>29309.599999999999</v>
      </c>
      <c r="M312" s="288">
        <f t="shared" ref="M312" si="809">+L312*$X$1</f>
        <v>29309.599999999999</v>
      </c>
      <c r="N312" s="458">
        <f t="shared" ref="N312" si="810">F312+120</f>
        <v>29279.599999999999</v>
      </c>
      <c r="O312" s="288">
        <f t="shared" ref="O312" si="811">+N312*$X$1</f>
        <v>29279.599999999999</v>
      </c>
      <c r="P312" s="458">
        <f t="shared" ref="P312" si="812">F312+95</f>
        <v>29254.6</v>
      </c>
      <c r="Q312" s="288">
        <f t="shared" ref="Q312" si="813">+P312*$X$1</f>
        <v>29254.6</v>
      </c>
      <c r="R312" s="458">
        <f t="shared" ref="R312" si="814">F312+85</f>
        <v>29244.6</v>
      </c>
      <c r="S312" s="288">
        <f t="shared" ref="S312" si="815">+R312*$X$1</f>
        <v>29244.6</v>
      </c>
      <c r="T312" s="458">
        <f t="shared" ref="T312" si="816">F312+77</f>
        <v>29236.6</v>
      </c>
      <c r="U312" s="288">
        <f t="shared" ref="U312" si="817">+T312*$X$1</f>
        <v>29236.6</v>
      </c>
      <c r="V312" s="458">
        <f t="shared" ref="V312" si="818">F312+68</f>
        <v>29227.599999999999</v>
      </c>
      <c r="W312" s="288">
        <f t="shared" ref="W312" si="819">+V312*$X$1</f>
        <v>29227.599999999999</v>
      </c>
      <c r="X312" s="726"/>
      <c r="Y312" s="727"/>
      <c r="Z312" s="727"/>
      <c r="AA312" s="728"/>
      <c r="AB312" s="192">
        <v>1056</v>
      </c>
      <c r="AC312" s="64"/>
    </row>
    <row r="313" spans="1:29" ht="12.6" customHeight="1" x14ac:dyDescent="0.2">
      <c r="A313" s="18"/>
      <c r="B313" s="677" t="s">
        <v>601</v>
      </c>
      <c r="C313" s="678"/>
      <c r="D313" s="678"/>
      <c r="E313" s="678"/>
      <c r="F313" s="330">
        <v>19235</v>
      </c>
      <c r="G313" s="287">
        <f>+F313*$X$1</f>
        <v>19235</v>
      </c>
      <c r="H313" s="71">
        <f t="shared" si="785"/>
        <v>19735</v>
      </c>
      <c r="I313" s="287">
        <f t="shared" si="775"/>
        <v>19735</v>
      </c>
      <c r="J313" s="654">
        <f t="shared" si="765"/>
        <v>19445</v>
      </c>
      <c r="K313" s="287">
        <f t="shared" si="776"/>
        <v>19445</v>
      </c>
      <c r="L313" s="654">
        <f t="shared" si="767"/>
        <v>19385</v>
      </c>
      <c r="M313" s="287">
        <f t="shared" si="777"/>
        <v>19385</v>
      </c>
      <c r="N313" s="654">
        <f t="shared" si="769"/>
        <v>19355</v>
      </c>
      <c r="O313" s="287">
        <f t="shared" si="778"/>
        <v>19355</v>
      </c>
      <c r="P313" s="654">
        <f t="shared" si="770"/>
        <v>19330</v>
      </c>
      <c r="Q313" s="287">
        <f t="shared" si="779"/>
        <v>19330</v>
      </c>
      <c r="R313" s="654">
        <f t="shared" si="771"/>
        <v>19320</v>
      </c>
      <c r="S313" s="287">
        <f t="shared" si="780"/>
        <v>19320</v>
      </c>
      <c r="T313" s="654">
        <f t="shared" si="772"/>
        <v>19312</v>
      </c>
      <c r="U313" s="287">
        <f t="shared" si="781"/>
        <v>19312</v>
      </c>
      <c r="V313" s="654">
        <f t="shared" si="773"/>
        <v>19303</v>
      </c>
      <c r="W313" s="287">
        <f t="shared" si="782"/>
        <v>19303</v>
      </c>
      <c r="X313" s="726"/>
      <c r="Y313" s="727"/>
      <c r="Z313" s="727"/>
      <c r="AA313" s="728"/>
      <c r="AB313" s="192">
        <v>1057</v>
      </c>
    </row>
    <row r="314" spans="1:29" ht="12.6" customHeight="1" x14ac:dyDescent="0.2">
      <c r="A314" s="18"/>
      <c r="B314" s="692" t="s">
        <v>428</v>
      </c>
      <c r="C314" s="693"/>
      <c r="D314" s="693"/>
      <c r="E314" s="693"/>
      <c r="F314" s="383">
        <f>13.79*X2</f>
        <v>14948.359999999999</v>
      </c>
      <c r="G314" s="319">
        <f t="shared" ref="G314" si="820">+F314*$X$1</f>
        <v>14948.359999999999</v>
      </c>
      <c r="H314" s="89">
        <f t="shared" si="785"/>
        <v>15448.359999999999</v>
      </c>
      <c r="I314" s="288">
        <f t="shared" si="775"/>
        <v>15448.359999999999</v>
      </c>
      <c r="J314" s="458">
        <f t="shared" si="765"/>
        <v>15158.359999999999</v>
      </c>
      <c r="K314" s="288">
        <f t="shared" si="776"/>
        <v>15158.359999999999</v>
      </c>
      <c r="L314" s="458">
        <f t="shared" si="767"/>
        <v>15098.359999999999</v>
      </c>
      <c r="M314" s="288">
        <f t="shared" si="777"/>
        <v>15098.359999999999</v>
      </c>
      <c r="N314" s="458">
        <f t="shared" si="769"/>
        <v>15068.359999999999</v>
      </c>
      <c r="O314" s="288">
        <f t="shared" si="778"/>
        <v>15068.359999999999</v>
      </c>
      <c r="P314" s="458">
        <f t="shared" si="770"/>
        <v>15043.359999999999</v>
      </c>
      <c r="Q314" s="288">
        <f t="shared" si="779"/>
        <v>15043.359999999999</v>
      </c>
      <c r="R314" s="458">
        <f t="shared" si="771"/>
        <v>15033.359999999999</v>
      </c>
      <c r="S314" s="288">
        <f t="shared" si="780"/>
        <v>15033.359999999999</v>
      </c>
      <c r="T314" s="458">
        <f t="shared" si="772"/>
        <v>15025.359999999999</v>
      </c>
      <c r="U314" s="288">
        <f t="shared" si="781"/>
        <v>15025.359999999999</v>
      </c>
      <c r="V314" s="458">
        <f t="shared" si="773"/>
        <v>15016.359999999999</v>
      </c>
      <c r="W314" s="288">
        <f t="shared" si="782"/>
        <v>15016.359999999999</v>
      </c>
      <c r="X314" s="726"/>
      <c r="Y314" s="727"/>
      <c r="Z314" s="727"/>
      <c r="AA314" s="728"/>
      <c r="AB314" s="192">
        <v>1064</v>
      </c>
      <c r="AC314" s="64"/>
    </row>
    <row r="315" spans="1:29" ht="12.6" customHeight="1" x14ac:dyDescent="0.2">
      <c r="A315" s="18"/>
      <c r="B315" s="679" t="s">
        <v>938</v>
      </c>
      <c r="C315" s="680"/>
      <c r="D315" s="680"/>
      <c r="E315" s="681"/>
      <c r="F315" s="379">
        <f>8.95*X2</f>
        <v>9701.7999999999993</v>
      </c>
      <c r="G315" s="287">
        <f>+F315*$X$1</f>
        <v>9701.7999999999993</v>
      </c>
      <c r="H315" s="71">
        <f>F315+600</f>
        <v>10301.799999999999</v>
      </c>
      <c r="I315" s="287">
        <f t="shared" si="775"/>
        <v>10301.799999999999</v>
      </c>
      <c r="J315" s="654">
        <f>F315+270</f>
        <v>9971.7999999999993</v>
      </c>
      <c r="K315" s="287">
        <f>+J315*$X$1</f>
        <v>9971.7999999999993</v>
      </c>
      <c r="L315" s="654">
        <f>F315+230</f>
        <v>9931.7999999999993</v>
      </c>
      <c r="M315" s="287">
        <f>+L315*$X$1</f>
        <v>9931.7999999999993</v>
      </c>
      <c r="N315" s="71">
        <f>F315+200</f>
        <v>9901.7999999999993</v>
      </c>
      <c r="O315" s="287">
        <f t="shared" si="778"/>
        <v>9901.7999999999993</v>
      </c>
      <c r="P315" s="71">
        <f>F315+180</f>
        <v>9881.7999999999993</v>
      </c>
      <c r="Q315" s="287">
        <f t="shared" si="779"/>
        <v>9881.7999999999993</v>
      </c>
      <c r="R315" s="654">
        <f>F315+150</f>
        <v>9851.7999999999993</v>
      </c>
      <c r="S315" s="287">
        <f t="shared" si="780"/>
        <v>9851.7999999999993</v>
      </c>
      <c r="T315" s="654">
        <f>F315+120</f>
        <v>9821.7999999999993</v>
      </c>
      <c r="U315" s="287">
        <f t="shared" si="781"/>
        <v>9821.7999999999993</v>
      </c>
      <c r="V315" s="654">
        <f>F315+100</f>
        <v>9801.7999999999993</v>
      </c>
      <c r="W315" s="287">
        <f t="shared" si="782"/>
        <v>9801.7999999999993</v>
      </c>
      <c r="X315" s="585"/>
      <c r="Y315" s="591"/>
      <c r="Z315" s="591"/>
      <c r="AA315" s="586"/>
      <c r="AB315" s="192">
        <v>1066</v>
      </c>
    </row>
    <row r="316" spans="1:29" ht="12.6" customHeight="1" x14ac:dyDescent="0.2">
      <c r="A316" s="18"/>
      <c r="B316" s="699" t="s">
        <v>215</v>
      </c>
      <c r="C316" s="740"/>
      <c r="D316" s="740"/>
      <c r="E316" s="741"/>
      <c r="F316" s="380">
        <f>12.16*X2</f>
        <v>13181.44</v>
      </c>
      <c r="G316" s="288">
        <f>+F316*$X$1</f>
        <v>13181.44</v>
      </c>
      <c r="H316" s="89">
        <f>F316+500</f>
        <v>13681.44</v>
      </c>
      <c r="I316" s="288">
        <f t="shared" ref="I316:I317" si="821">+H316*$X$1</f>
        <v>13681.44</v>
      </c>
      <c r="J316" s="458">
        <f t="shared" si="765"/>
        <v>13391.44</v>
      </c>
      <c r="K316" s="288">
        <f>+J316*$X$1</f>
        <v>13391.44</v>
      </c>
      <c r="L316" s="458">
        <f>F316+170</f>
        <v>13351.44</v>
      </c>
      <c r="M316" s="288">
        <f>+L316*$X$1</f>
        <v>13351.44</v>
      </c>
      <c r="N316" s="89">
        <f>F316+130</f>
        <v>13311.44</v>
      </c>
      <c r="O316" s="288">
        <f t="shared" ref="O316:O317" si="822">+N316*$X$1</f>
        <v>13311.44</v>
      </c>
      <c r="P316" s="89">
        <f>F316+110</f>
        <v>13291.44</v>
      </c>
      <c r="Q316" s="288">
        <f t="shared" ref="Q316:Q317" si="823">+P316*$X$1</f>
        <v>13291.44</v>
      </c>
      <c r="R316" s="458">
        <f>F316+100</f>
        <v>13281.44</v>
      </c>
      <c r="S316" s="288">
        <f t="shared" ref="S316:S317" si="824">+R316*$X$1</f>
        <v>13281.44</v>
      </c>
      <c r="T316" s="458">
        <f>F316+93</f>
        <v>13274.44</v>
      </c>
      <c r="U316" s="288">
        <f t="shared" ref="U316:U317" si="825">+T316*$X$1</f>
        <v>13274.44</v>
      </c>
      <c r="V316" s="458">
        <f>F316+84</f>
        <v>13265.44</v>
      </c>
      <c r="W316" s="288">
        <f t="shared" ref="W316:W317" si="826">+V316*$X$1</f>
        <v>13265.44</v>
      </c>
      <c r="X316" s="177"/>
      <c r="Y316" s="180"/>
      <c r="Z316" s="180"/>
      <c r="AA316" s="179"/>
      <c r="AB316" s="192">
        <v>1075</v>
      </c>
    </row>
    <row r="317" spans="1:29" ht="12.6" customHeight="1" x14ac:dyDescent="0.2">
      <c r="A317" s="18"/>
      <c r="B317" s="677" t="s">
        <v>383</v>
      </c>
      <c r="C317" s="737"/>
      <c r="D317" s="737"/>
      <c r="E317" s="737"/>
      <c r="F317" s="384">
        <f>8.85*X2</f>
        <v>9593.4</v>
      </c>
      <c r="G317" s="306">
        <f t="shared" ref="G317" si="827">+F317*$X$1</f>
        <v>9593.4</v>
      </c>
      <c r="H317" s="71">
        <f t="shared" ref="H317" si="828">F317+500</f>
        <v>10093.4</v>
      </c>
      <c r="I317" s="287">
        <f t="shared" si="821"/>
        <v>10093.4</v>
      </c>
      <c r="J317" s="654">
        <f t="shared" si="765"/>
        <v>9803.4</v>
      </c>
      <c r="K317" s="287">
        <f t="shared" ref="K317" si="829">+J317*$X$1</f>
        <v>9803.4</v>
      </c>
      <c r="L317" s="654">
        <f t="shared" ref="L317" si="830">F317+150</f>
        <v>9743.4</v>
      </c>
      <c r="M317" s="287">
        <f t="shared" ref="M317" si="831">+L317*$X$1</f>
        <v>9743.4</v>
      </c>
      <c r="N317" s="654">
        <f t="shared" ref="N317" si="832">F317+120</f>
        <v>9713.4</v>
      </c>
      <c r="O317" s="287">
        <f t="shared" si="822"/>
        <v>9713.4</v>
      </c>
      <c r="P317" s="654">
        <f t="shared" ref="P317" si="833">F317+95</f>
        <v>9688.4</v>
      </c>
      <c r="Q317" s="287">
        <f t="shared" si="823"/>
        <v>9688.4</v>
      </c>
      <c r="R317" s="654">
        <f t="shared" ref="R317" si="834">F317+85</f>
        <v>9678.4</v>
      </c>
      <c r="S317" s="287">
        <f t="shared" si="824"/>
        <v>9678.4</v>
      </c>
      <c r="T317" s="654">
        <f t="shared" ref="T317" si="835">F317+77</f>
        <v>9670.4</v>
      </c>
      <c r="U317" s="287">
        <f t="shared" si="825"/>
        <v>9670.4</v>
      </c>
      <c r="V317" s="654">
        <f t="shared" ref="V317" si="836">F317+68</f>
        <v>9661.4</v>
      </c>
      <c r="W317" s="287">
        <f t="shared" si="826"/>
        <v>9661.4</v>
      </c>
      <c r="X317" s="726"/>
      <c r="Y317" s="727"/>
      <c r="Z317" s="727"/>
      <c r="AA317" s="728"/>
      <c r="AB317" s="192">
        <v>1078</v>
      </c>
    </row>
    <row r="318" spans="1:29" ht="12.75" customHeight="1" x14ac:dyDescent="0.2">
      <c r="A318" s="18"/>
      <c r="B318" s="3"/>
      <c r="C318" s="3"/>
      <c r="D318" s="3"/>
      <c r="E318" s="3"/>
      <c r="F318" s="4"/>
      <c r="G318" s="4"/>
      <c r="H318" s="24"/>
      <c r="I318" s="2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29" ht="12.75" customHeight="1" x14ac:dyDescent="0.2">
      <c r="A319" s="18"/>
      <c r="B319" s="3"/>
      <c r="C319" s="3"/>
      <c r="D319" s="3"/>
      <c r="E319" s="3"/>
      <c r="F319" s="4"/>
      <c r="G319" s="4"/>
      <c r="H319" s="24"/>
      <c r="I319" s="24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7"/>
      <c r="W319" s="7"/>
    </row>
    <row r="320" spans="1:29" ht="12.75" customHeight="1" x14ac:dyDescent="0.2">
      <c r="A320" s="18"/>
      <c r="B320" s="65"/>
      <c r="C320" s="65"/>
      <c r="D320" s="65"/>
      <c r="E320" s="65"/>
      <c r="F320" s="4"/>
      <c r="G320" s="4"/>
      <c r="H320" s="24"/>
      <c r="I320" s="24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7"/>
      <c r="W320" s="7"/>
    </row>
    <row r="321" spans="1:34" ht="14.25" customHeight="1" x14ac:dyDescent="0.2">
      <c r="A321" s="18"/>
      <c r="B321" s="798" t="s">
        <v>11</v>
      </c>
      <c r="C321" s="767" t="s">
        <v>12</v>
      </c>
      <c r="D321" s="768"/>
      <c r="E321" s="768"/>
      <c r="F321" s="754" t="s">
        <v>13</v>
      </c>
      <c r="G321" s="754" t="s">
        <v>13</v>
      </c>
      <c r="H321" s="738" t="s">
        <v>809</v>
      </c>
      <c r="I321" s="738"/>
      <c r="J321" s="739"/>
      <c r="K321" s="739"/>
      <c r="L321" s="739"/>
      <c r="M321" s="739"/>
      <c r="N321" s="739"/>
      <c r="O321" s="739"/>
      <c r="P321" s="739"/>
      <c r="Q321" s="739"/>
      <c r="R321" s="739"/>
      <c r="S321" s="739"/>
      <c r="T321" s="739"/>
      <c r="U321" s="739"/>
      <c r="V321" s="739"/>
      <c r="W321" s="739"/>
      <c r="X321" s="715" t="s">
        <v>14</v>
      </c>
      <c r="Y321" s="716"/>
      <c r="Z321" s="716"/>
      <c r="AA321" s="717"/>
      <c r="AB321" s="721" t="s">
        <v>15</v>
      </c>
      <c r="AF321" s="703" t="s">
        <v>3</v>
      </c>
      <c r="AG321" s="704"/>
      <c r="AH321" s="704"/>
    </row>
    <row r="322" spans="1:34" ht="11.25" customHeight="1" x14ac:dyDescent="0.2">
      <c r="A322" s="18"/>
      <c r="B322" s="798"/>
      <c r="C322" s="768"/>
      <c r="D322" s="768"/>
      <c r="E322" s="768"/>
      <c r="F322" s="755"/>
      <c r="G322" s="755"/>
      <c r="H322" s="480"/>
      <c r="I322" s="472" t="s">
        <v>289</v>
      </c>
      <c r="J322" s="474"/>
      <c r="K322" s="472" t="s">
        <v>17</v>
      </c>
      <c r="L322" s="475"/>
      <c r="M322" s="475" t="s">
        <v>18</v>
      </c>
      <c r="N322" s="475"/>
      <c r="O322" s="472" t="s">
        <v>19</v>
      </c>
      <c r="P322" s="475"/>
      <c r="Q322" s="475" t="s">
        <v>291</v>
      </c>
      <c r="R322" s="475"/>
      <c r="S322" s="475" t="s">
        <v>20</v>
      </c>
      <c r="T322" s="475"/>
      <c r="U322" s="475" t="s">
        <v>21</v>
      </c>
      <c r="V322" s="475"/>
      <c r="W322" s="475" t="s">
        <v>22</v>
      </c>
      <c r="X322" s="718"/>
      <c r="Y322" s="719"/>
      <c r="Z322" s="719"/>
      <c r="AA322" s="720"/>
      <c r="AB322" s="691"/>
    </row>
    <row r="323" spans="1:34" ht="12.6" customHeight="1" x14ac:dyDescent="0.2">
      <c r="A323" s="18"/>
      <c r="B323" s="696" t="s">
        <v>385</v>
      </c>
      <c r="C323" s="807"/>
      <c r="D323" s="807"/>
      <c r="E323" s="807"/>
      <c r="F323" s="384">
        <f>6.87*X2</f>
        <v>7447.08</v>
      </c>
      <c r="G323" s="306">
        <f t="shared" ref="G323" si="837">+F323*$X$1</f>
        <v>7447.08</v>
      </c>
      <c r="H323" s="71">
        <f t="shared" ref="H323:H328" si="838">F323+500</f>
        <v>7947.08</v>
      </c>
      <c r="I323" s="287">
        <f t="shared" ref="I323" si="839">+H323*$X$1</f>
        <v>7947.08</v>
      </c>
      <c r="J323" s="672">
        <f>F323+210</f>
        <v>7657.08</v>
      </c>
      <c r="K323" s="287">
        <f t="shared" ref="K323" si="840">+J323*$X$1</f>
        <v>7657.08</v>
      </c>
      <c r="L323" s="672">
        <f>F323+150</f>
        <v>7597.08</v>
      </c>
      <c r="M323" s="287">
        <f t="shared" ref="M323" si="841">+L323*$X$1</f>
        <v>7597.08</v>
      </c>
      <c r="N323" s="672">
        <f>F323+120</f>
        <v>7567.08</v>
      </c>
      <c r="O323" s="287">
        <f t="shared" ref="O323" si="842">+N323*$X$1</f>
        <v>7567.08</v>
      </c>
      <c r="P323" s="672">
        <f>F323+95</f>
        <v>7542.08</v>
      </c>
      <c r="Q323" s="287">
        <f t="shared" ref="Q323" si="843">+P323*$X$1</f>
        <v>7542.08</v>
      </c>
      <c r="R323" s="672">
        <f>F323+85</f>
        <v>7532.08</v>
      </c>
      <c r="S323" s="287">
        <f t="shared" ref="S323" si="844">+R323*$X$1</f>
        <v>7532.08</v>
      </c>
      <c r="T323" s="672">
        <f>F323+77</f>
        <v>7524.08</v>
      </c>
      <c r="U323" s="287">
        <f t="shared" ref="U323" si="845">+T323*$X$1</f>
        <v>7524.08</v>
      </c>
      <c r="V323" s="672">
        <f>F323+68</f>
        <v>7515.08</v>
      </c>
      <c r="W323" s="287">
        <f t="shared" ref="W323" si="846">+V323*$X$1</f>
        <v>7515.08</v>
      </c>
      <c r="X323" s="727"/>
      <c r="Y323" s="727"/>
      <c r="Z323" s="727"/>
      <c r="AA323" s="728"/>
      <c r="AB323" s="192">
        <v>1079</v>
      </c>
    </row>
    <row r="324" spans="1:34" ht="12.6" customHeight="1" x14ac:dyDescent="0.2">
      <c r="A324" s="18"/>
      <c r="B324" s="692" t="s">
        <v>515</v>
      </c>
      <c r="C324" s="693"/>
      <c r="D324" s="693"/>
      <c r="E324" s="693"/>
      <c r="F324" s="329">
        <v>16826</v>
      </c>
      <c r="G324" s="288">
        <f>+F324*$X$1</f>
        <v>16826</v>
      </c>
      <c r="H324" s="89">
        <f t="shared" si="838"/>
        <v>17326</v>
      </c>
      <c r="I324" s="288">
        <f>+H324*$X$1</f>
        <v>17326</v>
      </c>
      <c r="J324" s="458">
        <f>F324+210</f>
        <v>17036</v>
      </c>
      <c r="K324" s="288">
        <f>+J324*$X$1</f>
        <v>17036</v>
      </c>
      <c r="L324" s="458">
        <f>F324+150</f>
        <v>16976</v>
      </c>
      <c r="M324" s="288">
        <f t="shared" ref="M324:M331" si="847">+L324*$X$1</f>
        <v>16976</v>
      </c>
      <c r="N324" s="458">
        <f>F324+120</f>
        <v>16946</v>
      </c>
      <c r="O324" s="288">
        <f t="shared" ref="O324:O331" si="848">+N324*$X$1</f>
        <v>16946</v>
      </c>
      <c r="P324" s="458">
        <f>F324+95</f>
        <v>16921</v>
      </c>
      <c r="Q324" s="288">
        <f t="shared" ref="Q324:Q331" si="849">+P324*$X$1</f>
        <v>16921</v>
      </c>
      <c r="R324" s="458">
        <f>F324+85</f>
        <v>16911</v>
      </c>
      <c r="S324" s="288">
        <f t="shared" ref="S324:S331" si="850">+R324*$X$1</f>
        <v>16911</v>
      </c>
      <c r="T324" s="458">
        <f>F324+77</f>
        <v>16903</v>
      </c>
      <c r="U324" s="288">
        <f t="shared" ref="U324:U331" si="851">+T324*$X$1</f>
        <v>16903</v>
      </c>
      <c r="V324" s="458">
        <f>F324+68</f>
        <v>16894</v>
      </c>
      <c r="W324" s="288">
        <f t="shared" ref="W324:W331" si="852">+V324*$X$1</f>
        <v>16894</v>
      </c>
      <c r="X324" s="727"/>
      <c r="Y324" s="727"/>
      <c r="Z324" s="727"/>
      <c r="AA324" s="728"/>
      <c r="AB324" s="192">
        <v>1080</v>
      </c>
      <c r="AC324" s="64"/>
    </row>
    <row r="325" spans="1:34" ht="12.6" customHeight="1" x14ac:dyDescent="0.2">
      <c r="A325" s="18"/>
      <c r="B325" s="677" t="s">
        <v>516</v>
      </c>
      <c r="C325" s="678"/>
      <c r="D325" s="678"/>
      <c r="E325" s="678"/>
      <c r="F325" s="330">
        <v>18164</v>
      </c>
      <c r="G325" s="287">
        <f>+F325*$X$1</f>
        <v>18164</v>
      </c>
      <c r="H325" s="71">
        <f t="shared" si="838"/>
        <v>18664</v>
      </c>
      <c r="I325" s="287">
        <f>+H325*$X$1</f>
        <v>18664</v>
      </c>
      <c r="J325" s="672">
        <f>F325+210</f>
        <v>18374</v>
      </c>
      <c r="K325" s="287">
        <f>+J325*$X$1</f>
        <v>18374</v>
      </c>
      <c r="L325" s="672">
        <f>F325+150</f>
        <v>18314</v>
      </c>
      <c r="M325" s="287">
        <f t="shared" si="847"/>
        <v>18314</v>
      </c>
      <c r="N325" s="672">
        <f>F325+120</f>
        <v>18284</v>
      </c>
      <c r="O325" s="287">
        <f t="shared" si="848"/>
        <v>18284</v>
      </c>
      <c r="P325" s="672">
        <f>F325+95</f>
        <v>18259</v>
      </c>
      <c r="Q325" s="287">
        <f t="shared" si="849"/>
        <v>18259</v>
      </c>
      <c r="R325" s="672">
        <f>F325+85</f>
        <v>18249</v>
      </c>
      <c r="S325" s="287">
        <f t="shared" si="850"/>
        <v>18249</v>
      </c>
      <c r="T325" s="672">
        <f>F325+77</f>
        <v>18241</v>
      </c>
      <c r="U325" s="287">
        <f t="shared" si="851"/>
        <v>18241</v>
      </c>
      <c r="V325" s="672">
        <f>F325+68</f>
        <v>18232</v>
      </c>
      <c r="W325" s="287">
        <f t="shared" si="852"/>
        <v>18232</v>
      </c>
      <c r="X325" s="727"/>
      <c r="Y325" s="727"/>
      <c r="Z325" s="727"/>
      <c r="AA325" s="728"/>
      <c r="AB325" s="192">
        <v>1081</v>
      </c>
      <c r="AC325" s="64"/>
    </row>
    <row r="326" spans="1:34" ht="12.6" customHeight="1" x14ac:dyDescent="0.2">
      <c r="A326" s="18"/>
      <c r="B326" s="692" t="s">
        <v>432</v>
      </c>
      <c r="C326" s="693"/>
      <c r="D326" s="693"/>
      <c r="E326" s="693"/>
      <c r="F326" s="329">
        <v>14847</v>
      </c>
      <c r="G326" s="288">
        <f>+F326*$X$1</f>
        <v>14847</v>
      </c>
      <c r="H326" s="89">
        <f t="shared" si="838"/>
        <v>15347</v>
      </c>
      <c r="I326" s="288">
        <f>+H326*$X$1</f>
        <v>15347</v>
      </c>
      <c r="J326" s="458">
        <f>F326+210</f>
        <v>15057</v>
      </c>
      <c r="K326" s="288">
        <f>+J326*$X$1</f>
        <v>15057</v>
      </c>
      <c r="L326" s="458">
        <f>F326+150</f>
        <v>14997</v>
      </c>
      <c r="M326" s="288">
        <f t="shared" si="847"/>
        <v>14997</v>
      </c>
      <c r="N326" s="458">
        <f>F326+120</f>
        <v>14967</v>
      </c>
      <c r="O326" s="288">
        <f t="shared" si="848"/>
        <v>14967</v>
      </c>
      <c r="P326" s="458">
        <f>F326+95</f>
        <v>14942</v>
      </c>
      <c r="Q326" s="288">
        <f t="shared" si="849"/>
        <v>14942</v>
      </c>
      <c r="R326" s="458">
        <f>F326+85</f>
        <v>14932</v>
      </c>
      <c r="S326" s="288">
        <f t="shared" si="850"/>
        <v>14932</v>
      </c>
      <c r="T326" s="458">
        <f>F326+77</f>
        <v>14924</v>
      </c>
      <c r="U326" s="288">
        <f t="shared" si="851"/>
        <v>14924</v>
      </c>
      <c r="V326" s="458">
        <f>F326+68</f>
        <v>14915</v>
      </c>
      <c r="W326" s="288">
        <f t="shared" si="852"/>
        <v>14915</v>
      </c>
      <c r="X326" s="727"/>
      <c r="Y326" s="727"/>
      <c r="Z326" s="727"/>
      <c r="AA326" s="728"/>
      <c r="AB326" s="192">
        <v>1083</v>
      </c>
      <c r="AC326" s="64"/>
    </row>
    <row r="327" spans="1:34" ht="12.6" customHeight="1" x14ac:dyDescent="0.2">
      <c r="A327" s="18"/>
      <c r="B327" s="696" t="s">
        <v>820</v>
      </c>
      <c r="C327" s="807"/>
      <c r="D327" s="807"/>
      <c r="E327" s="807"/>
      <c r="F327" s="379">
        <f>2.32*X2</f>
        <v>2514.8799999999997</v>
      </c>
      <c r="G327" s="287">
        <f t="shared" ref="G327" si="853">+F327*$X$1</f>
        <v>2514.8799999999997</v>
      </c>
      <c r="H327" s="672">
        <f t="shared" si="838"/>
        <v>3014.8799999999997</v>
      </c>
      <c r="I327" s="287">
        <f t="shared" ref="I327:I328" si="854">+H327*$X$1</f>
        <v>3014.8799999999997</v>
      </c>
      <c r="J327" s="672">
        <f>F327+200</f>
        <v>2714.8799999999997</v>
      </c>
      <c r="K327" s="287">
        <f>+J327*$X$1</f>
        <v>2714.8799999999997</v>
      </c>
      <c r="L327" s="672">
        <f>F327+140</f>
        <v>2654.8799999999997</v>
      </c>
      <c r="M327" s="287">
        <f t="shared" si="847"/>
        <v>2654.8799999999997</v>
      </c>
      <c r="N327" s="672">
        <f>F327+70</f>
        <v>2584.8799999999997</v>
      </c>
      <c r="O327" s="287">
        <f t="shared" si="848"/>
        <v>2584.8799999999997</v>
      </c>
      <c r="P327" s="672">
        <f>F327+60</f>
        <v>2574.8799999999997</v>
      </c>
      <c r="Q327" s="287">
        <f t="shared" si="849"/>
        <v>2574.8799999999997</v>
      </c>
      <c r="R327" s="672">
        <f>F327+50</f>
        <v>2564.8799999999997</v>
      </c>
      <c r="S327" s="287">
        <f t="shared" si="850"/>
        <v>2564.8799999999997</v>
      </c>
      <c r="T327" s="103">
        <f>F327+44</f>
        <v>2558.8799999999997</v>
      </c>
      <c r="U327" s="255">
        <f t="shared" si="851"/>
        <v>2558.8799999999997</v>
      </c>
      <c r="V327" s="103">
        <f>F327+38</f>
        <v>2552.8799999999997</v>
      </c>
      <c r="W327" s="255">
        <f t="shared" si="852"/>
        <v>2552.8799999999997</v>
      </c>
      <c r="X327" s="814"/>
      <c r="Y327" s="993"/>
      <c r="Z327" s="993"/>
      <c r="AA327" s="994"/>
      <c r="AB327" s="403">
        <v>2130</v>
      </c>
      <c r="AC327" s="65"/>
    </row>
    <row r="328" spans="1:34" ht="12.6" customHeight="1" x14ac:dyDescent="0.2">
      <c r="A328" s="18"/>
      <c r="B328" s="765" t="s">
        <v>821</v>
      </c>
      <c r="C328" s="743"/>
      <c r="D328" s="743"/>
      <c r="E328" s="743"/>
      <c r="F328" s="380">
        <f>2.3*X2</f>
        <v>2493.1999999999998</v>
      </c>
      <c r="G328" s="288">
        <f t="shared" ref="G328" si="855">+F328*$X$1</f>
        <v>2493.1999999999998</v>
      </c>
      <c r="H328" s="458">
        <f t="shared" si="838"/>
        <v>2993.2</v>
      </c>
      <c r="I328" s="288">
        <f t="shared" si="854"/>
        <v>2993.2</v>
      </c>
      <c r="J328" s="458">
        <f>F328+200</f>
        <v>2693.2</v>
      </c>
      <c r="K328" s="288">
        <f>+J328*$X$1</f>
        <v>2693.2</v>
      </c>
      <c r="L328" s="458">
        <f>F328+140</f>
        <v>2633.2</v>
      </c>
      <c r="M328" s="288">
        <f t="shared" si="847"/>
        <v>2633.2</v>
      </c>
      <c r="N328" s="458">
        <f>F328+70</f>
        <v>2563.1999999999998</v>
      </c>
      <c r="O328" s="288">
        <f t="shared" si="848"/>
        <v>2563.1999999999998</v>
      </c>
      <c r="P328" s="458">
        <f>F328+60</f>
        <v>2553.1999999999998</v>
      </c>
      <c r="Q328" s="288">
        <f t="shared" si="849"/>
        <v>2553.1999999999998</v>
      </c>
      <c r="R328" s="458">
        <f>F328+50</f>
        <v>2543.1999999999998</v>
      </c>
      <c r="S328" s="288">
        <f t="shared" si="850"/>
        <v>2543.1999999999998</v>
      </c>
      <c r="T328" s="102">
        <f>F328+44</f>
        <v>2537.1999999999998</v>
      </c>
      <c r="U328" s="305">
        <f t="shared" si="851"/>
        <v>2537.1999999999998</v>
      </c>
      <c r="V328" s="102">
        <f>F328+38</f>
        <v>2531.1999999999998</v>
      </c>
      <c r="W328" s="305">
        <f t="shared" si="852"/>
        <v>2531.1999999999998</v>
      </c>
      <c r="X328" s="814"/>
      <c r="Y328" s="993"/>
      <c r="Z328" s="993"/>
      <c r="AA328" s="994"/>
      <c r="AB328" s="403">
        <v>2131</v>
      </c>
      <c r="AC328" s="65"/>
    </row>
    <row r="329" spans="1:34" ht="12.6" customHeight="1" x14ac:dyDescent="0.2">
      <c r="A329" s="104"/>
      <c r="B329" s="677" t="s">
        <v>216</v>
      </c>
      <c r="C329" s="678"/>
      <c r="D329" s="678"/>
      <c r="E329" s="678"/>
      <c r="F329" s="379">
        <f>0.445*X2</f>
        <v>482.38</v>
      </c>
      <c r="G329" s="287">
        <f t="shared" ref="G329:G330" si="856">+F329*$X$1</f>
        <v>482.38</v>
      </c>
      <c r="H329" s="281"/>
      <c r="I329" s="342"/>
      <c r="J329" s="672"/>
      <c r="K329" s="287"/>
      <c r="L329" s="672">
        <f>F329+120</f>
        <v>602.38</v>
      </c>
      <c r="M329" s="287">
        <f t="shared" si="847"/>
        <v>602.38</v>
      </c>
      <c r="N329" s="672">
        <f>F329+60</f>
        <v>542.38</v>
      </c>
      <c r="O329" s="287">
        <f t="shared" si="848"/>
        <v>542.38</v>
      </c>
      <c r="P329" s="672">
        <f>F329+50</f>
        <v>532.38</v>
      </c>
      <c r="Q329" s="287">
        <f t="shared" si="849"/>
        <v>532.38</v>
      </c>
      <c r="R329" s="672">
        <f>F329+42</f>
        <v>524.38</v>
      </c>
      <c r="S329" s="287">
        <f t="shared" si="850"/>
        <v>524.38</v>
      </c>
      <c r="T329" s="103">
        <f>F329+34</f>
        <v>516.38</v>
      </c>
      <c r="U329" s="255">
        <f t="shared" si="851"/>
        <v>516.38</v>
      </c>
      <c r="V329" s="103">
        <f>F329+29</f>
        <v>511.38</v>
      </c>
      <c r="W329" s="255">
        <f t="shared" si="852"/>
        <v>511.38</v>
      </c>
      <c r="X329" s="133"/>
      <c r="Y329" s="131"/>
      <c r="Z329" s="131"/>
      <c r="AA329" s="131"/>
      <c r="AB329" s="403">
        <v>2145</v>
      </c>
      <c r="AC329" s="65"/>
    </row>
    <row r="330" spans="1:34" ht="12.6" customHeight="1" x14ac:dyDescent="0.25">
      <c r="A330" s="126"/>
      <c r="B330" s="692" t="s">
        <v>984</v>
      </c>
      <c r="C330" s="693"/>
      <c r="D330" s="693"/>
      <c r="E330" s="693"/>
      <c r="F330" s="380">
        <v>170</v>
      </c>
      <c r="G330" s="288">
        <f t="shared" si="856"/>
        <v>170</v>
      </c>
      <c r="H330" s="280"/>
      <c r="I330" s="343"/>
      <c r="J330" s="569"/>
      <c r="K330" s="288"/>
      <c r="L330" s="570"/>
      <c r="M330" s="288"/>
      <c r="N330" s="570"/>
      <c r="O330" s="571"/>
      <c r="P330" s="280"/>
      <c r="Q330" s="343"/>
      <c r="R330" s="570"/>
      <c r="S330" s="571"/>
      <c r="T330" s="570"/>
      <c r="U330" s="571"/>
      <c r="V330" s="570"/>
      <c r="W330" s="571"/>
      <c r="X330" s="131"/>
      <c r="Y330" s="131"/>
      <c r="Z330" s="131"/>
      <c r="AA330" s="131"/>
      <c r="AB330" s="192">
        <v>2147</v>
      </c>
    </row>
    <row r="331" spans="1:34" ht="12.6" customHeight="1" x14ac:dyDescent="0.2">
      <c r="A331" s="18"/>
      <c r="B331" s="677" t="s">
        <v>217</v>
      </c>
      <c r="C331" s="678"/>
      <c r="D331" s="678"/>
      <c r="E331" s="678"/>
      <c r="F331" s="379">
        <v>48</v>
      </c>
      <c r="G331" s="287">
        <f t="shared" ref="G331:G336" si="857">+F331*$X$1</f>
        <v>48</v>
      </c>
      <c r="H331" s="281"/>
      <c r="I331" s="342"/>
      <c r="J331" s="654">
        <f>F331+180</f>
        <v>228</v>
      </c>
      <c r="K331" s="287">
        <f t="shared" ref="K331" si="858">+J331*$X$1</f>
        <v>228</v>
      </c>
      <c r="L331" s="654">
        <f>F331+120</f>
        <v>168</v>
      </c>
      <c r="M331" s="287">
        <f t="shared" si="847"/>
        <v>168</v>
      </c>
      <c r="N331" s="654">
        <f>F331+60</f>
        <v>108</v>
      </c>
      <c r="O331" s="287">
        <f t="shared" si="848"/>
        <v>108</v>
      </c>
      <c r="P331" s="654">
        <f>F331+50</f>
        <v>98</v>
      </c>
      <c r="Q331" s="287">
        <f t="shared" si="849"/>
        <v>98</v>
      </c>
      <c r="R331" s="654">
        <f>F331+42</f>
        <v>90</v>
      </c>
      <c r="S331" s="287">
        <f t="shared" si="850"/>
        <v>90</v>
      </c>
      <c r="T331" s="103">
        <f>F331+34</f>
        <v>82</v>
      </c>
      <c r="U331" s="255">
        <f t="shared" si="851"/>
        <v>82</v>
      </c>
      <c r="V331" s="103">
        <f>F331+29</f>
        <v>77</v>
      </c>
      <c r="W331" s="255">
        <f t="shared" si="852"/>
        <v>77</v>
      </c>
      <c r="X331" s="131"/>
      <c r="Y331" s="131"/>
      <c r="Z331" s="131"/>
      <c r="AA331" s="131"/>
      <c r="AB331" s="403">
        <v>2149</v>
      </c>
    </row>
    <row r="332" spans="1:34" ht="12.6" customHeight="1" x14ac:dyDescent="0.25">
      <c r="A332" s="126"/>
      <c r="B332" s="673" t="s">
        <v>917</v>
      </c>
      <c r="C332" s="674"/>
      <c r="D332" s="674"/>
      <c r="E332" s="674"/>
      <c r="F332" s="380">
        <f>1.41*X2</f>
        <v>1528.4399999999998</v>
      </c>
      <c r="G332" s="288">
        <f t="shared" si="857"/>
        <v>1528.4399999999998</v>
      </c>
      <c r="H332" s="280"/>
      <c r="I332" s="343"/>
      <c r="J332" s="569"/>
      <c r="K332" s="288"/>
      <c r="L332" s="570"/>
      <c r="M332" s="288"/>
      <c r="N332" s="570"/>
      <c r="O332" s="571"/>
      <c r="P332" s="280"/>
      <c r="Q332" s="343"/>
      <c r="R332" s="570"/>
      <c r="S332" s="571"/>
      <c r="T332" s="570"/>
      <c r="U332" s="571"/>
      <c r="V332" s="570"/>
      <c r="W332" s="571"/>
      <c r="X332" s="131"/>
      <c r="Y332" s="131"/>
      <c r="Z332" s="131"/>
      <c r="AA332" s="131"/>
      <c r="AB332" s="192">
        <v>2150</v>
      </c>
    </row>
    <row r="333" spans="1:34" ht="12.6" customHeight="1" x14ac:dyDescent="0.25">
      <c r="A333" s="126"/>
      <c r="B333" s="677" t="s">
        <v>218</v>
      </c>
      <c r="C333" s="678"/>
      <c r="D333" s="678"/>
      <c r="E333" s="678"/>
      <c r="F333" s="379">
        <f>0.86*X2</f>
        <v>932.24</v>
      </c>
      <c r="G333" s="287">
        <f t="shared" si="857"/>
        <v>932.24</v>
      </c>
      <c r="H333" s="281"/>
      <c r="I333" s="342"/>
      <c r="J333" s="659"/>
      <c r="K333" s="287"/>
      <c r="L333" s="660"/>
      <c r="M333" s="287"/>
      <c r="N333" s="660"/>
      <c r="O333" s="661"/>
      <c r="P333" s="281"/>
      <c r="Q333" s="342"/>
      <c r="R333" s="660"/>
      <c r="S333" s="661"/>
      <c r="T333" s="660"/>
      <c r="U333" s="661"/>
      <c r="V333" s="660"/>
      <c r="W333" s="661"/>
      <c r="X333" s="131"/>
      <c r="Y333" s="131"/>
      <c r="Z333" s="131"/>
      <c r="AA333" s="131"/>
      <c r="AB333" s="192">
        <v>2151</v>
      </c>
    </row>
    <row r="334" spans="1:34" ht="12.6" customHeight="1" x14ac:dyDescent="0.2">
      <c r="A334" s="18"/>
      <c r="B334" s="765" t="s">
        <v>219</v>
      </c>
      <c r="C334" s="766"/>
      <c r="D334" s="766"/>
      <c r="E334" s="766"/>
      <c r="F334" s="383">
        <f>0.67*X2</f>
        <v>726.28000000000009</v>
      </c>
      <c r="G334" s="319">
        <f t="shared" si="857"/>
        <v>726.28000000000009</v>
      </c>
      <c r="H334" s="606"/>
      <c r="I334" s="607"/>
      <c r="J334" s="102"/>
      <c r="K334" s="319"/>
      <c r="L334" s="458">
        <f t="shared" ref="L334:L337" si="859">F334+120</f>
        <v>846.28000000000009</v>
      </c>
      <c r="M334" s="288">
        <f t="shared" ref="M334:M337" si="860">+L334*$X$1</f>
        <v>846.28000000000009</v>
      </c>
      <c r="N334" s="458">
        <f t="shared" ref="N334:N337" si="861">F334+60</f>
        <v>786.28000000000009</v>
      </c>
      <c r="O334" s="288">
        <f t="shared" ref="O334:O337" si="862">+N334*$X$1</f>
        <v>786.28000000000009</v>
      </c>
      <c r="P334" s="458">
        <f t="shared" ref="P334:P337" si="863">F334+50</f>
        <v>776.28000000000009</v>
      </c>
      <c r="Q334" s="288">
        <f t="shared" ref="Q334:Q337" si="864">+P334*$X$1</f>
        <v>776.28000000000009</v>
      </c>
      <c r="R334" s="458">
        <f t="shared" ref="R334:R337" si="865">F334+42</f>
        <v>768.28000000000009</v>
      </c>
      <c r="S334" s="288">
        <f t="shared" ref="S334:S337" si="866">+R334*$X$1</f>
        <v>768.28000000000009</v>
      </c>
      <c r="T334" s="102">
        <f t="shared" ref="T334:T337" si="867">F334+34</f>
        <v>760.28000000000009</v>
      </c>
      <c r="U334" s="305">
        <f t="shared" ref="U334:U337" si="868">+T334*$X$1</f>
        <v>760.28000000000009</v>
      </c>
      <c r="V334" s="102">
        <f t="shared" ref="V334:V337" si="869">F334+29</f>
        <v>755.28000000000009</v>
      </c>
      <c r="W334" s="305">
        <f t="shared" ref="W334:W337" si="870">+V334*$X$1</f>
        <v>755.28000000000009</v>
      </c>
      <c r="X334" s="131"/>
      <c r="Y334" s="131"/>
      <c r="Z334" s="131"/>
      <c r="AA334" s="131"/>
      <c r="AB334" s="417">
        <v>2153</v>
      </c>
      <c r="AC334" s="65"/>
    </row>
    <row r="335" spans="1:34" ht="12.6" customHeight="1" x14ac:dyDescent="0.2">
      <c r="A335" s="18"/>
      <c r="B335" s="677" t="s">
        <v>377</v>
      </c>
      <c r="C335" s="678"/>
      <c r="D335" s="678"/>
      <c r="E335" s="678"/>
      <c r="F335" s="379">
        <f>0.485*X2</f>
        <v>525.74</v>
      </c>
      <c r="G335" s="287">
        <f t="shared" si="857"/>
        <v>525.74</v>
      </c>
      <c r="H335" s="281"/>
      <c r="I335" s="342"/>
      <c r="J335" s="654"/>
      <c r="K335" s="287"/>
      <c r="L335" s="654">
        <f t="shared" si="859"/>
        <v>645.74</v>
      </c>
      <c r="M335" s="287">
        <f t="shared" si="860"/>
        <v>645.74</v>
      </c>
      <c r="N335" s="654">
        <f t="shared" si="861"/>
        <v>585.74</v>
      </c>
      <c r="O335" s="287">
        <f t="shared" si="862"/>
        <v>585.74</v>
      </c>
      <c r="P335" s="654">
        <f t="shared" si="863"/>
        <v>575.74</v>
      </c>
      <c r="Q335" s="287">
        <f t="shared" si="864"/>
        <v>575.74</v>
      </c>
      <c r="R335" s="654">
        <f t="shared" si="865"/>
        <v>567.74</v>
      </c>
      <c r="S335" s="287">
        <f t="shared" si="866"/>
        <v>567.74</v>
      </c>
      <c r="T335" s="103">
        <f t="shared" si="867"/>
        <v>559.74</v>
      </c>
      <c r="U335" s="255">
        <f t="shared" si="868"/>
        <v>559.74</v>
      </c>
      <c r="V335" s="103">
        <f t="shared" si="869"/>
        <v>554.74</v>
      </c>
      <c r="W335" s="255">
        <f t="shared" si="870"/>
        <v>554.74</v>
      </c>
      <c r="X335" s="131"/>
      <c r="Y335" s="138"/>
      <c r="Z335" s="138"/>
      <c r="AA335" s="138"/>
      <c r="AB335" s="416">
        <v>2154</v>
      </c>
      <c r="AC335" s="22"/>
      <c r="AD335" s="22"/>
    </row>
    <row r="336" spans="1:34" ht="12.6" customHeight="1" x14ac:dyDescent="0.2">
      <c r="A336" s="18"/>
      <c r="B336" s="692" t="s">
        <v>378</v>
      </c>
      <c r="C336" s="693"/>
      <c r="D336" s="693"/>
      <c r="E336" s="693"/>
      <c r="F336" s="380">
        <f>0.56*X2</f>
        <v>607.04000000000008</v>
      </c>
      <c r="G336" s="288">
        <f t="shared" si="857"/>
        <v>607.04000000000008</v>
      </c>
      <c r="H336" s="280"/>
      <c r="I336" s="343"/>
      <c r="J336" s="458"/>
      <c r="K336" s="288"/>
      <c r="L336" s="458">
        <f t="shared" si="859"/>
        <v>727.04000000000008</v>
      </c>
      <c r="M336" s="288">
        <f t="shared" si="860"/>
        <v>727.04000000000008</v>
      </c>
      <c r="N336" s="458">
        <f t="shared" si="861"/>
        <v>667.04000000000008</v>
      </c>
      <c r="O336" s="288">
        <f t="shared" si="862"/>
        <v>667.04000000000008</v>
      </c>
      <c r="P336" s="458">
        <f t="shared" si="863"/>
        <v>657.04000000000008</v>
      </c>
      <c r="Q336" s="288">
        <f t="shared" si="864"/>
        <v>657.04000000000008</v>
      </c>
      <c r="R336" s="458">
        <f t="shared" si="865"/>
        <v>649.04000000000008</v>
      </c>
      <c r="S336" s="288">
        <f t="shared" si="866"/>
        <v>649.04000000000008</v>
      </c>
      <c r="T336" s="102">
        <f t="shared" si="867"/>
        <v>641.04000000000008</v>
      </c>
      <c r="U336" s="305">
        <f t="shared" si="868"/>
        <v>641.04000000000008</v>
      </c>
      <c r="V336" s="102">
        <f t="shared" si="869"/>
        <v>636.04000000000008</v>
      </c>
      <c r="W336" s="305">
        <f t="shared" si="870"/>
        <v>636.04000000000008</v>
      </c>
      <c r="X336" s="150"/>
      <c r="Y336" s="131"/>
      <c r="Z336" s="138"/>
      <c r="AA336" s="138"/>
      <c r="AB336" s="416">
        <v>2156</v>
      </c>
      <c r="AC336" s="22"/>
      <c r="AD336" s="22"/>
    </row>
    <row r="337" spans="1:34" ht="12.6" customHeight="1" x14ac:dyDescent="0.2">
      <c r="A337" s="18"/>
      <c r="B337" s="732" t="s">
        <v>220</v>
      </c>
      <c r="C337" s="733"/>
      <c r="D337" s="733"/>
      <c r="E337" s="734"/>
      <c r="F337" s="379">
        <f>0.484*X2</f>
        <v>524.65599999999995</v>
      </c>
      <c r="G337" s="287">
        <f t="shared" ref="G337" si="871">+F337*$X$1</f>
        <v>524.65599999999995</v>
      </c>
      <c r="H337" s="281"/>
      <c r="I337" s="342"/>
      <c r="J337" s="654"/>
      <c r="K337" s="287"/>
      <c r="L337" s="654">
        <f t="shared" si="859"/>
        <v>644.65599999999995</v>
      </c>
      <c r="M337" s="287">
        <f t="shared" si="860"/>
        <v>644.65599999999995</v>
      </c>
      <c r="N337" s="654">
        <f t="shared" si="861"/>
        <v>584.65599999999995</v>
      </c>
      <c r="O337" s="287">
        <f t="shared" si="862"/>
        <v>584.65599999999995</v>
      </c>
      <c r="P337" s="654">
        <f t="shared" si="863"/>
        <v>574.65599999999995</v>
      </c>
      <c r="Q337" s="287">
        <f t="shared" si="864"/>
        <v>574.65599999999995</v>
      </c>
      <c r="R337" s="654">
        <f t="shared" si="865"/>
        <v>566.65599999999995</v>
      </c>
      <c r="S337" s="287">
        <f t="shared" si="866"/>
        <v>566.65599999999995</v>
      </c>
      <c r="T337" s="103">
        <f t="shared" si="867"/>
        <v>558.65599999999995</v>
      </c>
      <c r="U337" s="255">
        <f t="shared" si="868"/>
        <v>558.65599999999995</v>
      </c>
      <c r="V337" s="103">
        <f t="shared" si="869"/>
        <v>553.65599999999995</v>
      </c>
      <c r="W337" s="255">
        <f t="shared" si="870"/>
        <v>553.65599999999995</v>
      </c>
      <c r="X337" s="131"/>
      <c r="Y337" s="138"/>
      <c r="Z337" s="138"/>
      <c r="AA337" s="138"/>
      <c r="AB337" s="416">
        <v>2160</v>
      </c>
      <c r="AC337" s="22"/>
      <c r="AD337" s="22"/>
      <c r="AH337" s="64"/>
    </row>
    <row r="338" spans="1:34" ht="12.6" customHeight="1" x14ac:dyDescent="0.2">
      <c r="A338" s="97"/>
      <c r="B338" s="1047" t="s">
        <v>221</v>
      </c>
      <c r="C338" s="1048"/>
      <c r="D338" s="1048"/>
      <c r="E338" s="1049"/>
      <c r="F338" s="380">
        <f>0.57*X2</f>
        <v>617.88</v>
      </c>
      <c r="G338" s="305">
        <f t="shared" ref="G338" si="872">+F338*$X$1</f>
        <v>617.88</v>
      </c>
      <c r="H338" s="458"/>
      <c r="I338" s="458"/>
      <c r="J338" s="120"/>
      <c r="K338" s="288"/>
      <c r="L338" s="458">
        <f>F338+120</f>
        <v>737.88</v>
      </c>
      <c r="M338" s="288">
        <f>+L338*$X$1</f>
        <v>737.88</v>
      </c>
      <c r="N338" s="458">
        <f>F338+60</f>
        <v>677.88</v>
      </c>
      <c r="O338" s="288">
        <f>+N338*$X$1</f>
        <v>677.88</v>
      </c>
      <c r="P338" s="458">
        <f>F338+50</f>
        <v>667.88</v>
      </c>
      <c r="Q338" s="288">
        <f>+P338*$X$1</f>
        <v>667.88</v>
      </c>
      <c r="R338" s="458">
        <f>F338+42</f>
        <v>659.88</v>
      </c>
      <c r="S338" s="288">
        <f>+R338*$X$1</f>
        <v>659.88</v>
      </c>
      <c r="T338" s="102">
        <f>F338+34</f>
        <v>651.88</v>
      </c>
      <c r="U338" s="305">
        <f>+T338*$X$1</f>
        <v>651.88</v>
      </c>
      <c r="V338" s="102">
        <f>F338+29</f>
        <v>646.88</v>
      </c>
      <c r="W338" s="305">
        <f>+V338*$X$1</f>
        <v>646.88</v>
      </c>
      <c r="X338" s="131"/>
      <c r="Y338" s="138"/>
      <c r="Z338" s="138"/>
      <c r="AA338" s="138"/>
      <c r="AB338" s="403">
        <v>2174</v>
      </c>
      <c r="AC338" s="66"/>
      <c r="AD338" s="22"/>
    </row>
    <row r="339" spans="1:34" ht="12.6" customHeight="1" x14ac:dyDescent="0.2">
      <c r="A339" s="97"/>
      <c r="B339" s="1236" t="s">
        <v>222</v>
      </c>
      <c r="C339" s="1237"/>
      <c r="D339" s="1237"/>
      <c r="E339" s="1238"/>
      <c r="F339" s="379">
        <f>0.57*X2</f>
        <v>617.88</v>
      </c>
      <c r="G339" s="255">
        <f>+F339*$X$1</f>
        <v>617.88</v>
      </c>
      <c r="H339" s="603"/>
      <c r="I339" s="603"/>
      <c r="J339" s="121"/>
      <c r="K339" s="287"/>
      <c r="L339" s="603">
        <f>F339+120</f>
        <v>737.88</v>
      </c>
      <c r="M339" s="287">
        <f>+L339*$X$1</f>
        <v>737.88</v>
      </c>
      <c r="N339" s="603">
        <f>F339+60</f>
        <v>677.88</v>
      </c>
      <c r="O339" s="287">
        <f>+N339*$X$1</f>
        <v>677.88</v>
      </c>
      <c r="P339" s="603">
        <f>F339+50</f>
        <v>667.88</v>
      </c>
      <c r="Q339" s="287">
        <f>+P339*$X$1</f>
        <v>667.88</v>
      </c>
      <c r="R339" s="603">
        <f>F339+42</f>
        <v>659.88</v>
      </c>
      <c r="S339" s="287">
        <f>+R339*$X$1</f>
        <v>659.88</v>
      </c>
      <c r="T339" s="103">
        <f>F339+34</f>
        <v>651.88</v>
      </c>
      <c r="U339" s="255">
        <f>+T339*$X$1</f>
        <v>651.88</v>
      </c>
      <c r="V339" s="103">
        <f>F339+29</f>
        <v>646.88</v>
      </c>
      <c r="W339" s="255">
        <f>+V339*$X$1</f>
        <v>646.88</v>
      </c>
      <c r="X339" s="131"/>
      <c r="Y339" s="138"/>
      <c r="Z339" s="138"/>
      <c r="AA339" s="138"/>
      <c r="AB339" s="403" t="s">
        <v>338</v>
      </c>
      <c r="AC339" s="66"/>
      <c r="AD339" s="22"/>
    </row>
    <row r="340" spans="1:34" ht="12.6" customHeight="1" x14ac:dyDescent="0.2">
      <c r="A340" s="97"/>
      <c r="B340" s="692" t="s">
        <v>685</v>
      </c>
      <c r="C340" s="693"/>
      <c r="D340" s="693"/>
      <c r="E340" s="693"/>
      <c r="F340" s="380">
        <f>0.58*X2</f>
        <v>628.71999999999991</v>
      </c>
      <c r="G340" s="305">
        <f>+F340*$X$1</f>
        <v>628.71999999999991</v>
      </c>
      <c r="H340" s="458"/>
      <c r="I340" s="458"/>
      <c r="J340" s="120"/>
      <c r="K340" s="288"/>
      <c r="L340" s="458">
        <f t="shared" ref="L340:L344" si="873">F340+120</f>
        <v>748.71999999999991</v>
      </c>
      <c r="M340" s="288">
        <f>+L340*$X$1</f>
        <v>748.71999999999991</v>
      </c>
      <c r="N340" s="458">
        <f t="shared" ref="N340:N344" si="874">F340+60</f>
        <v>688.71999999999991</v>
      </c>
      <c r="O340" s="288">
        <f>+N340*$X$1</f>
        <v>688.71999999999991</v>
      </c>
      <c r="P340" s="458">
        <f>F340+50</f>
        <v>678.71999999999991</v>
      </c>
      <c r="Q340" s="288">
        <f>+P340*$X$1</f>
        <v>678.71999999999991</v>
      </c>
      <c r="R340" s="458">
        <f>F340+42</f>
        <v>670.71999999999991</v>
      </c>
      <c r="S340" s="288">
        <f>+R340*$X$1</f>
        <v>670.71999999999991</v>
      </c>
      <c r="T340" s="102">
        <f>F340+34</f>
        <v>662.71999999999991</v>
      </c>
      <c r="U340" s="305">
        <f>+T340*$X$1</f>
        <v>662.71999999999991</v>
      </c>
      <c r="V340" s="102">
        <f>F340+29</f>
        <v>657.71999999999991</v>
      </c>
      <c r="W340" s="305">
        <f>+V340*$X$1</f>
        <v>657.71999999999991</v>
      </c>
      <c r="X340" s="131"/>
      <c r="Y340" s="138"/>
      <c r="Z340" s="138"/>
      <c r="AA340" s="138"/>
      <c r="AB340" s="403">
        <v>2180</v>
      </c>
      <c r="AC340" s="22"/>
      <c r="AD340" s="22"/>
    </row>
    <row r="341" spans="1:34" ht="12" customHeight="1" x14ac:dyDescent="0.2">
      <c r="A341" s="184"/>
      <c r="B341" s="732" t="s">
        <v>223</v>
      </c>
      <c r="C341" s="958"/>
      <c r="D341" s="958"/>
      <c r="E341" s="959"/>
      <c r="F341" s="379">
        <f>0.8*X2</f>
        <v>867.2</v>
      </c>
      <c r="G341" s="255">
        <f>+F341*$X$1</f>
        <v>867.2</v>
      </c>
      <c r="H341" s="582"/>
      <c r="I341" s="582"/>
      <c r="J341" s="121"/>
      <c r="K341" s="287"/>
      <c r="L341" s="582">
        <f t="shared" si="873"/>
        <v>987.2</v>
      </c>
      <c r="M341" s="287">
        <f t="shared" ref="M341" si="875">+L341*$X$1</f>
        <v>987.2</v>
      </c>
      <c r="N341" s="582">
        <f t="shared" si="874"/>
        <v>927.2</v>
      </c>
      <c r="O341" s="287">
        <f t="shared" ref="O341" si="876">+N341*$X$1</f>
        <v>927.2</v>
      </c>
      <c r="P341" s="582"/>
      <c r="Q341" s="287"/>
      <c r="R341" s="582"/>
      <c r="S341" s="287"/>
      <c r="T341" s="103"/>
      <c r="U341" s="255"/>
      <c r="V341" s="103"/>
      <c r="W341" s="255"/>
      <c r="X341" s="131"/>
      <c r="Y341" s="131"/>
      <c r="Z341" s="131"/>
      <c r="AA341" s="131"/>
      <c r="AB341" s="403">
        <v>2184</v>
      </c>
    </row>
    <row r="342" spans="1:34" ht="12" customHeight="1" x14ac:dyDescent="0.2">
      <c r="A342" s="184"/>
      <c r="B342" s="699" t="s">
        <v>224</v>
      </c>
      <c r="C342" s="740"/>
      <c r="D342" s="740"/>
      <c r="E342" s="741"/>
      <c r="F342" s="380">
        <f>0.71*X2</f>
        <v>769.64</v>
      </c>
      <c r="G342" s="305">
        <f>+F342*$X$1</f>
        <v>769.64</v>
      </c>
      <c r="H342" s="458"/>
      <c r="I342" s="458"/>
      <c r="J342" s="120"/>
      <c r="K342" s="288"/>
      <c r="L342" s="458">
        <f t="shared" si="873"/>
        <v>889.64</v>
      </c>
      <c r="M342" s="288">
        <f>+L342*$X$1</f>
        <v>889.64</v>
      </c>
      <c r="N342" s="458">
        <f t="shared" si="874"/>
        <v>829.64</v>
      </c>
      <c r="O342" s="288">
        <f>+N342*$X$1</f>
        <v>829.64</v>
      </c>
      <c r="P342" s="458">
        <f>F342+50</f>
        <v>819.64</v>
      </c>
      <c r="Q342" s="288">
        <f>+P342*$X$1</f>
        <v>819.64</v>
      </c>
      <c r="R342" s="458">
        <f t="shared" ref="R342:R347" si="877">F342+42</f>
        <v>811.64</v>
      </c>
      <c r="S342" s="288">
        <f t="shared" ref="S342:S347" si="878">+R342*$X$1</f>
        <v>811.64</v>
      </c>
      <c r="T342" s="102">
        <f t="shared" ref="T342:T347" si="879">F342+34</f>
        <v>803.64</v>
      </c>
      <c r="U342" s="305">
        <f t="shared" ref="U342:U347" si="880">+T342*$X$1</f>
        <v>803.64</v>
      </c>
      <c r="V342" s="102">
        <f t="shared" ref="V342:V347" si="881">F342+29</f>
        <v>798.64</v>
      </c>
      <c r="W342" s="305">
        <f t="shared" ref="W342:W347" si="882">+V342*$X$1</f>
        <v>798.64</v>
      </c>
      <c r="X342" s="131"/>
      <c r="Y342" s="131"/>
      <c r="Z342" s="131"/>
      <c r="AA342" s="131"/>
      <c r="AB342" s="403" t="s">
        <v>225</v>
      </c>
    </row>
    <row r="343" spans="1:34" ht="12" customHeight="1" x14ac:dyDescent="0.2">
      <c r="A343" s="97"/>
      <c r="B343" s="732" t="s">
        <v>226</v>
      </c>
      <c r="C343" s="733"/>
      <c r="D343" s="733"/>
      <c r="E343" s="734"/>
      <c r="F343" s="379">
        <f>0.372*X2</f>
        <v>403.24799999999999</v>
      </c>
      <c r="G343" s="255">
        <f>+F343*$X$1</f>
        <v>403.24799999999999</v>
      </c>
      <c r="H343" s="573"/>
      <c r="I343" s="573"/>
      <c r="J343" s="121"/>
      <c r="K343" s="287"/>
      <c r="L343" s="573">
        <f t="shared" si="873"/>
        <v>523.24800000000005</v>
      </c>
      <c r="M343" s="287">
        <f>+L343*$X$1</f>
        <v>523.24800000000005</v>
      </c>
      <c r="N343" s="573">
        <f t="shared" si="874"/>
        <v>463.24799999999999</v>
      </c>
      <c r="O343" s="287">
        <f>+N343*$X$1</f>
        <v>463.24799999999999</v>
      </c>
      <c r="P343" s="573">
        <f>F343+50</f>
        <v>453.24799999999999</v>
      </c>
      <c r="Q343" s="287">
        <f>+P343*$X$1</f>
        <v>453.24799999999999</v>
      </c>
      <c r="R343" s="573">
        <f t="shared" si="877"/>
        <v>445.24799999999999</v>
      </c>
      <c r="S343" s="287">
        <f t="shared" si="878"/>
        <v>445.24799999999999</v>
      </c>
      <c r="T343" s="103">
        <f t="shared" si="879"/>
        <v>437.24799999999999</v>
      </c>
      <c r="U343" s="255">
        <f t="shared" si="880"/>
        <v>437.24799999999999</v>
      </c>
      <c r="V343" s="103">
        <f t="shared" si="881"/>
        <v>432.24799999999999</v>
      </c>
      <c r="W343" s="255">
        <f t="shared" si="882"/>
        <v>432.24799999999999</v>
      </c>
      <c r="X343" s="131"/>
      <c r="Y343" s="131"/>
      <c r="Z343" s="131"/>
      <c r="AA343" s="131"/>
      <c r="AB343" s="403">
        <v>2189</v>
      </c>
    </row>
    <row r="344" spans="1:34" ht="12.6" customHeight="1" x14ac:dyDescent="0.2">
      <c r="A344" s="97"/>
      <c r="B344" s="699" t="s">
        <v>227</v>
      </c>
      <c r="C344" s="740"/>
      <c r="D344" s="740"/>
      <c r="E344" s="741"/>
      <c r="F344" s="380">
        <f>0.6*X2</f>
        <v>650.4</v>
      </c>
      <c r="G344" s="305">
        <f t="shared" ref="G344" si="883">+F344*$X$1</f>
        <v>650.4</v>
      </c>
      <c r="H344" s="458"/>
      <c r="I344" s="458"/>
      <c r="J344" s="120"/>
      <c r="K344" s="288"/>
      <c r="L344" s="458">
        <f t="shared" si="873"/>
        <v>770.4</v>
      </c>
      <c r="M344" s="288">
        <f>+L344*$X$1</f>
        <v>770.4</v>
      </c>
      <c r="N344" s="458">
        <f t="shared" si="874"/>
        <v>710.4</v>
      </c>
      <c r="O344" s="288">
        <f>+N344*$X$1</f>
        <v>710.4</v>
      </c>
      <c r="P344" s="458">
        <f>F344+50</f>
        <v>700.4</v>
      </c>
      <c r="Q344" s="288">
        <f>+P344*$X$1</f>
        <v>700.4</v>
      </c>
      <c r="R344" s="458">
        <f t="shared" si="877"/>
        <v>692.4</v>
      </c>
      <c r="S344" s="288">
        <f t="shared" si="878"/>
        <v>692.4</v>
      </c>
      <c r="T344" s="102">
        <f t="shared" si="879"/>
        <v>684.4</v>
      </c>
      <c r="U344" s="305">
        <f t="shared" si="880"/>
        <v>684.4</v>
      </c>
      <c r="V344" s="102">
        <f t="shared" si="881"/>
        <v>679.4</v>
      </c>
      <c r="W344" s="305">
        <f t="shared" si="882"/>
        <v>679.4</v>
      </c>
      <c r="X344" s="131"/>
      <c r="Y344" s="131"/>
      <c r="Z344" s="131"/>
      <c r="AA344" s="131"/>
      <c r="AB344" s="403">
        <v>2190</v>
      </c>
    </row>
    <row r="345" spans="1:34" ht="12.6" customHeight="1" x14ac:dyDescent="0.2">
      <c r="A345" s="18"/>
      <c r="B345" s="1235" t="s">
        <v>228</v>
      </c>
      <c r="C345" s="733"/>
      <c r="D345" s="733"/>
      <c r="E345" s="734"/>
      <c r="F345" s="379">
        <f>0.521*X2</f>
        <v>564.76400000000001</v>
      </c>
      <c r="G345" s="255">
        <f>+F345*$X$1</f>
        <v>564.76400000000001</v>
      </c>
      <c r="H345" s="512"/>
      <c r="I345" s="512"/>
      <c r="J345" s="121"/>
      <c r="K345" s="287"/>
      <c r="L345" s="540">
        <f t="shared" ref="L345:L363" si="884">F345+120</f>
        <v>684.76400000000001</v>
      </c>
      <c r="M345" s="287">
        <f t="shared" ref="M345:M358" si="885">+L345*$X$1</f>
        <v>684.76400000000001</v>
      </c>
      <c r="N345" s="540">
        <f t="shared" ref="N345:N358" si="886">F345+60</f>
        <v>624.76400000000001</v>
      </c>
      <c r="O345" s="287">
        <f t="shared" ref="O345:O358" si="887">+N345*$X$1</f>
        <v>624.76400000000001</v>
      </c>
      <c r="P345" s="540">
        <f t="shared" ref="P345:P358" si="888">F345+50</f>
        <v>614.76400000000001</v>
      </c>
      <c r="Q345" s="287">
        <f t="shared" ref="Q345:Q358" si="889">+P345*$X$1</f>
        <v>614.76400000000001</v>
      </c>
      <c r="R345" s="540">
        <f t="shared" si="877"/>
        <v>606.76400000000001</v>
      </c>
      <c r="S345" s="287">
        <f t="shared" si="878"/>
        <v>606.76400000000001</v>
      </c>
      <c r="T345" s="103">
        <f t="shared" si="879"/>
        <v>598.76400000000001</v>
      </c>
      <c r="U345" s="255">
        <f t="shared" si="880"/>
        <v>598.76400000000001</v>
      </c>
      <c r="V345" s="103">
        <f t="shared" si="881"/>
        <v>593.76400000000001</v>
      </c>
      <c r="W345" s="255">
        <f t="shared" si="882"/>
        <v>593.76400000000001</v>
      </c>
      <c r="X345" s="181"/>
      <c r="Y345" s="182"/>
      <c r="Z345" s="182"/>
      <c r="AA345" s="181"/>
      <c r="AB345" s="403">
        <v>2193</v>
      </c>
    </row>
    <row r="346" spans="1:34" ht="12.6" customHeight="1" x14ac:dyDescent="0.2">
      <c r="A346" s="18"/>
      <c r="B346" s="692" t="s">
        <v>229</v>
      </c>
      <c r="C346" s="693"/>
      <c r="D346" s="693"/>
      <c r="E346" s="693"/>
      <c r="F346" s="380">
        <f>0.57*X2</f>
        <v>617.88</v>
      </c>
      <c r="G346" s="305">
        <f>+F346*$X$1</f>
        <v>617.88</v>
      </c>
      <c r="H346" s="458"/>
      <c r="I346" s="458"/>
      <c r="J346" s="120"/>
      <c r="K346" s="288"/>
      <c r="L346" s="458">
        <f t="shared" si="884"/>
        <v>737.88</v>
      </c>
      <c r="M346" s="288">
        <f t="shared" si="885"/>
        <v>737.88</v>
      </c>
      <c r="N346" s="458">
        <f t="shared" si="886"/>
        <v>677.88</v>
      </c>
      <c r="O346" s="288">
        <f t="shared" si="887"/>
        <v>677.88</v>
      </c>
      <c r="P346" s="458">
        <f t="shared" si="888"/>
        <v>667.88</v>
      </c>
      <c r="Q346" s="288">
        <f t="shared" si="889"/>
        <v>667.88</v>
      </c>
      <c r="R346" s="458">
        <f t="shared" si="877"/>
        <v>659.88</v>
      </c>
      <c r="S346" s="288">
        <f t="shared" si="878"/>
        <v>659.88</v>
      </c>
      <c r="T346" s="102">
        <f t="shared" si="879"/>
        <v>651.88</v>
      </c>
      <c r="U346" s="305">
        <f t="shared" si="880"/>
        <v>651.88</v>
      </c>
      <c r="V346" s="102">
        <f t="shared" si="881"/>
        <v>646.88</v>
      </c>
      <c r="W346" s="305">
        <f t="shared" si="882"/>
        <v>646.88</v>
      </c>
      <c r="X346" s="131"/>
      <c r="Y346" s="131"/>
      <c r="Z346" s="131"/>
      <c r="AA346" s="131"/>
      <c r="AB346" s="403">
        <v>2194</v>
      </c>
    </row>
    <row r="347" spans="1:34" ht="12.6" customHeight="1" x14ac:dyDescent="0.2">
      <c r="A347" s="18"/>
      <c r="B347" s="1228" t="s">
        <v>230</v>
      </c>
      <c r="C347" s="1229"/>
      <c r="D347" s="1229"/>
      <c r="E347" s="1230"/>
      <c r="F347" s="379">
        <f>0.67*X2</f>
        <v>726.28000000000009</v>
      </c>
      <c r="G347" s="255">
        <f>+F347*$X$1</f>
        <v>726.28000000000009</v>
      </c>
      <c r="H347" s="512"/>
      <c r="I347" s="540"/>
      <c r="J347" s="121"/>
      <c r="K347" s="287"/>
      <c r="L347" s="540">
        <f t="shared" si="884"/>
        <v>846.28000000000009</v>
      </c>
      <c r="M347" s="287">
        <f t="shared" si="885"/>
        <v>846.28000000000009</v>
      </c>
      <c r="N347" s="540">
        <f t="shared" si="886"/>
        <v>786.28000000000009</v>
      </c>
      <c r="O347" s="287">
        <f t="shared" si="887"/>
        <v>786.28000000000009</v>
      </c>
      <c r="P347" s="540">
        <f t="shared" si="888"/>
        <v>776.28000000000009</v>
      </c>
      <c r="Q347" s="287">
        <f t="shared" si="889"/>
        <v>776.28000000000009</v>
      </c>
      <c r="R347" s="540">
        <f t="shared" si="877"/>
        <v>768.28000000000009</v>
      </c>
      <c r="S347" s="287">
        <f t="shared" si="878"/>
        <v>768.28000000000009</v>
      </c>
      <c r="T347" s="103">
        <f t="shared" si="879"/>
        <v>760.28000000000009</v>
      </c>
      <c r="U347" s="255">
        <f t="shared" si="880"/>
        <v>760.28000000000009</v>
      </c>
      <c r="V347" s="103">
        <f t="shared" si="881"/>
        <v>755.28000000000009</v>
      </c>
      <c r="W347" s="255">
        <f t="shared" si="882"/>
        <v>755.28000000000009</v>
      </c>
      <c r="X347" s="131"/>
      <c r="Y347" s="131"/>
      <c r="Z347" s="131"/>
      <c r="AA347" s="131"/>
      <c r="AB347" s="403">
        <v>2195</v>
      </c>
    </row>
    <row r="348" spans="1:34" ht="12.6" customHeight="1" x14ac:dyDescent="0.2">
      <c r="A348" s="18"/>
      <c r="B348" s="692" t="s">
        <v>231</v>
      </c>
      <c r="C348" s="693"/>
      <c r="D348" s="693"/>
      <c r="E348" s="693"/>
      <c r="F348" s="380">
        <f>0.652*X2</f>
        <v>706.76800000000003</v>
      </c>
      <c r="G348" s="305">
        <f>+F348*$X$1</f>
        <v>706.76800000000003</v>
      </c>
      <c r="H348" s="458"/>
      <c r="I348" s="458"/>
      <c r="J348" s="458"/>
      <c r="K348" s="288"/>
      <c r="L348" s="458">
        <f t="shared" si="884"/>
        <v>826.76800000000003</v>
      </c>
      <c r="M348" s="288">
        <f t="shared" si="885"/>
        <v>826.76800000000003</v>
      </c>
      <c r="N348" s="458">
        <f t="shared" si="886"/>
        <v>766.76800000000003</v>
      </c>
      <c r="O348" s="288">
        <f t="shared" si="887"/>
        <v>766.76800000000003</v>
      </c>
      <c r="P348" s="458">
        <f t="shared" si="888"/>
        <v>756.76800000000003</v>
      </c>
      <c r="Q348" s="288">
        <f t="shared" si="889"/>
        <v>756.76800000000003</v>
      </c>
      <c r="R348" s="458"/>
      <c r="S348" s="288"/>
      <c r="T348" s="102"/>
      <c r="U348" s="305"/>
      <c r="V348" s="102"/>
      <c r="W348" s="305"/>
      <c r="X348" s="131"/>
      <c r="Y348" s="131"/>
      <c r="Z348" s="131"/>
      <c r="AA348" s="131"/>
      <c r="AB348" s="403">
        <v>2198</v>
      </c>
    </row>
    <row r="349" spans="1:34" ht="12.6" customHeight="1" x14ac:dyDescent="0.2">
      <c r="A349" s="104"/>
      <c r="B349" s="677" t="s">
        <v>328</v>
      </c>
      <c r="C349" s="702"/>
      <c r="D349" s="702"/>
      <c r="E349" s="702"/>
      <c r="F349" s="379">
        <f>0.53*X2</f>
        <v>574.52</v>
      </c>
      <c r="G349" s="255">
        <f>+F349*$X$1</f>
        <v>574.52</v>
      </c>
      <c r="H349" s="512"/>
      <c r="I349" s="540"/>
      <c r="J349" s="540"/>
      <c r="K349" s="287"/>
      <c r="L349" s="540">
        <f t="shared" si="884"/>
        <v>694.52</v>
      </c>
      <c r="M349" s="287">
        <f t="shared" si="885"/>
        <v>694.52</v>
      </c>
      <c r="N349" s="540">
        <f t="shared" si="886"/>
        <v>634.52</v>
      </c>
      <c r="O349" s="287">
        <f t="shared" si="887"/>
        <v>634.52</v>
      </c>
      <c r="P349" s="540">
        <f t="shared" si="888"/>
        <v>624.52</v>
      </c>
      <c r="Q349" s="287">
        <f t="shared" si="889"/>
        <v>624.52</v>
      </c>
      <c r="R349" s="540">
        <f t="shared" ref="R349:R358" si="890">F349+42</f>
        <v>616.52</v>
      </c>
      <c r="S349" s="287">
        <f t="shared" ref="S349:S358" si="891">+R349*$X$1</f>
        <v>616.52</v>
      </c>
      <c r="T349" s="103">
        <f t="shared" ref="T349:T358" si="892">F349+34</f>
        <v>608.52</v>
      </c>
      <c r="U349" s="255">
        <f t="shared" ref="U349:U358" si="893">+T349*$X$1</f>
        <v>608.52</v>
      </c>
      <c r="V349" s="103">
        <f t="shared" ref="V349:V358" si="894">F349+29</f>
        <v>603.52</v>
      </c>
      <c r="W349" s="255">
        <f t="shared" ref="W349:W358" si="895">+V349*$X$1</f>
        <v>603.52</v>
      </c>
      <c r="X349" s="152"/>
      <c r="Y349" s="131"/>
      <c r="Z349" s="131"/>
      <c r="AA349" s="131"/>
      <c r="AB349" s="403">
        <v>2202</v>
      </c>
    </row>
    <row r="350" spans="1:34" ht="12.6" customHeight="1" x14ac:dyDescent="0.2">
      <c r="A350" s="104"/>
      <c r="B350" s="692" t="s">
        <v>329</v>
      </c>
      <c r="C350" s="747"/>
      <c r="D350" s="747"/>
      <c r="E350" s="747"/>
      <c r="F350" s="380">
        <f>0.53*X2</f>
        <v>574.52</v>
      </c>
      <c r="G350" s="305">
        <f t="shared" ref="G350:G354" si="896">+F350*$X$1</f>
        <v>574.52</v>
      </c>
      <c r="H350" s="458"/>
      <c r="I350" s="458"/>
      <c r="J350" s="458"/>
      <c r="K350" s="288"/>
      <c r="L350" s="458">
        <f t="shared" si="884"/>
        <v>694.52</v>
      </c>
      <c r="M350" s="288">
        <f t="shared" si="885"/>
        <v>694.52</v>
      </c>
      <c r="N350" s="458">
        <f t="shared" si="886"/>
        <v>634.52</v>
      </c>
      <c r="O350" s="288">
        <f t="shared" si="887"/>
        <v>634.52</v>
      </c>
      <c r="P350" s="458">
        <f t="shared" si="888"/>
        <v>624.52</v>
      </c>
      <c r="Q350" s="288">
        <f t="shared" si="889"/>
        <v>624.52</v>
      </c>
      <c r="R350" s="458">
        <f t="shared" si="890"/>
        <v>616.52</v>
      </c>
      <c r="S350" s="288">
        <f t="shared" si="891"/>
        <v>616.52</v>
      </c>
      <c r="T350" s="102">
        <f t="shared" si="892"/>
        <v>608.52</v>
      </c>
      <c r="U350" s="305">
        <f t="shared" si="893"/>
        <v>608.52</v>
      </c>
      <c r="V350" s="102">
        <f t="shared" si="894"/>
        <v>603.52</v>
      </c>
      <c r="W350" s="305">
        <f t="shared" si="895"/>
        <v>603.52</v>
      </c>
      <c r="X350" s="131"/>
      <c r="Y350" s="131"/>
      <c r="Z350" s="131"/>
      <c r="AA350" s="131"/>
      <c r="AB350" s="403" t="s">
        <v>232</v>
      </c>
    </row>
    <row r="351" spans="1:34" ht="12.6" customHeight="1" x14ac:dyDescent="0.2">
      <c r="A351" s="104"/>
      <c r="B351" s="677" t="s">
        <v>330</v>
      </c>
      <c r="C351" s="702"/>
      <c r="D351" s="702"/>
      <c r="E351" s="702"/>
      <c r="F351" s="379">
        <f>0.52*X2</f>
        <v>563.68000000000006</v>
      </c>
      <c r="G351" s="255">
        <f t="shared" ref="G351:G355" si="897">+F351*$X$1</f>
        <v>563.68000000000006</v>
      </c>
      <c r="H351" s="517"/>
      <c r="I351" s="540"/>
      <c r="J351" s="540"/>
      <c r="K351" s="306"/>
      <c r="L351" s="540">
        <f t="shared" si="884"/>
        <v>683.68000000000006</v>
      </c>
      <c r="M351" s="287">
        <f t="shared" si="885"/>
        <v>683.68000000000006</v>
      </c>
      <c r="N351" s="540">
        <f t="shared" si="886"/>
        <v>623.68000000000006</v>
      </c>
      <c r="O351" s="287">
        <f t="shared" si="887"/>
        <v>623.68000000000006</v>
      </c>
      <c r="P351" s="540">
        <f t="shared" si="888"/>
        <v>613.68000000000006</v>
      </c>
      <c r="Q351" s="287">
        <f t="shared" si="889"/>
        <v>613.68000000000006</v>
      </c>
      <c r="R351" s="540">
        <f t="shared" si="890"/>
        <v>605.68000000000006</v>
      </c>
      <c r="S351" s="287">
        <f t="shared" si="891"/>
        <v>605.68000000000006</v>
      </c>
      <c r="T351" s="103">
        <f t="shared" si="892"/>
        <v>597.68000000000006</v>
      </c>
      <c r="U351" s="255">
        <f t="shared" si="893"/>
        <v>597.68000000000006</v>
      </c>
      <c r="V351" s="103">
        <f t="shared" si="894"/>
        <v>592.68000000000006</v>
      </c>
      <c r="W351" s="255">
        <f t="shared" si="895"/>
        <v>592.68000000000006</v>
      </c>
      <c r="X351" s="131"/>
      <c r="Y351" s="131"/>
      <c r="Z351" s="131"/>
      <c r="AA351" s="131"/>
      <c r="AB351" s="403" t="s">
        <v>233</v>
      </c>
    </row>
    <row r="352" spans="1:34" ht="12.6" customHeight="1" x14ac:dyDescent="0.2">
      <c r="A352" s="104"/>
      <c r="B352" s="692" t="s">
        <v>861</v>
      </c>
      <c r="C352" s="747"/>
      <c r="D352" s="747"/>
      <c r="E352" s="747"/>
      <c r="F352" s="380">
        <f>0.52*X2</f>
        <v>563.68000000000006</v>
      </c>
      <c r="G352" s="305">
        <f t="shared" ref="G352" si="898">+F352*$X$1</f>
        <v>563.68000000000006</v>
      </c>
      <c r="H352" s="458"/>
      <c r="I352" s="458"/>
      <c r="J352" s="458"/>
      <c r="K352" s="319"/>
      <c r="L352" s="458">
        <f t="shared" si="884"/>
        <v>683.68000000000006</v>
      </c>
      <c r="M352" s="288">
        <f t="shared" si="885"/>
        <v>683.68000000000006</v>
      </c>
      <c r="N352" s="458">
        <f t="shared" si="886"/>
        <v>623.68000000000006</v>
      </c>
      <c r="O352" s="288">
        <f t="shared" si="887"/>
        <v>623.68000000000006</v>
      </c>
      <c r="P352" s="458">
        <f t="shared" si="888"/>
        <v>613.68000000000006</v>
      </c>
      <c r="Q352" s="288">
        <f t="shared" si="889"/>
        <v>613.68000000000006</v>
      </c>
      <c r="R352" s="458">
        <f t="shared" si="890"/>
        <v>605.68000000000006</v>
      </c>
      <c r="S352" s="288">
        <f t="shared" si="891"/>
        <v>605.68000000000006</v>
      </c>
      <c r="T352" s="102">
        <f t="shared" si="892"/>
        <v>597.68000000000006</v>
      </c>
      <c r="U352" s="305">
        <f t="shared" si="893"/>
        <v>597.68000000000006</v>
      </c>
      <c r="V352" s="102">
        <f t="shared" si="894"/>
        <v>592.68000000000006</v>
      </c>
      <c r="W352" s="305">
        <f t="shared" si="895"/>
        <v>592.68000000000006</v>
      </c>
      <c r="X352" s="131"/>
      <c r="Y352" s="131"/>
      <c r="Z352" s="131"/>
      <c r="AA352" s="131"/>
      <c r="AB352" s="518" t="s">
        <v>860</v>
      </c>
    </row>
    <row r="353" spans="1:31" ht="12.6" customHeight="1" x14ac:dyDescent="0.2">
      <c r="A353" s="104"/>
      <c r="B353" s="729" t="s">
        <v>637</v>
      </c>
      <c r="C353" s="1217"/>
      <c r="D353" s="1217"/>
      <c r="E353" s="1218"/>
      <c r="F353" s="379">
        <f>0.68*X2</f>
        <v>737.12</v>
      </c>
      <c r="G353" s="255">
        <f t="shared" si="897"/>
        <v>737.12</v>
      </c>
      <c r="H353" s="495"/>
      <c r="I353" s="540"/>
      <c r="J353" s="540"/>
      <c r="K353" s="287"/>
      <c r="L353" s="540">
        <f t="shared" si="884"/>
        <v>857.12</v>
      </c>
      <c r="M353" s="287">
        <f t="shared" si="885"/>
        <v>857.12</v>
      </c>
      <c r="N353" s="540">
        <f t="shared" si="886"/>
        <v>797.12</v>
      </c>
      <c r="O353" s="287">
        <f t="shared" si="887"/>
        <v>797.12</v>
      </c>
      <c r="P353" s="540">
        <f t="shared" si="888"/>
        <v>787.12</v>
      </c>
      <c r="Q353" s="287">
        <f t="shared" si="889"/>
        <v>787.12</v>
      </c>
      <c r="R353" s="540">
        <f t="shared" si="890"/>
        <v>779.12</v>
      </c>
      <c r="S353" s="287">
        <f t="shared" si="891"/>
        <v>779.12</v>
      </c>
      <c r="T353" s="103">
        <f t="shared" si="892"/>
        <v>771.12</v>
      </c>
      <c r="U353" s="255">
        <f t="shared" si="893"/>
        <v>771.12</v>
      </c>
      <c r="V353" s="103">
        <f t="shared" si="894"/>
        <v>766.12</v>
      </c>
      <c r="W353" s="255">
        <f t="shared" si="895"/>
        <v>766.12</v>
      </c>
      <c r="X353" s="688"/>
      <c r="Y353" s="688"/>
      <c r="Z353" s="688"/>
      <c r="AA353" s="689"/>
      <c r="AB353" s="403" t="s">
        <v>641</v>
      </c>
      <c r="AC353" s="65"/>
      <c r="AE353" s="87"/>
    </row>
    <row r="354" spans="1:31" ht="12.6" customHeight="1" x14ac:dyDescent="0.2">
      <c r="A354" s="104"/>
      <c r="B354" s="1018" t="s">
        <v>234</v>
      </c>
      <c r="C354" s="1223"/>
      <c r="D354" s="1223"/>
      <c r="E354" s="1224"/>
      <c r="F354" s="380">
        <f>0.75*X2</f>
        <v>813</v>
      </c>
      <c r="G354" s="305">
        <f t="shared" si="896"/>
        <v>813</v>
      </c>
      <c r="H354" s="458"/>
      <c r="I354" s="458"/>
      <c r="J354" s="458"/>
      <c r="K354" s="288"/>
      <c r="L354" s="458">
        <f t="shared" si="884"/>
        <v>933</v>
      </c>
      <c r="M354" s="288">
        <f t="shared" si="885"/>
        <v>933</v>
      </c>
      <c r="N354" s="458">
        <f t="shared" si="886"/>
        <v>873</v>
      </c>
      <c r="O354" s="288">
        <f t="shared" si="887"/>
        <v>873</v>
      </c>
      <c r="P354" s="458">
        <f t="shared" si="888"/>
        <v>863</v>
      </c>
      <c r="Q354" s="288">
        <f t="shared" si="889"/>
        <v>863</v>
      </c>
      <c r="R354" s="458">
        <f t="shared" si="890"/>
        <v>855</v>
      </c>
      <c r="S354" s="288">
        <f t="shared" si="891"/>
        <v>855</v>
      </c>
      <c r="T354" s="102">
        <f t="shared" si="892"/>
        <v>847</v>
      </c>
      <c r="U354" s="305">
        <f t="shared" si="893"/>
        <v>847</v>
      </c>
      <c r="V354" s="102">
        <f t="shared" si="894"/>
        <v>842</v>
      </c>
      <c r="W354" s="305">
        <f t="shared" si="895"/>
        <v>842</v>
      </c>
      <c r="X354" s="688"/>
      <c r="Y354" s="688"/>
      <c r="Z354" s="688"/>
      <c r="AA354" s="689"/>
      <c r="AB354" s="403" t="s">
        <v>235</v>
      </c>
      <c r="AC354" s="65"/>
      <c r="AE354" s="87"/>
    </row>
    <row r="355" spans="1:31" ht="12.6" customHeight="1" x14ac:dyDescent="0.2">
      <c r="A355" s="97"/>
      <c r="B355" s="729" t="s">
        <v>236</v>
      </c>
      <c r="C355" s="1054"/>
      <c r="D355" s="1054"/>
      <c r="E355" s="1055"/>
      <c r="F355" s="379">
        <f>0.745*X2</f>
        <v>807.58</v>
      </c>
      <c r="G355" s="255">
        <f t="shared" si="897"/>
        <v>807.58</v>
      </c>
      <c r="H355" s="495"/>
      <c r="I355" s="540"/>
      <c r="J355" s="540"/>
      <c r="K355" s="287"/>
      <c r="L355" s="540">
        <f t="shared" si="884"/>
        <v>927.58</v>
      </c>
      <c r="M355" s="287">
        <f t="shared" si="885"/>
        <v>927.58</v>
      </c>
      <c r="N355" s="540">
        <f t="shared" si="886"/>
        <v>867.58</v>
      </c>
      <c r="O355" s="287">
        <f t="shared" si="887"/>
        <v>867.58</v>
      </c>
      <c r="P355" s="540">
        <f t="shared" si="888"/>
        <v>857.58</v>
      </c>
      <c r="Q355" s="287">
        <f t="shared" si="889"/>
        <v>857.58</v>
      </c>
      <c r="R355" s="540">
        <f t="shared" si="890"/>
        <v>849.58</v>
      </c>
      <c r="S355" s="287">
        <f t="shared" si="891"/>
        <v>849.58</v>
      </c>
      <c r="T355" s="103">
        <f t="shared" si="892"/>
        <v>841.58</v>
      </c>
      <c r="U355" s="255">
        <f t="shared" si="893"/>
        <v>841.58</v>
      </c>
      <c r="V355" s="103">
        <f t="shared" si="894"/>
        <v>836.58</v>
      </c>
      <c r="W355" s="255">
        <f t="shared" si="895"/>
        <v>836.58</v>
      </c>
      <c r="X355" s="168"/>
      <c r="Y355" s="131"/>
      <c r="Z355" s="131"/>
      <c r="AA355" s="131"/>
      <c r="AB355" s="403">
        <v>2203</v>
      </c>
      <c r="AC355" s="227"/>
    </row>
    <row r="356" spans="1:31" ht="12.6" customHeight="1" x14ac:dyDescent="0.2">
      <c r="A356" s="97"/>
      <c r="B356" s="694" t="s">
        <v>237</v>
      </c>
      <c r="C356" s="1231"/>
      <c r="D356" s="1231"/>
      <c r="E356" s="1231"/>
      <c r="F356" s="380">
        <f>0.79*X2</f>
        <v>856.36</v>
      </c>
      <c r="G356" s="305">
        <f>+F356*$X$1</f>
        <v>856.36</v>
      </c>
      <c r="H356" s="458"/>
      <c r="I356" s="458"/>
      <c r="J356" s="458"/>
      <c r="K356" s="288"/>
      <c r="L356" s="458">
        <f t="shared" si="884"/>
        <v>976.36</v>
      </c>
      <c r="M356" s="288">
        <f t="shared" si="885"/>
        <v>976.36</v>
      </c>
      <c r="N356" s="458">
        <f t="shared" si="886"/>
        <v>916.36</v>
      </c>
      <c r="O356" s="288">
        <f t="shared" si="887"/>
        <v>916.36</v>
      </c>
      <c r="P356" s="458">
        <f t="shared" si="888"/>
        <v>906.36</v>
      </c>
      <c r="Q356" s="288">
        <f t="shared" si="889"/>
        <v>906.36</v>
      </c>
      <c r="R356" s="458">
        <f t="shared" si="890"/>
        <v>898.36</v>
      </c>
      <c r="S356" s="288">
        <f t="shared" si="891"/>
        <v>898.36</v>
      </c>
      <c r="T356" s="102">
        <f t="shared" si="892"/>
        <v>890.36</v>
      </c>
      <c r="U356" s="305">
        <f t="shared" si="893"/>
        <v>890.36</v>
      </c>
      <c r="V356" s="102">
        <f t="shared" si="894"/>
        <v>885.36</v>
      </c>
      <c r="W356" s="305">
        <f t="shared" si="895"/>
        <v>885.36</v>
      </c>
      <c r="X356" s="169"/>
      <c r="Y356" s="134"/>
      <c r="Z356" s="134"/>
      <c r="AA356" s="137"/>
      <c r="AB356" s="403">
        <v>2205</v>
      </c>
      <c r="AC356" s="65"/>
    </row>
    <row r="357" spans="1:31" ht="12.6" customHeight="1" x14ac:dyDescent="0.2">
      <c r="A357" s="97"/>
      <c r="B357" s="677" t="s">
        <v>238</v>
      </c>
      <c r="C357" s="702"/>
      <c r="D357" s="702"/>
      <c r="E357" s="702"/>
      <c r="F357" s="379">
        <f>0.49*X2</f>
        <v>531.16</v>
      </c>
      <c r="G357" s="255">
        <f>+F357*$X$1</f>
        <v>531.16</v>
      </c>
      <c r="H357" s="495"/>
      <c r="I357" s="540"/>
      <c r="J357" s="540"/>
      <c r="K357" s="287"/>
      <c r="L357" s="540">
        <f t="shared" si="884"/>
        <v>651.16</v>
      </c>
      <c r="M357" s="287">
        <f t="shared" si="885"/>
        <v>651.16</v>
      </c>
      <c r="N357" s="540">
        <f t="shared" si="886"/>
        <v>591.16</v>
      </c>
      <c r="O357" s="287">
        <f t="shared" si="887"/>
        <v>591.16</v>
      </c>
      <c r="P357" s="540">
        <f t="shared" si="888"/>
        <v>581.16</v>
      </c>
      <c r="Q357" s="287">
        <f t="shared" si="889"/>
        <v>581.16</v>
      </c>
      <c r="R357" s="540">
        <f t="shared" si="890"/>
        <v>573.16</v>
      </c>
      <c r="S357" s="287">
        <f t="shared" si="891"/>
        <v>573.16</v>
      </c>
      <c r="T357" s="103">
        <f t="shared" si="892"/>
        <v>565.16</v>
      </c>
      <c r="U357" s="255">
        <f t="shared" si="893"/>
        <v>565.16</v>
      </c>
      <c r="V357" s="103">
        <f t="shared" si="894"/>
        <v>560.16</v>
      </c>
      <c r="W357" s="255">
        <f t="shared" si="895"/>
        <v>560.16</v>
      </c>
      <c r="X357" s="134"/>
      <c r="Y357" s="134"/>
      <c r="Z357" s="134"/>
      <c r="AA357" s="137"/>
      <c r="AB357" s="403">
        <v>2207</v>
      </c>
    </row>
    <row r="358" spans="1:31" ht="12.6" customHeight="1" x14ac:dyDescent="0.2">
      <c r="A358" s="97"/>
      <c r="B358" s="692" t="s">
        <v>239</v>
      </c>
      <c r="C358" s="747"/>
      <c r="D358" s="747"/>
      <c r="E358" s="747"/>
      <c r="F358" s="380">
        <f>0.42*X2</f>
        <v>455.28</v>
      </c>
      <c r="G358" s="347">
        <f>+F358*$X$1</f>
        <v>455.28</v>
      </c>
      <c r="H358" s="95"/>
      <c r="I358" s="95"/>
      <c r="J358" s="95"/>
      <c r="K358" s="290"/>
      <c r="L358" s="458">
        <f t="shared" si="884"/>
        <v>575.28</v>
      </c>
      <c r="M358" s="288">
        <f t="shared" si="885"/>
        <v>575.28</v>
      </c>
      <c r="N358" s="458">
        <f t="shared" si="886"/>
        <v>515.28</v>
      </c>
      <c r="O358" s="288">
        <f t="shared" si="887"/>
        <v>515.28</v>
      </c>
      <c r="P358" s="458">
        <f t="shared" si="888"/>
        <v>505.28</v>
      </c>
      <c r="Q358" s="288">
        <f t="shared" si="889"/>
        <v>505.28</v>
      </c>
      <c r="R358" s="458">
        <f t="shared" si="890"/>
        <v>497.28</v>
      </c>
      <c r="S358" s="288">
        <f t="shared" si="891"/>
        <v>497.28</v>
      </c>
      <c r="T358" s="102">
        <f t="shared" si="892"/>
        <v>489.28</v>
      </c>
      <c r="U358" s="305">
        <f t="shared" si="893"/>
        <v>489.28</v>
      </c>
      <c r="V358" s="102">
        <f t="shared" si="894"/>
        <v>484.28</v>
      </c>
      <c r="W358" s="305">
        <f t="shared" si="895"/>
        <v>484.28</v>
      </c>
      <c r="X358" s="134"/>
      <c r="Y358" s="134"/>
      <c r="Z358" s="134"/>
      <c r="AA358" s="137"/>
      <c r="AB358" s="403">
        <v>2209</v>
      </c>
    </row>
    <row r="359" spans="1:31" ht="12.6" customHeight="1" x14ac:dyDescent="0.2">
      <c r="A359" s="97"/>
      <c r="B359" s="1242" t="s">
        <v>240</v>
      </c>
      <c r="C359" s="1243"/>
      <c r="D359" s="1243"/>
      <c r="E359" s="1243"/>
      <c r="F359" s="379">
        <f>4.17*X2</f>
        <v>4520.28</v>
      </c>
      <c r="G359" s="287">
        <f t="shared" ref="G359" si="899">+F359*$X$1</f>
        <v>4520.28</v>
      </c>
      <c r="H359" s="392">
        <f>F359+400</f>
        <v>4920.28</v>
      </c>
      <c r="I359" s="287">
        <f>+H359*$X$1</f>
        <v>4920.28</v>
      </c>
      <c r="J359" s="540">
        <f>F359+180</f>
        <v>4700.28</v>
      </c>
      <c r="K359" s="287">
        <f t="shared" ref="K359" si="900">+J359*$X$1</f>
        <v>4700.28</v>
      </c>
      <c r="L359" s="540">
        <f t="shared" si="884"/>
        <v>4640.28</v>
      </c>
      <c r="M359" s="287">
        <f t="shared" ref="M359" si="901">+L359*$X$1</f>
        <v>4640.28</v>
      </c>
      <c r="N359" s="540">
        <f>F359+61</f>
        <v>4581.28</v>
      </c>
      <c r="O359" s="287">
        <f t="shared" ref="O359" si="902">+N359*$X$1</f>
        <v>4581.28</v>
      </c>
      <c r="P359" s="540">
        <f>F359+54</f>
        <v>4574.28</v>
      </c>
      <c r="Q359" s="287">
        <f t="shared" ref="Q359" si="903">+P359*$X$1</f>
        <v>4574.28</v>
      </c>
      <c r="R359" s="540">
        <f>F359+47</f>
        <v>4567.28</v>
      </c>
      <c r="S359" s="287">
        <f t="shared" ref="S359" si="904">+R359*$X$1</f>
        <v>4567.28</v>
      </c>
      <c r="T359" s="540">
        <f>F359+38</f>
        <v>4558.28</v>
      </c>
      <c r="U359" s="287">
        <f t="shared" ref="U359" si="905">+T359*$X$1</f>
        <v>4558.28</v>
      </c>
      <c r="V359" s="540">
        <f>F359+33</f>
        <v>4553.28</v>
      </c>
      <c r="W359" s="287">
        <f t="shared" ref="W359" si="906">+V359*$X$1</f>
        <v>4553.28</v>
      </c>
      <c r="X359" s="687"/>
      <c r="Y359" s="688"/>
      <c r="Z359" s="688"/>
      <c r="AA359" s="689"/>
      <c r="AB359" s="403">
        <v>2216</v>
      </c>
      <c r="AC359" s="65"/>
    </row>
    <row r="360" spans="1:31" ht="12.6" customHeight="1" x14ac:dyDescent="0.2">
      <c r="A360" s="104"/>
      <c r="B360" s="961" t="s">
        <v>362</v>
      </c>
      <c r="C360" s="686"/>
      <c r="D360" s="686"/>
      <c r="E360" s="686"/>
      <c r="F360" s="549">
        <v>1350</v>
      </c>
      <c r="G360" s="544">
        <f>+F360*$X$1</f>
        <v>1350</v>
      </c>
      <c r="H360" s="546">
        <f>F360+400</f>
        <v>1750</v>
      </c>
      <c r="I360" s="544">
        <f>+H360*$X$1</f>
        <v>1750</v>
      </c>
      <c r="J360" s="546">
        <f>F360+180</f>
        <v>1530</v>
      </c>
      <c r="K360" s="544">
        <f t="shared" ref="K360" si="907">+J360*$X$1</f>
        <v>1530</v>
      </c>
      <c r="L360" s="546">
        <f t="shared" si="884"/>
        <v>1470</v>
      </c>
      <c r="M360" s="544">
        <f t="shared" ref="M360" si="908">+L360*$X$1</f>
        <v>1470</v>
      </c>
      <c r="N360" s="546">
        <f>F360+61</f>
        <v>1411</v>
      </c>
      <c r="O360" s="544">
        <f t="shared" ref="O360" si="909">+N360*$X$1</f>
        <v>1411</v>
      </c>
      <c r="P360" s="547"/>
      <c r="Q360" s="1232" t="s">
        <v>152</v>
      </c>
      <c r="R360" s="1233"/>
      <c r="S360" s="1233"/>
      <c r="T360" s="1233"/>
      <c r="U360" s="1233"/>
      <c r="V360" s="1233"/>
      <c r="W360" s="1234"/>
      <c r="X360" s="687"/>
      <c r="Y360" s="688"/>
      <c r="Z360" s="688"/>
      <c r="AA360" s="689"/>
      <c r="AB360" s="403">
        <v>2222</v>
      </c>
    </row>
    <row r="361" spans="1:31" ht="12.6" customHeight="1" x14ac:dyDescent="0.2">
      <c r="A361" s="18"/>
      <c r="B361" s="729" t="s">
        <v>691</v>
      </c>
      <c r="C361" s="730"/>
      <c r="D361" s="730"/>
      <c r="E361" s="731"/>
      <c r="F361" s="384">
        <f>0.59*X2</f>
        <v>639.55999999999995</v>
      </c>
      <c r="G361" s="287">
        <f t="shared" ref="G361" si="910">+F361*$X$1</f>
        <v>639.55999999999995</v>
      </c>
      <c r="H361" s="281"/>
      <c r="I361" s="281"/>
      <c r="J361" s="540"/>
      <c r="K361" s="540"/>
      <c r="L361" s="540">
        <f t="shared" si="884"/>
        <v>759.56</v>
      </c>
      <c r="M361" s="287">
        <f t="shared" ref="M361:M369" si="911">+L361*$X$1</f>
        <v>759.56</v>
      </c>
      <c r="N361" s="540">
        <f>F361+60</f>
        <v>699.56</v>
      </c>
      <c r="O361" s="287">
        <f t="shared" ref="O361:O389" si="912">+N361*$X$1</f>
        <v>699.56</v>
      </c>
      <c r="P361" s="540">
        <f>F361+50</f>
        <v>689.56</v>
      </c>
      <c r="Q361" s="287">
        <f t="shared" ref="Q361:Q389" si="913">+P361*$X$1</f>
        <v>689.56</v>
      </c>
      <c r="R361" s="540">
        <f>F361+42</f>
        <v>681.56</v>
      </c>
      <c r="S361" s="287">
        <f t="shared" ref="S361:S389" si="914">+R361*$X$1</f>
        <v>681.56</v>
      </c>
      <c r="T361" s="103">
        <f>F361+34</f>
        <v>673.56</v>
      </c>
      <c r="U361" s="255">
        <f t="shared" ref="U361:U370" si="915">+T361*$X$1</f>
        <v>673.56</v>
      </c>
      <c r="V361" s="103">
        <f>F361+29</f>
        <v>668.56</v>
      </c>
      <c r="W361" s="255">
        <f>+V361*$X$1</f>
        <v>668.56</v>
      </c>
      <c r="X361" s="443"/>
      <c r="Y361" s="442"/>
      <c r="Z361" s="442"/>
      <c r="AA361" s="443"/>
      <c r="AB361" s="403">
        <v>2231</v>
      </c>
      <c r="AC361" s="65"/>
    </row>
    <row r="362" spans="1:31" ht="12.6" customHeight="1" x14ac:dyDescent="0.2">
      <c r="A362" s="18"/>
      <c r="B362" s="1018" t="s">
        <v>703</v>
      </c>
      <c r="C362" s="1019"/>
      <c r="D362" s="1019"/>
      <c r="E362" s="1020"/>
      <c r="F362" s="383">
        <f>0.57*X2</f>
        <v>617.88</v>
      </c>
      <c r="G362" s="288">
        <f t="shared" ref="G362" si="916">+F362*$X$1</f>
        <v>617.88</v>
      </c>
      <c r="H362" s="280"/>
      <c r="I362" s="280"/>
      <c r="J362" s="458"/>
      <c r="K362" s="458"/>
      <c r="L362" s="458">
        <f t="shared" si="884"/>
        <v>737.88</v>
      </c>
      <c r="M362" s="288">
        <f t="shared" si="911"/>
        <v>737.88</v>
      </c>
      <c r="N362" s="458">
        <f>F362+60</f>
        <v>677.88</v>
      </c>
      <c r="O362" s="288">
        <f t="shared" si="912"/>
        <v>677.88</v>
      </c>
      <c r="P362" s="458">
        <f>F362+50</f>
        <v>667.88</v>
      </c>
      <c r="Q362" s="288">
        <f t="shared" si="913"/>
        <v>667.88</v>
      </c>
      <c r="R362" s="458">
        <f>F362+42</f>
        <v>659.88</v>
      </c>
      <c r="S362" s="288">
        <f t="shared" si="914"/>
        <v>659.88</v>
      </c>
      <c r="T362" s="102">
        <f>F362+34</f>
        <v>651.88</v>
      </c>
      <c r="U362" s="305">
        <f t="shared" si="915"/>
        <v>651.88</v>
      </c>
      <c r="V362" s="102">
        <f>F362+29</f>
        <v>646.88</v>
      </c>
      <c r="W362" s="305">
        <f>+V362*$X$1</f>
        <v>646.88</v>
      </c>
      <c r="X362" s="448"/>
      <c r="Y362" s="447"/>
      <c r="Z362" s="447"/>
      <c r="AA362" s="448"/>
      <c r="AB362" s="403">
        <v>2232</v>
      </c>
      <c r="AC362" s="65"/>
    </row>
    <row r="363" spans="1:31" ht="12.6" customHeight="1" x14ac:dyDescent="0.2">
      <c r="A363" s="18"/>
      <c r="B363" s="729" t="s">
        <v>775</v>
      </c>
      <c r="C363" s="730"/>
      <c r="D363" s="730"/>
      <c r="E363" s="731"/>
      <c r="F363" s="384">
        <f>0.98*X2</f>
        <v>1062.32</v>
      </c>
      <c r="G363" s="287">
        <f t="shared" ref="G363" si="917">+F363*$X$1</f>
        <v>1062.32</v>
      </c>
      <c r="H363" s="281"/>
      <c r="I363" s="281"/>
      <c r="J363" s="540"/>
      <c r="K363" s="540"/>
      <c r="L363" s="540">
        <f t="shared" si="884"/>
        <v>1182.32</v>
      </c>
      <c r="M363" s="287">
        <f t="shared" si="911"/>
        <v>1182.32</v>
      </c>
      <c r="N363" s="540">
        <f>F363+60</f>
        <v>1122.32</v>
      </c>
      <c r="O363" s="287">
        <f t="shared" si="912"/>
        <v>1122.32</v>
      </c>
      <c r="P363" s="540">
        <f>F363+50</f>
        <v>1112.32</v>
      </c>
      <c r="Q363" s="287">
        <f t="shared" si="913"/>
        <v>1112.32</v>
      </c>
      <c r="R363" s="540">
        <f>F363+42</f>
        <v>1104.32</v>
      </c>
      <c r="S363" s="287">
        <f t="shared" si="914"/>
        <v>1104.32</v>
      </c>
      <c r="T363" s="103">
        <f>F363+34</f>
        <v>1096.32</v>
      </c>
      <c r="U363" s="255">
        <f t="shared" si="915"/>
        <v>1096.32</v>
      </c>
      <c r="V363" s="103">
        <f>F363+29</f>
        <v>1091.32</v>
      </c>
      <c r="W363" s="255">
        <f>+V363*$X$1</f>
        <v>1091.32</v>
      </c>
      <c r="X363" s="448"/>
      <c r="Y363" s="447"/>
      <c r="Z363" s="447"/>
      <c r="AA363" s="448"/>
      <c r="AB363" s="403">
        <v>2233</v>
      </c>
      <c r="AC363" s="65"/>
    </row>
    <row r="364" spans="1:31" ht="12.6" customHeight="1" x14ac:dyDescent="0.2">
      <c r="A364" s="97"/>
      <c r="B364" s="961" t="s">
        <v>776</v>
      </c>
      <c r="C364" s="1017"/>
      <c r="D364" s="1017"/>
      <c r="E364" s="1017"/>
      <c r="F364" s="549">
        <f>0.4*X2</f>
        <v>433.6</v>
      </c>
      <c r="G364" s="544">
        <f t="shared" ref="G364:G374" si="918">+F364*$X$1</f>
        <v>433.6</v>
      </c>
      <c r="H364" s="546"/>
      <c r="I364" s="544"/>
      <c r="J364" s="546"/>
      <c r="K364" s="544"/>
      <c r="L364" s="546">
        <f>F364+190</f>
        <v>623.6</v>
      </c>
      <c r="M364" s="544">
        <f t="shared" si="911"/>
        <v>623.6</v>
      </c>
      <c r="N364" s="546">
        <f>F364+100</f>
        <v>533.6</v>
      </c>
      <c r="O364" s="544">
        <f t="shared" si="912"/>
        <v>533.6</v>
      </c>
      <c r="P364" s="546">
        <f>F364+80</f>
        <v>513.6</v>
      </c>
      <c r="Q364" s="544">
        <f t="shared" si="913"/>
        <v>513.6</v>
      </c>
      <c r="R364" s="546">
        <f>F364+68</f>
        <v>501.6</v>
      </c>
      <c r="S364" s="544">
        <f t="shared" si="914"/>
        <v>501.6</v>
      </c>
      <c r="T364" s="556">
        <f>F364+52</f>
        <v>485.6</v>
      </c>
      <c r="U364" s="555">
        <f t="shared" si="915"/>
        <v>485.6</v>
      </c>
      <c r="V364" s="556"/>
      <c r="W364" s="555"/>
      <c r="X364" s="138"/>
      <c r="Y364" s="134"/>
      <c r="Z364" s="134"/>
      <c r="AA364" s="137"/>
      <c r="AB364" s="403">
        <v>2234</v>
      </c>
    </row>
    <row r="365" spans="1:31" ht="12.6" customHeight="1" x14ac:dyDescent="0.2">
      <c r="A365" s="97"/>
      <c r="B365" s="692" t="s">
        <v>777</v>
      </c>
      <c r="C365" s="967"/>
      <c r="D365" s="967"/>
      <c r="E365" s="967"/>
      <c r="F365" s="380">
        <f>0.56*X2</f>
        <v>607.04000000000008</v>
      </c>
      <c r="G365" s="288">
        <f t="shared" si="918"/>
        <v>607.04000000000008</v>
      </c>
      <c r="H365" s="280"/>
      <c r="I365" s="343"/>
      <c r="J365" s="458"/>
      <c r="K365" s="288"/>
      <c r="L365" s="458">
        <f>F365+190</f>
        <v>797.04000000000008</v>
      </c>
      <c r="M365" s="288">
        <f t="shared" si="911"/>
        <v>797.04000000000008</v>
      </c>
      <c r="N365" s="458">
        <f>F365+100</f>
        <v>707.04000000000008</v>
      </c>
      <c r="O365" s="288">
        <f t="shared" si="912"/>
        <v>707.04000000000008</v>
      </c>
      <c r="P365" s="458">
        <f>F365+80</f>
        <v>687.04000000000008</v>
      </c>
      <c r="Q365" s="288">
        <f t="shared" si="913"/>
        <v>687.04000000000008</v>
      </c>
      <c r="R365" s="458">
        <f>F365+68</f>
        <v>675.04000000000008</v>
      </c>
      <c r="S365" s="288">
        <f t="shared" si="914"/>
        <v>675.04000000000008</v>
      </c>
      <c r="T365" s="102">
        <f>F365+52</f>
        <v>659.04000000000008</v>
      </c>
      <c r="U365" s="305">
        <f t="shared" si="915"/>
        <v>659.04000000000008</v>
      </c>
      <c r="V365" s="102">
        <f>F365+45</f>
        <v>652.04000000000008</v>
      </c>
      <c r="W365" s="305">
        <f>+V365*$X$1</f>
        <v>652.04000000000008</v>
      </c>
      <c r="X365" s="138"/>
      <c r="Y365" s="134"/>
      <c r="Z365" s="134"/>
      <c r="AA365" s="137"/>
      <c r="AB365" s="403" t="s">
        <v>241</v>
      </c>
    </row>
    <row r="366" spans="1:31" ht="12.6" customHeight="1" x14ac:dyDescent="0.2">
      <c r="A366" s="18"/>
      <c r="B366" s="729" t="s">
        <v>816</v>
      </c>
      <c r="C366" s="730"/>
      <c r="D366" s="730"/>
      <c r="E366" s="731"/>
      <c r="F366" s="384">
        <f>0.372*X2</f>
        <v>403.24799999999999</v>
      </c>
      <c r="G366" s="287">
        <f t="shared" si="918"/>
        <v>403.24799999999999</v>
      </c>
      <c r="H366" s="281"/>
      <c r="I366" s="281"/>
      <c r="J366" s="665"/>
      <c r="K366" s="665"/>
      <c r="L366" s="665">
        <f t="shared" ref="L366:L369" si="919">F366+120</f>
        <v>523.24800000000005</v>
      </c>
      <c r="M366" s="287">
        <f t="shared" si="911"/>
        <v>523.24800000000005</v>
      </c>
      <c r="N366" s="665">
        <f t="shared" ref="N366:N389" si="920">F366+60</f>
        <v>463.24799999999999</v>
      </c>
      <c r="O366" s="287">
        <f t="shared" si="912"/>
        <v>463.24799999999999</v>
      </c>
      <c r="P366" s="665">
        <f t="shared" ref="P366:P389" si="921">F366+50</f>
        <v>453.24799999999999</v>
      </c>
      <c r="Q366" s="287">
        <f t="shared" si="913"/>
        <v>453.24799999999999</v>
      </c>
      <c r="R366" s="665">
        <f t="shared" ref="R366:R389" si="922">F366+42</f>
        <v>445.24799999999999</v>
      </c>
      <c r="S366" s="287">
        <f t="shared" si="914"/>
        <v>445.24799999999999</v>
      </c>
      <c r="T366" s="103">
        <f>F366+34</f>
        <v>437.24799999999999</v>
      </c>
      <c r="U366" s="255">
        <f t="shared" si="915"/>
        <v>437.24799999999999</v>
      </c>
      <c r="V366" s="103">
        <f>F366+29</f>
        <v>432.24799999999999</v>
      </c>
      <c r="W366" s="255">
        <f>+V366*$X$1</f>
        <v>432.24799999999999</v>
      </c>
      <c r="X366" s="468"/>
      <c r="Y366" s="469"/>
      <c r="Z366" s="469"/>
      <c r="AA366" s="468"/>
      <c r="AB366" s="403">
        <v>2235</v>
      </c>
      <c r="AC366" s="65"/>
    </row>
    <row r="367" spans="1:31" ht="12.6" customHeight="1" x14ac:dyDescent="0.2">
      <c r="A367" s="18"/>
      <c r="B367" s="1018" t="s">
        <v>858</v>
      </c>
      <c r="C367" s="1019"/>
      <c r="D367" s="1019"/>
      <c r="E367" s="1020"/>
      <c r="F367" s="383">
        <f>0.71*X2</f>
        <v>769.64</v>
      </c>
      <c r="G367" s="288">
        <f t="shared" ref="G367" si="923">+F367*$X$1</f>
        <v>769.64</v>
      </c>
      <c r="H367" s="280"/>
      <c r="I367" s="280"/>
      <c r="J367" s="458"/>
      <c r="K367" s="458"/>
      <c r="L367" s="458">
        <f t="shared" si="919"/>
        <v>889.64</v>
      </c>
      <c r="M367" s="288">
        <f t="shared" si="911"/>
        <v>889.64</v>
      </c>
      <c r="N367" s="458">
        <f t="shared" si="920"/>
        <v>829.64</v>
      </c>
      <c r="O367" s="288">
        <f t="shared" si="912"/>
        <v>829.64</v>
      </c>
      <c r="P367" s="458">
        <f t="shared" si="921"/>
        <v>819.64</v>
      </c>
      <c r="Q367" s="288">
        <f t="shared" si="913"/>
        <v>819.64</v>
      </c>
      <c r="R367" s="458">
        <f t="shared" si="922"/>
        <v>811.64</v>
      </c>
      <c r="S367" s="288">
        <f t="shared" si="914"/>
        <v>811.64</v>
      </c>
      <c r="T367" s="102">
        <f>F367+34</f>
        <v>803.64</v>
      </c>
      <c r="U367" s="305">
        <f t="shared" si="915"/>
        <v>803.64</v>
      </c>
      <c r="V367" s="102">
        <f>F367+29</f>
        <v>798.64</v>
      </c>
      <c r="W367" s="305">
        <f>+V367*$X$1</f>
        <v>798.64</v>
      </c>
      <c r="X367" s="513"/>
      <c r="Y367" s="514"/>
      <c r="Z367" s="514"/>
      <c r="AA367" s="513"/>
      <c r="AB367" s="403">
        <v>2236</v>
      </c>
      <c r="AC367" s="65"/>
    </row>
    <row r="368" spans="1:31" ht="12.6" customHeight="1" x14ac:dyDescent="0.2">
      <c r="A368" s="97"/>
      <c r="B368" s="677" t="s">
        <v>242</v>
      </c>
      <c r="C368" s="678"/>
      <c r="D368" s="678"/>
      <c r="E368" s="678"/>
      <c r="F368" s="379">
        <f>0.42*X2</f>
        <v>455.28</v>
      </c>
      <c r="G368" s="287">
        <f t="shared" si="918"/>
        <v>455.28</v>
      </c>
      <c r="H368" s="281"/>
      <c r="I368" s="342"/>
      <c r="J368" s="665"/>
      <c r="K368" s="287"/>
      <c r="L368" s="665">
        <f t="shared" si="919"/>
        <v>575.28</v>
      </c>
      <c r="M368" s="287">
        <f t="shared" si="911"/>
        <v>575.28</v>
      </c>
      <c r="N368" s="665">
        <f t="shared" si="920"/>
        <v>515.28</v>
      </c>
      <c r="O368" s="287">
        <f t="shared" si="912"/>
        <v>515.28</v>
      </c>
      <c r="P368" s="665">
        <f t="shared" si="921"/>
        <v>505.28</v>
      </c>
      <c r="Q368" s="287">
        <f t="shared" si="913"/>
        <v>505.28</v>
      </c>
      <c r="R368" s="665">
        <f t="shared" si="922"/>
        <v>497.28</v>
      </c>
      <c r="S368" s="287">
        <f t="shared" si="914"/>
        <v>497.28</v>
      </c>
      <c r="T368" s="103">
        <f>F368+34</f>
        <v>489.28</v>
      </c>
      <c r="U368" s="255">
        <f t="shared" si="915"/>
        <v>489.28</v>
      </c>
      <c r="V368" s="103">
        <f>F368+29</f>
        <v>484.28</v>
      </c>
      <c r="W368" s="255">
        <f>+V368*$X$1</f>
        <v>484.28</v>
      </c>
      <c r="X368" s="138"/>
      <c r="Y368" s="134"/>
      <c r="Z368" s="134"/>
      <c r="AA368" s="137"/>
      <c r="AB368" s="403">
        <v>2238</v>
      </c>
    </row>
    <row r="369" spans="1:29" ht="12.6" customHeight="1" x14ac:dyDescent="0.2">
      <c r="A369" s="104"/>
      <c r="B369" s="699" t="s">
        <v>243</v>
      </c>
      <c r="C369" s="740"/>
      <c r="D369" s="740"/>
      <c r="E369" s="741"/>
      <c r="F369" s="380">
        <f>0.428*X2</f>
        <v>463.952</v>
      </c>
      <c r="G369" s="288">
        <f t="shared" si="918"/>
        <v>463.952</v>
      </c>
      <c r="H369" s="280"/>
      <c r="I369" s="343"/>
      <c r="J369" s="458"/>
      <c r="K369" s="288"/>
      <c r="L369" s="458">
        <f t="shared" si="919"/>
        <v>583.952</v>
      </c>
      <c r="M369" s="288">
        <f t="shared" si="911"/>
        <v>583.952</v>
      </c>
      <c r="N369" s="458">
        <f t="shared" si="920"/>
        <v>523.952</v>
      </c>
      <c r="O369" s="288">
        <f t="shared" si="912"/>
        <v>523.952</v>
      </c>
      <c r="P369" s="458">
        <f t="shared" si="921"/>
        <v>513.952</v>
      </c>
      <c r="Q369" s="288">
        <f t="shared" si="913"/>
        <v>513.952</v>
      </c>
      <c r="R369" s="458">
        <f t="shared" si="922"/>
        <v>505.952</v>
      </c>
      <c r="S369" s="288">
        <f t="shared" si="914"/>
        <v>505.952</v>
      </c>
      <c r="T369" s="102">
        <f>F369+34</f>
        <v>497.952</v>
      </c>
      <c r="U369" s="305">
        <f t="shared" si="915"/>
        <v>497.952</v>
      </c>
      <c r="V369" s="102">
        <f>F369+29</f>
        <v>492.952</v>
      </c>
      <c r="W369" s="305">
        <f>+V369*$X$1</f>
        <v>492.952</v>
      </c>
      <c r="X369" s="138"/>
      <c r="Y369" s="134"/>
      <c r="Z369" s="134"/>
      <c r="AA369" s="137"/>
      <c r="AB369" s="403">
        <v>2239</v>
      </c>
    </row>
    <row r="370" spans="1:29" ht="12.6" customHeight="1" x14ac:dyDescent="0.2">
      <c r="A370" s="18"/>
      <c r="B370" s="673" t="s">
        <v>975</v>
      </c>
      <c r="C370" s="674"/>
      <c r="D370" s="674"/>
      <c r="E370" s="674"/>
      <c r="F370" s="379">
        <f>0.431*X2</f>
        <v>467.20400000000001</v>
      </c>
      <c r="G370" s="287">
        <f t="shared" si="918"/>
        <v>467.20400000000001</v>
      </c>
      <c r="H370" s="281"/>
      <c r="I370" s="342"/>
      <c r="J370" s="665"/>
      <c r="K370" s="287"/>
      <c r="L370" s="665">
        <f t="shared" ref="L370:L371" si="924">F370+120</f>
        <v>587.20399999999995</v>
      </c>
      <c r="M370" s="287">
        <f t="shared" ref="M370:M371" si="925">+L370*$X$1</f>
        <v>587.20399999999995</v>
      </c>
      <c r="N370" s="665">
        <f t="shared" si="920"/>
        <v>527.20399999999995</v>
      </c>
      <c r="O370" s="287">
        <f t="shared" si="912"/>
        <v>527.20399999999995</v>
      </c>
      <c r="P370" s="665">
        <f t="shared" si="921"/>
        <v>517.20399999999995</v>
      </c>
      <c r="Q370" s="287">
        <f t="shared" si="913"/>
        <v>517.20399999999995</v>
      </c>
      <c r="R370" s="665">
        <f t="shared" si="922"/>
        <v>509.20400000000001</v>
      </c>
      <c r="S370" s="287">
        <f t="shared" si="914"/>
        <v>509.20400000000001</v>
      </c>
      <c r="T370" s="103">
        <f t="shared" ref="T370" si="926">F370+34</f>
        <v>501.20400000000001</v>
      </c>
      <c r="U370" s="255">
        <f t="shared" si="915"/>
        <v>501.20400000000001</v>
      </c>
      <c r="V370" s="103">
        <f t="shared" ref="V370" si="927">F370+29</f>
        <v>496.20400000000001</v>
      </c>
      <c r="W370" s="255">
        <f t="shared" ref="W370" si="928">+V370*$X$1</f>
        <v>496.20400000000001</v>
      </c>
      <c r="X370" s="138"/>
      <c r="Y370" s="134"/>
      <c r="Z370" s="134"/>
      <c r="AA370" s="137"/>
      <c r="AB370" s="403">
        <v>2240</v>
      </c>
    </row>
    <row r="371" spans="1:29" ht="12.6" customHeight="1" x14ac:dyDescent="0.2">
      <c r="A371" s="18"/>
      <c r="B371" s="673" t="s">
        <v>896</v>
      </c>
      <c r="C371" s="674"/>
      <c r="D371" s="674"/>
      <c r="E371" s="674"/>
      <c r="F371" s="380">
        <f>0.34*X2</f>
        <v>368.56</v>
      </c>
      <c r="G371" s="288">
        <f t="shared" ref="G371" si="929">+F371*$X$1</f>
        <v>368.56</v>
      </c>
      <c r="H371" s="280"/>
      <c r="I371" s="343"/>
      <c r="J371" s="458"/>
      <c r="K371" s="288"/>
      <c r="L371" s="458">
        <f t="shared" si="924"/>
        <v>488.56</v>
      </c>
      <c r="M371" s="288">
        <f t="shared" si="925"/>
        <v>488.56</v>
      </c>
      <c r="N371" s="458">
        <f t="shared" ref="N371" si="930">F371+60</f>
        <v>428.56</v>
      </c>
      <c r="O371" s="288">
        <f t="shared" ref="O371" si="931">+N371*$X$1</f>
        <v>428.56</v>
      </c>
      <c r="P371" s="458">
        <f t="shared" ref="P371" si="932">F371+50</f>
        <v>418.56</v>
      </c>
      <c r="Q371" s="288">
        <f t="shared" ref="Q371" si="933">+P371*$X$1</f>
        <v>418.56</v>
      </c>
      <c r="R371" s="458">
        <f t="shared" ref="R371" si="934">F371+42</f>
        <v>410.56</v>
      </c>
      <c r="S371" s="288">
        <f t="shared" ref="S371" si="935">+R371*$X$1</f>
        <v>410.56</v>
      </c>
      <c r="T371" s="102">
        <f t="shared" ref="T371" si="936">F371+34</f>
        <v>402.56</v>
      </c>
      <c r="U371" s="305">
        <f t="shared" ref="U371" si="937">+T371*$X$1</f>
        <v>402.56</v>
      </c>
      <c r="V371" s="102">
        <f t="shared" ref="V371" si="938">F371+29</f>
        <v>397.56</v>
      </c>
      <c r="W371" s="305">
        <f t="shared" ref="W371" si="939">+V371*$X$1</f>
        <v>397.56</v>
      </c>
      <c r="X371" s="138"/>
      <c r="Y371" s="134"/>
      <c r="Z371" s="134"/>
      <c r="AA371" s="137"/>
      <c r="AB371" s="403" t="s">
        <v>909</v>
      </c>
    </row>
    <row r="372" spans="1:29" ht="12.6" customHeight="1" x14ac:dyDescent="0.2">
      <c r="A372" s="18"/>
      <c r="B372" s="677" t="s">
        <v>822</v>
      </c>
      <c r="C372" s="678"/>
      <c r="D372" s="678"/>
      <c r="E372" s="678"/>
      <c r="F372" s="379">
        <f>0.22*X2</f>
        <v>238.48</v>
      </c>
      <c r="G372" s="287">
        <f t="shared" ref="G372:G373" si="940">+F372*$X$1</f>
        <v>238.48</v>
      </c>
      <c r="H372" s="281"/>
      <c r="I372" s="342"/>
      <c r="J372" s="540"/>
      <c r="K372" s="287"/>
      <c r="L372" s="540"/>
      <c r="M372" s="287"/>
      <c r="N372" s="540">
        <f t="shared" si="920"/>
        <v>298.48</v>
      </c>
      <c r="O372" s="287">
        <f t="shared" si="912"/>
        <v>298.48</v>
      </c>
      <c r="P372" s="540">
        <f t="shared" si="921"/>
        <v>288.48</v>
      </c>
      <c r="Q372" s="287">
        <f t="shared" si="913"/>
        <v>288.48</v>
      </c>
      <c r="R372" s="540">
        <f t="shared" si="922"/>
        <v>280.48</v>
      </c>
      <c r="S372" s="287">
        <f t="shared" si="914"/>
        <v>280.48</v>
      </c>
      <c r="T372" s="103">
        <f t="shared" ref="T372:T389" si="941">F372+34</f>
        <v>272.48</v>
      </c>
      <c r="U372" s="255">
        <f t="shared" ref="U372:U389" si="942">+T372*$X$1</f>
        <v>272.48</v>
      </c>
      <c r="V372" s="103">
        <f t="shared" ref="V372:V389" si="943">F372+29</f>
        <v>267.48</v>
      </c>
      <c r="W372" s="255">
        <f t="shared" ref="W372:W389" si="944">+V372*$X$1</f>
        <v>267.48</v>
      </c>
      <c r="X372" s="138"/>
      <c r="Y372" s="134"/>
      <c r="Z372" s="134"/>
      <c r="AA372" s="137"/>
      <c r="AB372" s="403">
        <v>2241</v>
      </c>
    </row>
    <row r="373" spans="1:29" ht="12.6" customHeight="1" x14ac:dyDescent="0.2">
      <c r="A373" s="18"/>
      <c r="B373" s="692" t="s">
        <v>823</v>
      </c>
      <c r="C373" s="693"/>
      <c r="D373" s="693"/>
      <c r="E373" s="693"/>
      <c r="F373" s="380">
        <f>0.35*X2</f>
        <v>379.4</v>
      </c>
      <c r="G373" s="288">
        <f t="shared" si="940"/>
        <v>379.4</v>
      </c>
      <c r="H373" s="280"/>
      <c r="I373" s="343"/>
      <c r="J373" s="458"/>
      <c r="K373" s="288"/>
      <c r="L373" s="458">
        <f t="shared" ref="L373:L394" si="945">F373+120</f>
        <v>499.4</v>
      </c>
      <c r="M373" s="288">
        <f t="shared" ref="M373:M390" si="946">+L373*$X$1</f>
        <v>499.4</v>
      </c>
      <c r="N373" s="458">
        <f t="shared" si="920"/>
        <v>439.4</v>
      </c>
      <c r="O373" s="288">
        <f t="shared" si="912"/>
        <v>439.4</v>
      </c>
      <c r="P373" s="458">
        <f t="shared" si="921"/>
        <v>429.4</v>
      </c>
      <c r="Q373" s="288">
        <f t="shared" si="913"/>
        <v>429.4</v>
      </c>
      <c r="R373" s="458">
        <f t="shared" si="922"/>
        <v>421.4</v>
      </c>
      <c r="S373" s="288">
        <f t="shared" si="914"/>
        <v>421.4</v>
      </c>
      <c r="T373" s="102">
        <f t="shared" si="941"/>
        <v>413.4</v>
      </c>
      <c r="U373" s="305">
        <f t="shared" si="942"/>
        <v>413.4</v>
      </c>
      <c r="V373" s="102">
        <f t="shared" si="943"/>
        <v>408.4</v>
      </c>
      <c r="W373" s="305">
        <f t="shared" si="944"/>
        <v>408.4</v>
      </c>
      <c r="X373" s="138"/>
      <c r="Y373" s="134"/>
      <c r="Z373" s="134"/>
      <c r="AA373" s="137"/>
      <c r="AB373" s="403">
        <v>2242</v>
      </c>
    </row>
    <row r="374" spans="1:29" ht="12.6" customHeight="1" x14ac:dyDescent="0.2">
      <c r="A374" s="97"/>
      <c r="B374" s="961" t="s">
        <v>244</v>
      </c>
      <c r="C374" s="686"/>
      <c r="D374" s="686"/>
      <c r="E374" s="686"/>
      <c r="F374" s="549">
        <f>0.26*X2</f>
        <v>281.84000000000003</v>
      </c>
      <c r="G374" s="544">
        <f t="shared" si="918"/>
        <v>281.84000000000003</v>
      </c>
      <c r="H374" s="545"/>
      <c r="I374" s="548"/>
      <c r="J374" s="663"/>
      <c r="K374" s="544"/>
      <c r="L374" s="663">
        <f t="shared" si="945"/>
        <v>401.84000000000003</v>
      </c>
      <c r="M374" s="544">
        <f t="shared" si="946"/>
        <v>401.84000000000003</v>
      </c>
      <c r="N374" s="663">
        <f t="shared" si="920"/>
        <v>341.84000000000003</v>
      </c>
      <c r="O374" s="544">
        <f t="shared" si="912"/>
        <v>341.84000000000003</v>
      </c>
      <c r="P374" s="663">
        <f t="shared" si="921"/>
        <v>331.84000000000003</v>
      </c>
      <c r="Q374" s="544">
        <f t="shared" si="913"/>
        <v>331.84000000000003</v>
      </c>
      <c r="R374" s="663">
        <f t="shared" si="922"/>
        <v>323.84000000000003</v>
      </c>
      <c r="S374" s="544">
        <f t="shared" si="914"/>
        <v>323.84000000000003</v>
      </c>
      <c r="T374" s="556">
        <f t="shared" si="941"/>
        <v>315.84000000000003</v>
      </c>
      <c r="U374" s="555">
        <f t="shared" si="942"/>
        <v>315.84000000000003</v>
      </c>
      <c r="V374" s="556">
        <f t="shared" si="943"/>
        <v>310.84000000000003</v>
      </c>
      <c r="W374" s="555">
        <f t="shared" si="944"/>
        <v>310.84000000000003</v>
      </c>
      <c r="X374" s="138"/>
      <c r="Y374" s="134"/>
      <c r="Z374" s="134"/>
      <c r="AA374" s="137"/>
      <c r="AB374" s="403">
        <v>2244</v>
      </c>
    </row>
    <row r="375" spans="1:29" ht="12.6" customHeight="1" x14ac:dyDescent="0.2">
      <c r="A375" s="18"/>
      <c r="B375" s="692" t="s">
        <v>826</v>
      </c>
      <c r="C375" s="693"/>
      <c r="D375" s="693"/>
      <c r="E375" s="693"/>
      <c r="F375" s="380">
        <f>0.29*X2</f>
        <v>314.35999999999996</v>
      </c>
      <c r="G375" s="288">
        <f t="shared" ref="G375:G376" si="947">+F375*$X$1</f>
        <v>314.35999999999996</v>
      </c>
      <c r="H375" s="280"/>
      <c r="I375" s="343"/>
      <c r="J375" s="458"/>
      <c r="K375" s="288"/>
      <c r="L375" s="458">
        <f t="shared" si="945"/>
        <v>434.35999999999996</v>
      </c>
      <c r="M375" s="288">
        <f t="shared" si="946"/>
        <v>434.35999999999996</v>
      </c>
      <c r="N375" s="458">
        <f t="shared" si="920"/>
        <v>374.35999999999996</v>
      </c>
      <c r="O375" s="288">
        <f t="shared" si="912"/>
        <v>374.35999999999996</v>
      </c>
      <c r="P375" s="458">
        <f t="shared" si="921"/>
        <v>364.35999999999996</v>
      </c>
      <c r="Q375" s="288">
        <f t="shared" si="913"/>
        <v>364.35999999999996</v>
      </c>
      <c r="R375" s="458">
        <f t="shared" si="922"/>
        <v>356.35999999999996</v>
      </c>
      <c r="S375" s="288">
        <f t="shared" si="914"/>
        <v>356.35999999999996</v>
      </c>
      <c r="T375" s="102">
        <f t="shared" si="941"/>
        <v>348.35999999999996</v>
      </c>
      <c r="U375" s="305">
        <f t="shared" si="942"/>
        <v>348.35999999999996</v>
      </c>
      <c r="V375" s="102">
        <f t="shared" si="943"/>
        <v>343.35999999999996</v>
      </c>
      <c r="W375" s="305">
        <f t="shared" si="944"/>
        <v>343.35999999999996</v>
      </c>
      <c r="X375" s="138"/>
      <c r="Y375" s="134"/>
      <c r="Z375" s="134"/>
      <c r="AA375" s="137"/>
      <c r="AB375" s="403">
        <v>2245</v>
      </c>
    </row>
    <row r="376" spans="1:29" ht="12.6" customHeight="1" x14ac:dyDescent="0.2">
      <c r="A376" s="18"/>
      <c r="B376" s="677" t="s">
        <v>825</v>
      </c>
      <c r="C376" s="678"/>
      <c r="D376" s="678"/>
      <c r="E376" s="678"/>
      <c r="F376" s="379">
        <f>0.3*X2</f>
        <v>325.2</v>
      </c>
      <c r="G376" s="287">
        <f t="shared" si="947"/>
        <v>325.2</v>
      </c>
      <c r="H376" s="281"/>
      <c r="I376" s="342"/>
      <c r="J376" s="540"/>
      <c r="K376" s="287"/>
      <c r="L376" s="540">
        <f t="shared" si="945"/>
        <v>445.2</v>
      </c>
      <c r="M376" s="287">
        <f t="shared" si="946"/>
        <v>445.2</v>
      </c>
      <c r="N376" s="540">
        <f t="shared" si="920"/>
        <v>385.2</v>
      </c>
      <c r="O376" s="287">
        <f t="shared" si="912"/>
        <v>385.2</v>
      </c>
      <c r="P376" s="568">
        <f t="shared" ref="P376" si="948">F376+50</f>
        <v>375.2</v>
      </c>
      <c r="Q376" s="287">
        <f t="shared" ref="Q376" si="949">+P376*$X$1</f>
        <v>375.2</v>
      </c>
      <c r="R376" s="568">
        <f t="shared" ref="R376" si="950">F376+42</f>
        <v>367.2</v>
      </c>
      <c r="S376" s="287">
        <f t="shared" ref="S376" si="951">+R376*$X$1</f>
        <v>367.2</v>
      </c>
      <c r="T376" s="103">
        <f t="shared" ref="T376" si="952">F376+34</f>
        <v>359.2</v>
      </c>
      <c r="U376" s="255">
        <f t="shared" ref="U376" si="953">+T376*$X$1</f>
        <v>359.2</v>
      </c>
      <c r="V376" s="103">
        <f t="shared" ref="V376" si="954">F376+29</f>
        <v>354.2</v>
      </c>
      <c r="W376" s="255">
        <f t="shared" ref="W376" si="955">+V376*$X$1</f>
        <v>354.2</v>
      </c>
      <c r="X376" s="138"/>
      <c r="Y376" s="134"/>
      <c r="Z376" s="134"/>
      <c r="AA376" s="137"/>
      <c r="AB376" s="403" t="s">
        <v>824</v>
      </c>
    </row>
    <row r="377" spans="1:29" ht="12.6" customHeight="1" x14ac:dyDescent="0.2">
      <c r="A377" s="97"/>
      <c r="B377" s="692" t="s">
        <v>519</v>
      </c>
      <c r="C377" s="693"/>
      <c r="D377" s="693"/>
      <c r="E377" s="693"/>
      <c r="F377" s="329">
        <v>1395</v>
      </c>
      <c r="G377" s="288">
        <f>+F377*$X$1</f>
        <v>1395</v>
      </c>
      <c r="H377" s="280"/>
      <c r="I377" s="343"/>
      <c r="J377" s="458"/>
      <c r="K377" s="288"/>
      <c r="L377" s="458">
        <f t="shared" si="945"/>
        <v>1515</v>
      </c>
      <c r="M377" s="288">
        <f t="shared" si="946"/>
        <v>1515</v>
      </c>
      <c r="N377" s="458">
        <f t="shared" si="920"/>
        <v>1455</v>
      </c>
      <c r="O377" s="288">
        <f t="shared" si="912"/>
        <v>1455</v>
      </c>
      <c r="P377" s="458">
        <f t="shared" si="921"/>
        <v>1445</v>
      </c>
      <c r="Q377" s="288">
        <f t="shared" si="913"/>
        <v>1445</v>
      </c>
      <c r="R377" s="458">
        <f t="shared" si="922"/>
        <v>1437</v>
      </c>
      <c r="S377" s="288">
        <f t="shared" si="914"/>
        <v>1437</v>
      </c>
      <c r="T377" s="102">
        <f t="shared" si="941"/>
        <v>1429</v>
      </c>
      <c r="U377" s="305">
        <f t="shared" si="942"/>
        <v>1429</v>
      </c>
      <c r="V377" s="102">
        <f t="shared" si="943"/>
        <v>1424</v>
      </c>
      <c r="W377" s="305">
        <f t="shared" si="944"/>
        <v>1424</v>
      </c>
      <c r="X377" s="138"/>
      <c r="Y377" s="134"/>
      <c r="Z377" s="134"/>
      <c r="AA377" s="137"/>
      <c r="AB377" s="403">
        <v>2246</v>
      </c>
    </row>
    <row r="378" spans="1:29" ht="12.6" customHeight="1" x14ac:dyDescent="0.2">
      <c r="A378" s="18"/>
      <c r="B378" s="677" t="s">
        <v>836</v>
      </c>
      <c r="C378" s="678"/>
      <c r="D378" s="678"/>
      <c r="E378" s="678"/>
      <c r="F378" s="489">
        <f>2.7*X2</f>
        <v>2926.8</v>
      </c>
      <c r="G378" s="287">
        <f t="shared" ref="G378" si="956">+F378*$X$1</f>
        <v>2926.8</v>
      </c>
      <c r="H378" s="281"/>
      <c r="I378" s="342"/>
      <c r="J378" s="540">
        <f>F378+180</f>
        <v>3106.8</v>
      </c>
      <c r="K378" s="287">
        <f t="shared" ref="K378" si="957">+J378*$X$1</f>
        <v>3106.8</v>
      </c>
      <c r="L378" s="540">
        <f t="shared" si="945"/>
        <v>3046.8</v>
      </c>
      <c r="M378" s="287">
        <f t="shared" si="946"/>
        <v>3046.8</v>
      </c>
      <c r="N378" s="540">
        <f t="shared" si="920"/>
        <v>2986.8</v>
      </c>
      <c r="O378" s="287">
        <f t="shared" si="912"/>
        <v>2986.8</v>
      </c>
      <c r="P378" s="540">
        <f t="shared" si="921"/>
        <v>2976.8</v>
      </c>
      <c r="Q378" s="287">
        <f t="shared" si="913"/>
        <v>2976.8</v>
      </c>
      <c r="R378" s="540">
        <f t="shared" si="922"/>
        <v>2968.8</v>
      </c>
      <c r="S378" s="287">
        <f t="shared" si="914"/>
        <v>2968.8</v>
      </c>
      <c r="T378" s="103">
        <f t="shared" si="941"/>
        <v>2960.8</v>
      </c>
      <c r="U378" s="255">
        <f t="shared" si="942"/>
        <v>2960.8</v>
      </c>
      <c r="V378" s="103">
        <f t="shared" si="943"/>
        <v>2955.8</v>
      </c>
      <c r="W378" s="255">
        <f t="shared" si="944"/>
        <v>2955.8</v>
      </c>
      <c r="X378" s="138"/>
      <c r="Y378" s="134"/>
      <c r="Z378" s="134"/>
      <c r="AA378" s="137"/>
      <c r="AB378" s="403">
        <v>2247</v>
      </c>
    </row>
    <row r="379" spans="1:29" ht="12.6" customHeight="1" x14ac:dyDescent="0.2">
      <c r="A379" s="18"/>
      <c r="B379" s="699" t="s">
        <v>473</v>
      </c>
      <c r="C379" s="978"/>
      <c r="D379" s="978"/>
      <c r="E379" s="979"/>
      <c r="F379" s="383">
        <f>0.467*X2</f>
        <v>506.22800000000001</v>
      </c>
      <c r="G379" s="288">
        <f t="shared" ref="G379:G383" si="958">+F379*$X$1</f>
        <v>506.22800000000001</v>
      </c>
      <c r="H379" s="280"/>
      <c r="I379" s="343"/>
      <c r="J379" s="458"/>
      <c r="K379" s="288"/>
      <c r="L379" s="458">
        <f t="shared" si="945"/>
        <v>626.22800000000007</v>
      </c>
      <c r="M379" s="288">
        <f t="shared" si="946"/>
        <v>626.22800000000007</v>
      </c>
      <c r="N379" s="458">
        <f t="shared" si="920"/>
        <v>566.22800000000007</v>
      </c>
      <c r="O379" s="288">
        <f t="shared" si="912"/>
        <v>566.22800000000007</v>
      </c>
      <c r="P379" s="458">
        <f t="shared" si="921"/>
        <v>556.22800000000007</v>
      </c>
      <c r="Q379" s="288">
        <f t="shared" si="913"/>
        <v>556.22800000000007</v>
      </c>
      <c r="R379" s="458">
        <f t="shared" si="922"/>
        <v>548.22800000000007</v>
      </c>
      <c r="S379" s="288">
        <f t="shared" si="914"/>
        <v>548.22800000000007</v>
      </c>
      <c r="T379" s="102">
        <f t="shared" si="941"/>
        <v>540.22800000000007</v>
      </c>
      <c r="U379" s="305">
        <f t="shared" si="942"/>
        <v>540.22800000000007</v>
      </c>
      <c r="V379" s="102">
        <f t="shared" si="943"/>
        <v>535.22800000000007</v>
      </c>
      <c r="W379" s="305">
        <f t="shared" si="944"/>
        <v>535.22800000000007</v>
      </c>
      <c r="X379" s="131"/>
      <c r="Y379" s="131"/>
      <c r="Z379" s="131"/>
      <c r="AA379" s="131"/>
      <c r="AB379" s="417">
        <v>2251</v>
      </c>
    </row>
    <row r="380" spans="1:29" ht="12.6" customHeight="1" x14ac:dyDescent="0.2">
      <c r="A380" s="18"/>
      <c r="B380" s="732" t="s">
        <v>684</v>
      </c>
      <c r="C380" s="796"/>
      <c r="D380" s="796"/>
      <c r="E380" s="797"/>
      <c r="F380" s="384">
        <f>0.467*X2</f>
        <v>506.22800000000001</v>
      </c>
      <c r="G380" s="287">
        <f t="shared" si="958"/>
        <v>506.22800000000001</v>
      </c>
      <c r="H380" s="281"/>
      <c r="I380" s="342"/>
      <c r="J380" s="540"/>
      <c r="K380" s="287"/>
      <c r="L380" s="540">
        <f t="shared" si="945"/>
        <v>626.22800000000007</v>
      </c>
      <c r="M380" s="287">
        <f t="shared" si="946"/>
        <v>626.22800000000007</v>
      </c>
      <c r="N380" s="540">
        <f t="shared" si="920"/>
        <v>566.22800000000007</v>
      </c>
      <c r="O380" s="287">
        <f t="shared" si="912"/>
        <v>566.22800000000007</v>
      </c>
      <c r="P380" s="540">
        <f t="shared" si="921"/>
        <v>556.22800000000007</v>
      </c>
      <c r="Q380" s="287">
        <f t="shared" si="913"/>
        <v>556.22800000000007</v>
      </c>
      <c r="R380" s="540">
        <f t="shared" si="922"/>
        <v>548.22800000000007</v>
      </c>
      <c r="S380" s="287">
        <f t="shared" si="914"/>
        <v>548.22800000000007</v>
      </c>
      <c r="T380" s="103">
        <f t="shared" si="941"/>
        <v>540.22800000000007</v>
      </c>
      <c r="U380" s="255">
        <f t="shared" si="942"/>
        <v>540.22800000000007</v>
      </c>
      <c r="V380" s="103">
        <f t="shared" si="943"/>
        <v>535.22800000000007</v>
      </c>
      <c r="W380" s="255">
        <f t="shared" si="944"/>
        <v>535.22800000000007</v>
      </c>
      <c r="X380" s="131"/>
      <c r="Y380" s="131"/>
      <c r="Z380" s="131"/>
      <c r="AA380" s="131"/>
      <c r="AB380" s="403">
        <v>2252</v>
      </c>
    </row>
    <row r="381" spans="1:29" ht="12.6" customHeight="1" x14ac:dyDescent="0.2">
      <c r="A381" s="104"/>
      <c r="B381" s="699" t="s">
        <v>245</v>
      </c>
      <c r="C381" s="1021"/>
      <c r="D381" s="1021"/>
      <c r="E381" s="1022"/>
      <c r="F381" s="380">
        <f>0.35*X2</f>
        <v>379.4</v>
      </c>
      <c r="G381" s="288">
        <f t="shared" si="958"/>
        <v>379.4</v>
      </c>
      <c r="H381" s="280"/>
      <c r="I381" s="343"/>
      <c r="J381" s="458"/>
      <c r="K381" s="288"/>
      <c r="L381" s="458">
        <f t="shared" si="945"/>
        <v>499.4</v>
      </c>
      <c r="M381" s="288">
        <f t="shared" si="946"/>
        <v>499.4</v>
      </c>
      <c r="N381" s="458">
        <f t="shared" si="920"/>
        <v>439.4</v>
      </c>
      <c r="O381" s="288">
        <f t="shared" si="912"/>
        <v>439.4</v>
      </c>
      <c r="P381" s="458">
        <f t="shared" si="921"/>
        <v>429.4</v>
      </c>
      <c r="Q381" s="288">
        <f t="shared" si="913"/>
        <v>429.4</v>
      </c>
      <c r="R381" s="458">
        <f t="shared" si="922"/>
        <v>421.4</v>
      </c>
      <c r="S381" s="288">
        <f t="shared" si="914"/>
        <v>421.4</v>
      </c>
      <c r="T381" s="102">
        <f t="shared" si="941"/>
        <v>413.4</v>
      </c>
      <c r="U381" s="305">
        <f t="shared" si="942"/>
        <v>413.4</v>
      </c>
      <c r="V381" s="102">
        <f t="shared" si="943"/>
        <v>408.4</v>
      </c>
      <c r="W381" s="305">
        <f t="shared" si="944"/>
        <v>408.4</v>
      </c>
      <c r="X381" s="168"/>
      <c r="Y381" s="131"/>
      <c r="Z381" s="131"/>
      <c r="AA381" s="147"/>
      <c r="AB381" s="403">
        <v>2254</v>
      </c>
      <c r="AC381" s="65"/>
    </row>
    <row r="382" spans="1:29" ht="12.6" customHeight="1" x14ac:dyDescent="0.2">
      <c r="A382" s="104"/>
      <c r="B382" s="732" t="s">
        <v>485</v>
      </c>
      <c r="C382" s="958"/>
      <c r="D382" s="958"/>
      <c r="E382" s="959"/>
      <c r="F382" s="379">
        <f>0.37*X2</f>
        <v>401.08</v>
      </c>
      <c r="G382" s="287">
        <f t="shared" si="958"/>
        <v>401.08</v>
      </c>
      <c r="H382" s="281"/>
      <c r="I382" s="342"/>
      <c r="J382" s="540"/>
      <c r="K382" s="287"/>
      <c r="L382" s="540">
        <f t="shared" si="945"/>
        <v>521.07999999999993</v>
      </c>
      <c r="M382" s="287">
        <f t="shared" si="946"/>
        <v>521.07999999999993</v>
      </c>
      <c r="N382" s="540">
        <f t="shared" si="920"/>
        <v>461.08</v>
      </c>
      <c r="O382" s="287">
        <f t="shared" si="912"/>
        <v>461.08</v>
      </c>
      <c r="P382" s="540">
        <f t="shared" si="921"/>
        <v>451.08</v>
      </c>
      <c r="Q382" s="287">
        <f t="shared" si="913"/>
        <v>451.08</v>
      </c>
      <c r="R382" s="540">
        <f t="shared" si="922"/>
        <v>443.08</v>
      </c>
      <c r="S382" s="287">
        <f t="shared" si="914"/>
        <v>443.08</v>
      </c>
      <c r="T382" s="103">
        <f t="shared" si="941"/>
        <v>435.08</v>
      </c>
      <c r="U382" s="255">
        <f t="shared" si="942"/>
        <v>435.08</v>
      </c>
      <c r="V382" s="103">
        <f t="shared" si="943"/>
        <v>430.08</v>
      </c>
      <c r="W382" s="255">
        <f t="shared" si="944"/>
        <v>430.08</v>
      </c>
      <c r="X382" s="168"/>
      <c r="Y382" s="131"/>
      <c r="Z382" s="131"/>
      <c r="AA382" s="147"/>
      <c r="AB382" s="403" t="s">
        <v>510</v>
      </c>
      <c r="AC382" s="65"/>
    </row>
    <row r="383" spans="1:29" ht="12.6" customHeight="1" x14ac:dyDescent="0.2">
      <c r="A383" s="104"/>
      <c r="B383" s="1225" t="s">
        <v>246</v>
      </c>
      <c r="C383" s="1226"/>
      <c r="D383" s="1226"/>
      <c r="E383" s="1227"/>
      <c r="F383" s="544">
        <v>430</v>
      </c>
      <c r="G383" s="544">
        <f t="shared" si="958"/>
        <v>430</v>
      </c>
      <c r="H383" s="545"/>
      <c r="I383" s="548"/>
      <c r="J383" s="546"/>
      <c r="K383" s="544"/>
      <c r="L383" s="546">
        <f t="shared" si="945"/>
        <v>550</v>
      </c>
      <c r="M383" s="544">
        <f t="shared" si="946"/>
        <v>550</v>
      </c>
      <c r="N383" s="546">
        <f t="shared" si="920"/>
        <v>490</v>
      </c>
      <c r="O383" s="544">
        <f t="shared" si="912"/>
        <v>490</v>
      </c>
      <c r="P383" s="546">
        <f t="shared" si="921"/>
        <v>480</v>
      </c>
      <c r="Q383" s="544">
        <f t="shared" si="913"/>
        <v>480</v>
      </c>
      <c r="R383" s="546">
        <f t="shared" si="922"/>
        <v>472</v>
      </c>
      <c r="S383" s="544">
        <f t="shared" si="914"/>
        <v>472</v>
      </c>
      <c r="T383" s="556">
        <f t="shared" si="941"/>
        <v>464</v>
      </c>
      <c r="U383" s="555">
        <f t="shared" si="942"/>
        <v>464</v>
      </c>
      <c r="V383" s="556">
        <f t="shared" si="943"/>
        <v>459</v>
      </c>
      <c r="W383" s="555">
        <f t="shared" si="944"/>
        <v>459</v>
      </c>
      <c r="X383" s="168"/>
      <c r="Y383" s="131"/>
      <c r="Z383" s="131"/>
      <c r="AA383" s="131"/>
      <c r="AB383" s="403">
        <v>2255</v>
      </c>
      <c r="AC383" s="65"/>
    </row>
    <row r="384" spans="1:29" ht="12.6" customHeight="1" x14ac:dyDescent="0.2">
      <c r="A384" s="97"/>
      <c r="B384" s="673" t="s">
        <v>888</v>
      </c>
      <c r="C384" s="674"/>
      <c r="D384" s="674"/>
      <c r="E384" s="674"/>
      <c r="F384" s="379">
        <f>1.75*X2</f>
        <v>1897</v>
      </c>
      <c r="G384" s="287">
        <f t="shared" ref="G384" si="959">+F384*$X$1</f>
        <v>1897</v>
      </c>
      <c r="H384" s="281"/>
      <c r="I384" s="342"/>
      <c r="J384" s="541"/>
      <c r="K384" s="287"/>
      <c r="L384" s="541">
        <f t="shared" ref="L384" si="960">F384+120</f>
        <v>2017</v>
      </c>
      <c r="M384" s="287">
        <f t="shared" ref="M384" si="961">+L384*$X$1</f>
        <v>2017</v>
      </c>
      <c r="N384" s="541">
        <f t="shared" ref="N384" si="962">F384+60</f>
        <v>1957</v>
      </c>
      <c r="O384" s="287">
        <f t="shared" ref="O384" si="963">+N384*$X$1</f>
        <v>1957</v>
      </c>
      <c r="P384" s="541">
        <f t="shared" ref="P384" si="964">F384+50</f>
        <v>1947</v>
      </c>
      <c r="Q384" s="287">
        <f t="shared" ref="Q384" si="965">+P384*$X$1</f>
        <v>1947</v>
      </c>
      <c r="R384" s="541">
        <f t="shared" ref="R384" si="966">F384+42</f>
        <v>1939</v>
      </c>
      <c r="S384" s="287">
        <f t="shared" ref="S384" si="967">+R384*$X$1</f>
        <v>1939</v>
      </c>
      <c r="T384" s="103">
        <f t="shared" ref="T384" si="968">F384+34</f>
        <v>1931</v>
      </c>
      <c r="U384" s="255">
        <f t="shared" ref="U384" si="969">+T384*$X$1</f>
        <v>1931</v>
      </c>
      <c r="V384" s="103">
        <f t="shared" ref="V384" si="970">F384+29</f>
        <v>1926</v>
      </c>
      <c r="W384" s="255">
        <f t="shared" ref="W384" si="971">+V384*$X$1</f>
        <v>1926</v>
      </c>
      <c r="X384" s="138"/>
      <c r="Y384" s="134"/>
      <c r="Z384" s="134"/>
      <c r="AA384" s="137"/>
      <c r="AB384" s="403">
        <v>2258</v>
      </c>
    </row>
    <row r="385" spans="1:29" ht="12.6" customHeight="1" x14ac:dyDescent="0.2">
      <c r="A385" s="18"/>
      <c r="B385" s="694" t="s">
        <v>666</v>
      </c>
      <c r="C385" s="1053"/>
      <c r="D385" s="1053"/>
      <c r="E385" s="1053"/>
      <c r="F385" s="380">
        <f>0.52*X2</f>
        <v>563.68000000000006</v>
      </c>
      <c r="G385" s="288">
        <f t="shared" ref="G385" si="972">+F385*$X$1</f>
        <v>563.68000000000006</v>
      </c>
      <c r="H385" s="458"/>
      <c r="I385" s="288"/>
      <c r="J385" s="458"/>
      <c r="K385" s="288"/>
      <c r="L385" s="458">
        <f t="shared" si="945"/>
        <v>683.68000000000006</v>
      </c>
      <c r="M385" s="288">
        <f t="shared" si="946"/>
        <v>683.68000000000006</v>
      </c>
      <c r="N385" s="458">
        <f t="shared" si="920"/>
        <v>623.68000000000006</v>
      </c>
      <c r="O385" s="288">
        <f t="shared" si="912"/>
        <v>623.68000000000006</v>
      </c>
      <c r="P385" s="458">
        <f t="shared" si="921"/>
        <v>613.68000000000006</v>
      </c>
      <c r="Q385" s="288">
        <f t="shared" si="913"/>
        <v>613.68000000000006</v>
      </c>
      <c r="R385" s="458">
        <f t="shared" si="922"/>
        <v>605.68000000000006</v>
      </c>
      <c r="S385" s="288">
        <f t="shared" si="914"/>
        <v>605.68000000000006</v>
      </c>
      <c r="T385" s="102">
        <f t="shared" si="941"/>
        <v>597.68000000000006</v>
      </c>
      <c r="U385" s="305">
        <f t="shared" si="942"/>
        <v>597.68000000000006</v>
      </c>
      <c r="V385" s="102">
        <f t="shared" si="943"/>
        <v>592.68000000000006</v>
      </c>
      <c r="W385" s="305">
        <f t="shared" si="944"/>
        <v>592.68000000000006</v>
      </c>
      <c r="X385" s="688"/>
      <c r="Y385" s="867"/>
      <c r="Z385" s="867"/>
      <c r="AA385" s="689"/>
      <c r="AB385" s="403">
        <v>2260</v>
      </c>
      <c r="AC385" s="65"/>
    </row>
    <row r="386" spans="1:29" ht="12.6" customHeight="1" x14ac:dyDescent="0.2">
      <c r="A386" s="18"/>
      <c r="B386" s="772" t="s">
        <v>647</v>
      </c>
      <c r="C386" s="1239"/>
      <c r="D386" s="1239"/>
      <c r="E386" s="1239"/>
      <c r="F386" s="379">
        <f>0.6*X2</f>
        <v>650.4</v>
      </c>
      <c r="G386" s="287">
        <f t="shared" ref="G386:G387" si="973">+F386*$X$1</f>
        <v>650.4</v>
      </c>
      <c r="H386" s="521"/>
      <c r="I386" s="287"/>
      <c r="J386" s="540"/>
      <c r="K386" s="287"/>
      <c r="L386" s="540">
        <f t="shared" si="945"/>
        <v>770.4</v>
      </c>
      <c r="M386" s="287">
        <f t="shared" si="946"/>
        <v>770.4</v>
      </c>
      <c r="N386" s="540">
        <f t="shared" si="920"/>
        <v>710.4</v>
      </c>
      <c r="O386" s="287">
        <f t="shared" si="912"/>
        <v>710.4</v>
      </c>
      <c r="P386" s="540">
        <f t="shared" si="921"/>
        <v>700.4</v>
      </c>
      <c r="Q386" s="287">
        <f t="shared" si="913"/>
        <v>700.4</v>
      </c>
      <c r="R386" s="540">
        <f t="shared" si="922"/>
        <v>692.4</v>
      </c>
      <c r="S386" s="287">
        <f t="shared" si="914"/>
        <v>692.4</v>
      </c>
      <c r="T386" s="103">
        <f t="shared" si="941"/>
        <v>684.4</v>
      </c>
      <c r="U386" s="255">
        <f t="shared" si="942"/>
        <v>684.4</v>
      </c>
      <c r="V386" s="103">
        <f t="shared" si="943"/>
        <v>679.4</v>
      </c>
      <c r="W386" s="255">
        <f t="shared" si="944"/>
        <v>679.4</v>
      </c>
      <c r="X386" s="688"/>
      <c r="Y386" s="867"/>
      <c r="Z386" s="867"/>
      <c r="AA386" s="689"/>
      <c r="AB386" s="403">
        <v>2261</v>
      </c>
      <c r="AC386" s="65"/>
    </row>
    <row r="387" spans="1:29" ht="12.6" customHeight="1" x14ac:dyDescent="0.2">
      <c r="A387" s="18"/>
      <c r="B387" s="694" t="s">
        <v>668</v>
      </c>
      <c r="C387" s="1053"/>
      <c r="D387" s="1053"/>
      <c r="E387" s="1053"/>
      <c r="F387" s="380">
        <f>0.58*X2</f>
        <v>628.71999999999991</v>
      </c>
      <c r="G387" s="288">
        <f t="shared" si="973"/>
        <v>628.71999999999991</v>
      </c>
      <c r="H387" s="458"/>
      <c r="I387" s="288"/>
      <c r="J387" s="458"/>
      <c r="K387" s="288"/>
      <c r="L387" s="458">
        <f t="shared" si="945"/>
        <v>748.71999999999991</v>
      </c>
      <c r="M387" s="288">
        <f t="shared" si="946"/>
        <v>748.71999999999991</v>
      </c>
      <c r="N387" s="458">
        <f t="shared" si="920"/>
        <v>688.71999999999991</v>
      </c>
      <c r="O387" s="288">
        <f t="shared" si="912"/>
        <v>688.71999999999991</v>
      </c>
      <c r="P387" s="458">
        <f t="shared" si="921"/>
        <v>678.71999999999991</v>
      </c>
      <c r="Q387" s="288">
        <f t="shared" si="913"/>
        <v>678.71999999999991</v>
      </c>
      <c r="R387" s="458">
        <f t="shared" si="922"/>
        <v>670.71999999999991</v>
      </c>
      <c r="S387" s="288">
        <f t="shared" si="914"/>
        <v>670.71999999999991</v>
      </c>
      <c r="T387" s="102">
        <f t="shared" si="941"/>
        <v>662.71999999999991</v>
      </c>
      <c r="U387" s="305">
        <f t="shared" si="942"/>
        <v>662.71999999999991</v>
      </c>
      <c r="V387" s="102">
        <f t="shared" si="943"/>
        <v>657.71999999999991</v>
      </c>
      <c r="W387" s="305">
        <f t="shared" si="944"/>
        <v>657.71999999999991</v>
      </c>
      <c r="X387" s="688"/>
      <c r="Y387" s="867"/>
      <c r="Z387" s="867"/>
      <c r="AA387" s="689"/>
      <c r="AB387" s="403">
        <v>2262</v>
      </c>
      <c r="AC387" s="65"/>
    </row>
    <row r="388" spans="1:29" ht="12.6" customHeight="1" x14ac:dyDescent="0.2">
      <c r="A388" s="18"/>
      <c r="B388" s="772" t="s">
        <v>614</v>
      </c>
      <c r="C388" s="1239"/>
      <c r="D388" s="1239"/>
      <c r="E388" s="1239"/>
      <c r="F388" s="379">
        <f>1.19*X2</f>
        <v>1289.96</v>
      </c>
      <c r="G388" s="287">
        <f t="shared" ref="G388" si="974">+F388*$X$1</f>
        <v>1289.96</v>
      </c>
      <c r="H388" s="521"/>
      <c r="I388" s="287"/>
      <c r="J388" s="540"/>
      <c r="K388" s="287"/>
      <c r="L388" s="540">
        <f t="shared" si="945"/>
        <v>1409.96</v>
      </c>
      <c r="M388" s="287">
        <f t="shared" si="946"/>
        <v>1409.96</v>
      </c>
      <c r="N388" s="540">
        <f t="shared" si="920"/>
        <v>1349.96</v>
      </c>
      <c r="O388" s="287">
        <f t="shared" si="912"/>
        <v>1349.96</v>
      </c>
      <c r="P388" s="540">
        <f t="shared" si="921"/>
        <v>1339.96</v>
      </c>
      <c r="Q388" s="287">
        <f t="shared" si="913"/>
        <v>1339.96</v>
      </c>
      <c r="R388" s="540">
        <f t="shared" si="922"/>
        <v>1331.96</v>
      </c>
      <c r="S388" s="287">
        <f t="shared" si="914"/>
        <v>1331.96</v>
      </c>
      <c r="T388" s="103">
        <f t="shared" si="941"/>
        <v>1323.96</v>
      </c>
      <c r="U388" s="255">
        <f t="shared" si="942"/>
        <v>1323.96</v>
      </c>
      <c r="V388" s="103">
        <f t="shared" si="943"/>
        <v>1318.96</v>
      </c>
      <c r="W388" s="255">
        <f t="shared" si="944"/>
        <v>1318.96</v>
      </c>
      <c r="X388" s="688"/>
      <c r="Y388" s="867"/>
      <c r="Z388" s="867"/>
      <c r="AA388" s="689"/>
      <c r="AB388" s="403">
        <v>2264</v>
      </c>
      <c r="AC388" s="65"/>
    </row>
    <row r="389" spans="1:29" ht="12.6" customHeight="1" x14ac:dyDescent="0.2">
      <c r="A389" s="18"/>
      <c r="B389" s="694" t="s">
        <v>667</v>
      </c>
      <c r="C389" s="1053"/>
      <c r="D389" s="1053"/>
      <c r="E389" s="1053"/>
      <c r="F389" s="380">
        <f>0.81*X2</f>
        <v>878.04000000000008</v>
      </c>
      <c r="G389" s="288">
        <f t="shared" ref="G389" si="975">+F389*$X$1</f>
        <v>878.04000000000008</v>
      </c>
      <c r="H389" s="458"/>
      <c r="I389" s="288"/>
      <c r="J389" s="458"/>
      <c r="K389" s="288"/>
      <c r="L389" s="458">
        <f t="shared" si="945"/>
        <v>998.04000000000008</v>
      </c>
      <c r="M389" s="288">
        <f t="shared" si="946"/>
        <v>998.04000000000008</v>
      </c>
      <c r="N389" s="458">
        <f t="shared" si="920"/>
        <v>938.04000000000008</v>
      </c>
      <c r="O389" s="288">
        <f t="shared" si="912"/>
        <v>938.04000000000008</v>
      </c>
      <c r="P389" s="458">
        <f t="shared" si="921"/>
        <v>928.04000000000008</v>
      </c>
      <c r="Q389" s="288">
        <f t="shared" si="913"/>
        <v>928.04000000000008</v>
      </c>
      <c r="R389" s="458">
        <f t="shared" si="922"/>
        <v>920.04000000000008</v>
      </c>
      <c r="S389" s="288">
        <f t="shared" si="914"/>
        <v>920.04000000000008</v>
      </c>
      <c r="T389" s="102">
        <f t="shared" si="941"/>
        <v>912.04000000000008</v>
      </c>
      <c r="U389" s="305">
        <f t="shared" si="942"/>
        <v>912.04000000000008</v>
      </c>
      <c r="V389" s="102">
        <f t="shared" si="943"/>
        <v>907.04000000000008</v>
      </c>
      <c r="W389" s="305">
        <f t="shared" si="944"/>
        <v>907.04000000000008</v>
      </c>
      <c r="X389" s="688"/>
      <c r="Y389" s="867"/>
      <c r="Z389" s="867"/>
      <c r="AA389" s="689"/>
      <c r="AB389" s="403">
        <v>2266</v>
      </c>
      <c r="AC389" s="65"/>
    </row>
    <row r="390" spans="1:29" ht="12.6" customHeight="1" x14ac:dyDescent="0.2">
      <c r="A390" s="18"/>
      <c r="B390" s="1249" t="s">
        <v>247</v>
      </c>
      <c r="C390" s="1250"/>
      <c r="D390" s="1250"/>
      <c r="E390" s="1250"/>
      <c r="F390" s="533">
        <f>1.96*X2</f>
        <v>2124.64</v>
      </c>
      <c r="G390" s="287">
        <f t="shared" ref="G390:G391" si="976">+F390*$X$1</f>
        <v>2124.64</v>
      </c>
      <c r="H390" s="562">
        <f>F390+500</f>
        <v>2624.64</v>
      </c>
      <c r="I390" s="287">
        <f t="shared" ref="I390" si="977">+H390*$X$1</f>
        <v>2624.64</v>
      </c>
      <c r="J390" s="562">
        <f>F390+210</f>
        <v>2334.64</v>
      </c>
      <c r="K390" s="287">
        <f t="shared" ref="K390" si="978">+J390*$X$1</f>
        <v>2334.64</v>
      </c>
      <c r="L390" s="562">
        <f>F390+170</f>
        <v>2294.64</v>
      </c>
      <c r="M390" s="287">
        <f t="shared" si="946"/>
        <v>2294.64</v>
      </c>
      <c r="N390" s="562"/>
      <c r="O390" s="287"/>
      <c r="P390" s="562"/>
      <c r="Q390" s="287"/>
      <c r="R390" s="562"/>
      <c r="S390" s="287"/>
      <c r="T390" s="562"/>
      <c r="U390" s="287"/>
      <c r="V390" s="562"/>
      <c r="W390" s="287"/>
      <c r="X390" s="688"/>
      <c r="Y390" s="867"/>
      <c r="Z390" s="867"/>
      <c r="AA390" s="689"/>
      <c r="AB390" s="403">
        <v>2268</v>
      </c>
      <c r="AC390" s="65"/>
    </row>
    <row r="391" spans="1:29" ht="12.6" customHeight="1" x14ac:dyDescent="0.2">
      <c r="A391" s="18"/>
      <c r="B391" s="694" t="s">
        <v>248</v>
      </c>
      <c r="C391" s="1231"/>
      <c r="D391" s="1231"/>
      <c r="E391" s="1231"/>
      <c r="F391" s="380">
        <f>0.443*X2</f>
        <v>480.21199999999999</v>
      </c>
      <c r="G391" s="288">
        <f t="shared" si="976"/>
        <v>480.21199999999999</v>
      </c>
      <c r="H391" s="280"/>
      <c r="I391" s="280"/>
      <c r="J391" s="458"/>
      <c r="K391" s="458"/>
      <c r="L391" s="458">
        <f t="shared" si="945"/>
        <v>600.21199999999999</v>
      </c>
      <c r="M391" s="288">
        <f>+L391*$X$1</f>
        <v>600.21199999999999</v>
      </c>
      <c r="N391" s="458">
        <f>F391+60</f>
        <v>540.21199999999999</v>
      </c>
      <c r="O391" s="288">
        <f>+N391*$X$1</f>
        <v>540.21199999999999</v>
      </c>
      <c r="P391" s="458">
        <f>F391+50</f>
        <v>530.21199999999999</v>
      </c>
      <c r="Q391" s="288">
        <f>+P391*$X$1</f>
        <v>530.21199999999999</v>
      </c>
      <c r="R391" s="458">
        <f>F391+42</f>
        <v>522.21199999999999</v>
      </c>
      <c r="S391" s="288">
        <f>+R391*$X$1</f>
        <v>522.21199999999999</v>
      </c>
      <c r="T391" s="102">
        <f>F391+34</f>
        <v>514.21199999999999</v>
      </c>
      <c r="U391" s="305">
        <f>+T391*$X$1</f>
        <v>514.21199999999999</v>
      </c>
      <c r="V391" s="102">
        <f>F391+29</f>
        <v>509.21199999999999</v>
      </c>
      <c r="W391" s="305">
        <f>+V391*$X$1</f>
        <v>509.21199999999999</v>
      </c>
      <c r="X391" s="174"/>
      <c r="Y391" s="176"/>
      <c r="Z391" s="176"/>
      <c r="AA391" s="174"/>
      <c r="AB391" s="403">
        <v>2270</v>
      </c>
      <c r="AC391" s="65"/>
    </row>
    <row r="392" spans="1:29" ht="12.6" customHeight="1" x14ac:dyDescent="0.2">
      <c r="A392" s="18"/>
      <c r="B392" s="735" t="s">
        <v>934</v>
      </c>
      <c r="C392" s="1063"/>
      <c r="D392" s="1063"/>
      <c r="E392" s="1063"/>
      <c r="F392" s="379">
        <f>0.44*X2</f>
        <v>476.96</v>
      </c>
      <c r="G392" s="287">
        <f t="shared" ref="G392" si="979">+F392*$X$1</f>
        <v>476.96</v>
      </c>
      <c r="H392" s="281"/>
      <c r="I392" s="281"/>
      <c r="J392" s="592"/>
      <c r="K392" s="592"/>
      <c r="L392" s="592">
        <f t="shared" ref="L392" si="980">F392+120</f>
        <v>596.96</v>
      </c>
      <c r="M392" s="287">
        <f>+L392*$X$1</f>
        <v>596.96</v>
      </c>
      <c r="N392" s="592">
        <f>F392+60</f>
        <v>536.96</v>
      </c>
      <c r="O392" s="287">
        <f>+N392*$X$1</f>
        <v>536.96</v>
      </c>
      <c r="P392" s="592">
        <f>F392+50</f>
        <v>526.96</v>
      </c>
      <c r="Q392" s="287">
        <f>+P392*$X$1</f>
        <v>526.96</v>
      </c>
      <c r="R392" s="592">
        <f>F392+42</f>
        <v>518.96</v>
      </c>
      <c r="S392" s="287">
        <f>+R392*$X$1</f>
        <v>518.96</v>
      </c>
      <c r="T392" s="103">
        <f>F392+34</f>
        <v>510.96</v>
      </c>
      <c r="U392" s="255">
        <f>+T392*$X$1</f>
        <v>510.96</v>
      </c>
      <c r="V392" s="103">
        <f>F392+29</f>
        <v>505.96</v>
      </c>
      <c r="W392" s="255">
        <f>+V392*$X$1</f>
        <v>505.96</v>
      </c>
      <c r="X392" s="590"/>
      <c r="Y392" s="588"/>
      <c r="Z392" s="588"/>
      <c r="AA392" s="590"/>
      <c r="AB392" s="403">
        <v>2271</v>
      </c>
      <c r="AC392" s="65"/>
    </row>
    <row r="393" spans="1:29" ht="12.6" customHeight="1" x14ac:dyDescent="0.2">
      <c r="A393" s="18"/>
      <c r="B393" s="735" t="s">
        <v>935</v>
      </c>
      <c r="C393" s="1063"/>
      <c r="D393" s="1063"/>
      <c r="E393" s="1063"/>
      <c r="F393" s="380">
        <f>0.65*X2</f>
        <v>704.6</v>
      </c>
      <c r="G393" s="288">
        <f t="shared" ref="G393" si="981">+F393*$X$1</f>
        <v>704.6</v>
      </c>
      <c r="H393" s="280"/>
      <c r="I393" s="280"/>
      <c r="J393" s="458"/>
      <c r="K393" s="458"/>
      <c r="L393" s="458">
        <f t="shared" ref="L393" si="982">F393+120</f>
        <v>824.6</v>
      </c>
      <c r="M393" s="288">
        <f>+L393*$X$1</f>
        <v>824.6</v>
      </c>
      <c r="N393" s="458">
        <f>F393+60</f>
        <v>764.6</v>
      </c>
      <c r="O393" s="288">
        <f>+N393*$X$1</f>
        <v>764.6</v>
      </c>
      <c r="P393" s="458">
        <f>F393+50</f>
        <v>754.6</v>
      </c>
      <c r="Q393" s="288">
        <f>+P393*$X$1</f>
        <v>754.6</v>
      </c>
      <c r="R393" s="458">
        <f>F393+42</f>
        <v>746.6</v>
      </c>
      <c r="S393" s="288">
        <f>+R393*$X$1</f>
        <v>746.6</v>
      </c>
      <c r="T393" s="102">
        <f>F393+34</f>
        <v>738.6</v>
      </c>
      <c r="U393" s="305">
        <f>+T393*$X$1</f>
        <v>738.6</v>
      </c>
      <c r="V393" s="102">
        <f>F393+29</f>
        <v>733.6</v>
      </c>
      <c r="W393" s="305">
        <f>+V393*$X$1</f>
        <v>733.6</v>
      </c>
      <c r="X393" s="590"/>
      <c r="Y393" s="588"/>
      <c r="Z393" s="588"/>
      <c r="AA393" s="590"/>
      <c r="AB393" s="403">
        <v>2272</v>
      </c>
      <c r="AC393" s="65"/>
    </row>
    <row r="394" spans="1:29" ht="12.6" customHeight="1" x14ac:dyDescent="0.2">
      <c r="A394" s="18"/>
      <c r="B394" s="772" t="s">
        <v>249</v>
      </c>
      <c r="C394" s="773"/>
      <c r="D394" s="773"/>
      <c r="E394" s="773"/>
      <c r="F394" s="379">
        <f>0.59*X2</f>
        <v>639.55999999999995</v>
      </c>
      <c r="G394" s="287">
        <f>+F394*$X$1</f>
        <v>639.55999999999995</v>
      </c>
      <c r="H394" s="281"/>
      <c r="I394" s="281"/>
      <c r="J394" s="568"/>
      <c r="K394" s="568"/>
      <c r="L394" s="568">
        <f t="shared" si="945"/>
        <v>759.56</v>
      </c>
      <c r="M394" s="287">
        <f>+L394*$X$1</f>
        <v>759.56</v>
      </c>
      <c r="N394" s="568">
        <f>F394+60</f>
        <v>699.56</v>
      </c>
      <c r="O394" s="287">
        <f>+N394*$X$1</f>
        <v>699.56</v>
      </c>
      <c r="P394" s="568">
        <f>F394+50</f>
        <v>689.56</v>
      </c>
      <c r="Q394" s="287">
        <f>+P394*$X$1</f>
        <v>689.56</v>
      </c>
      <c r="R394" s="568">
        <f>F394+42</f>
        <v>681.56</v>
      </c>
      <c r="S394" s="287">
        <f>+R394*$X$1</f>
        <v>681.56</v>
      </c>
      <c r="T394" s="103">
        <f>F394+34</f>
        <v>673.56</v>
      </c>
      <c r="U394" s="255">
        <f>+T394*$X$1</f>
        <v>673.56</v>
      </c>
      <c r="V394" s="103">
        <f>F394+29</f>
        <v>668.56</v>
      </c>
      <c r="W394" s="255">
        <f>+V394*$X$1</f>
        <v>668.56</v>
      </c>
      <c r="X394" s="174"/>
      <c r="Y394" s="176"/>
      <c r="Z394" s="176"/>
      <c r="AA394" s="174"/>
      <c r="AB394" s="403">
        <v>2275</v>
      </c>
      <c r="AC394" s="65"/>
    </row>
    <row r="395" spans="1:29" ht="12.6" customHeight="1" x14ac:dyDescent="0.2">
      <c r="A395" s="18"/>
      <c r="B395" s="694" t="s">
        <v>612</v>
      </c>
      <c r="C395" s="695"/>
      <c r="D395" s="695"/>
      <c r="E395" s="695"/>
      <c r="F395" s="380">
        <f>0.57*X2</f>
        <v>617.88</v>
      </c>
      <c r="G395" s="288">
        <f t="shared" ref="G395:G396" si="983">+F395*$X$1</f>
        <v>617.88</v>
      </c>
      <c r="H395" s="280"/>
      <c r="I395" s="280"/>
      <c r="J395" s="458"/>
      <c r="K395" s="458"/>
      <c r="L395" s="458">
        <f t="shared" ref="L395:L398" si="984">F395+120</f>
        <v>737.88</v>
      </c>
      <c r="M395" s="288">
        <f t="shared" ref="M395:M398" si="985">+L395*$X$1</f>
        <v>737.88</v>
      </c>
      <c r="N395" s="458">
        <f t="shared" ref="N395:N398" si="986">F395+60</f>
        <v>677.88</v>
      </c>
      <c r="O395" s="288">
        <f t="shared" ref="O395:O398" si="987">+N395*$X$1</f>
        <v>677.88</v>
      </c>
      <c r="P395" s="458">
        <f t="shared" ref="P395:P398" si="988">F395+50</f>
        <v>667.88</v>
      </c>
      <c r="Q395" s="288">
        <f t="shared" ref="Q395:Q398" si="989">+P395*$X$1</f>
        <v>667.88</v>
      </c>
      <c r="R395" s="458">
        <f t="shared" ref="R395:R398" si="990">F395+42</f>
        <v>659.88</v>
      </c>
      <c r="S395" s="288">
        <f t="shared" ref="S395:S398" si="991">+R395*$X$1</f>
        <v>659.88</v>
      </c>
      <c r="T395" s="102">
        <f t="shared" ref="T395:T398" si="992">F395+34</f>
        <v>651.88</v>
      </c>
      <c r="U395" s="305">
        <f t="shared" ref="U395:U398" si="993">+T395*$X$1</f>
        <v>651.88</v>
      </c>
      <c r="V395" s="102">
        <f t="shared" ref="V395:V398" si="994">F395+29</f>
        <v>646.88</v>
      </c>
      <c r="W395" s="305">
        <f t="shared" ref="W395:W398" si="995">+V395*$X$1</f>
        <v>646.88</v>
      </c>
      <c r="X395" s="225"/>
      <c r="Y395" s="226"/>
      <c r="Z395" s="226"/>
      <c r="AA395" s="225"/>
      <c r="AB395" s="403">
        <v>2279</v>
      </c>
      <c r="AC395" s="65"/>
    </row>
    <row r="396" spans="1:29" ht="12.6" customHeight="1" x14ac:dyDescent="0.2">
      <c r="A396" s="18"/>
      <c r="B396" s="772" t="s">
        <v>250</v>
      </c>
      <c r="C396" s="773"/>
      <c r="D396" s="773"/>
      <c r="E396" s="773"/>
      <c r="F396" s="379">
        <f>0.484*X2</f>
        <v>524.65599999999995</v>
      </c>
      <c r="G396" s="287">
        <f t="shared" si="983"/>
        <v>524.65599999999995</v>
      </c>
      <c r="H396" s="281"/>
      <c r="I396" s="281"/>
      <c r="J396" s="568"/>
      <c r="K396" s="568"/>
      <c r="L396" s="568">
        <f t="shared" si="984"/>
        <v>644.65599999999995</v>
      </c>
      <c r="M396" s="287">
        <f t="shared" si="985"/>
        <v>644.65599999999995</v>
      </c>
      <c r="N396" s="568">
        <f t="shared" si="986"/>
        <v>584.65599999999995</v>
      </c>
      <c r="O396" s="287">
        <f t="shared" si="987"/>
        <v>584.65599999999995</v>
      </c>
      <c r="P396" s="568">
        <f t="shared" si="988"/>
        <v>574.65599999999995</v>
      </c>
      <c r="Q396" s="287">
        <f t="shared" si="989"/>
        <v>574.65599999999995</v>
      </c>
      <c r="R396" s="568">
        <f t="shared" si="990"/>
        <v>566.65599999999995</v>
      </c>
      <c r="S396" s="287">
        <f t="shared" si="991"/>
        <v>566.65599999999995</v>
      </c>
      <c r="T396" s="103">
        <f t="shared" si="992"/>
        <v>558.65599999999995</v>
      </c>
      <c r="U396" s="255">
        <f t="shared" si="993"/>
        <v>558.65599999999995</v>
      </c>
      <c r="V396" s="103">
        <f t="shared" si="994"/>
        <v>553.65599999999995</v>
      </c>
      <c r="W396" s="255">
        <f t="shared" si="995"/>
        <v>553.65599999999995</v>
      </c>
      <c r="X396" s="174"/>
      <c r="Y396" s="176"/>
      <c r="Z396" s="176"/>
      <c r="AA396" s="174"/>
      <c r="AB396" s="403">
        <v>2280</v>
      </c>
      <c r="AC396" s="65"/>
    </row>
    <row r="397" spans="1:29" ht="12.6" customHeight="1" x14ac:dyDescent="0.2">
      <c r="A397" s="18"/>
      <c r="B397" s="694" t="s">
        <v>479</v>
      </c>
      <c r="C397" s="695"/>
      <c r="D397" s="695"/>
      <c r="E397" s="695"/>
      <c r="F397" s="380">
        <f>0.41*X2</f>
        <v>444.44</v>
      </c>
      <c r="G397" s="288">
        <f t="shared" ref="G397" si="996">+F397*$X$1</f>
        <v>444.44</v>
      </c>
      <c r="H397" s="280"/>
      <c r="I397" s="280"/>
      <c r="J397" s="458"/>
      <c r="K397" s="458"/>
      <c r="L397" s="458">
        <f t="shared" si="984"/>
        <v>564.44000000000005</v>
      </c>
      <c r="M397" s="288">
        <f t="shared" si="985"/>
        <v>564.44000000000005</v>
      </c>
      <c r="N397" s="458">
        <f t="shared" si="986"/>
        <v>504.44</v>
      </c>
      <c r="O397" s="288">
        <f t="shared" si="987"/>
        <v>504.44</v>
      </c>
      <c r="P397" s="458">
        <f t="shared" si="988"/>
        <v>494.44</v>
      </c>
      <c r="Q397" s="288">
        <f t="shared" si="989"/>
        <v>494.44</v>
      </c>
      <c r="R397" s="458">
        <f t="shared" si="990"/>
        <v>486.44</v>
      </c>
      <c r="S397" s="288">
        <f t="shared" si="991"/>
        <v>486.44</v>
      </c>
      <c r="T397" s="102">
        <f t="shared" si="992"/>
        <v>478.44</v>
      </c>
      <c r="U397" s="305">
        <f t="shared" si="993"/>
        <v>478.44</v>
      </c>
      <c r="V397" s="102">
        <f t="shared" si="994"/>
        <v>473.44</v>
      </c>
      <c r="W397" s="305">
        <f t="shared" si="995"/>
        <v>473.44</v>
      </c>
      <c r="X397" s="174"/>
      <c r="Y397" s="176"/>
      <c r="Z397" s="176"/>
      <c r="AA397" s="174"/>
      <c r="AB397" s="403">
        <v>2281</v>
      </c>
      <c r="AC397" s="65"/>
    </row>
    <row r="398" spans="1:29" ht="12.6" customHeight="1" x14ac:dyDescent="0.2">
      <c r="A398" s="18"/>
      <c r="B398" s="732" t="s">
        <v>877</v>
      </c>
      <c r="C398" s="796"/>
      <c r="D398" s="796"/>
      <c r="E398" s="797"/>
      <c r="F398" s="384">
        <f>0.61*X2</f>
        <v>661.24</v>
      </c>
      <c r="G398" s="287">
        <f t="shared" ref="G398" si="997">+F398*$X$1</f>
        <v>661.24</v>
      </c>
      <c r="H398" s="281"/>
      <c r="I398" s="342"/>
      <c r="J398" s="568"/>
      <c r="K398" s="287"/>
      <c r="L398" s="568">
        <f t="shared" si="984"/>
        <v>781.24</v>
      </c>
      <c r="M398" s="287">
        <f t="shared" si="985"/>
        <v>781.24</v>
      </c>
      <c r="N398" s="568">
        <f t="shared" si="986"/>
        <v>721.24</v>
      </c>
      <c r="O398" s="287">
        <f t="shared" si="987"/>
        <v>721.24</v>
      </c>
      <c r="P398" s="568">
        <f t="shared" si="988"/>
        <v>711.24</v>
      </c>
      <c r="Q398" s="287">
        <f t="shared" si="989"/>
        <v>711.24</v>
      </c>
      <c r="R398" s="568">
        <f t="shared" si="990"/>
        <v>703.24</v>
      </c>
      <c r="S398" s="287">
        <f t="shared" si="991"/>
        <v>703.24</v>
      </c>
      <c r="T398" s="103">
        <f t="shared" si="992"/>
        <v>695.24</v>
      </c>
      <c r="U398" s="255">
        <f t="shared" si="993"/>
        <v>695.24</v>
      </c>
      <c r="V398" s="103">
        <f t="shared" si="994"/>
        <v>690.24</v>
      </c>
      <c r="W398" s="255">
        <f t="shared" si="995"/>
        <v>690.24</v>
      </c>
      <c r="X398" s="131"/>
      <c r="Y398" s="131"/>
      <c r="Z398" s="131"/>
      <c r="AA398" s="131"/>
      <c r="AB398" s="403">
        <v>2282</v>
      </c>
    </row>
    <row r="399" spans="1:29" s="4" customFormat="1" ht="12.6" customHeight="1" x14ac:dyDescent="0.2">
      <c r="A399" s="19"/>
      <c r="B399" s="16"/>
      <c r="C399" s="12"/>
      <c r="D399" s="12"/>
      <c r="E399" s="12"/>
      <c r="F399" s="58"/>
      <c r="G399" s="14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pans="1:29" s="4" customFormat="1" ht="12.6" customHeight="1" x14ac:dyDescent="0.2">
      <c r="A400" s="19"/>
      <c r="B400" s="16"/>
      <c r="C400" s="12"/>
      <c r="D400" s="12"/>
      <c r="E400" s="12"/>
      <c r="F400" s="58"/>
      <c r="G400" s="14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spans="1:34" s="4" customFormat="1" ht="12.6" customHeight="1" x14ac:dyDescent="0.2">
      <c r="A401" s="19"/>
      <c r="B401" s="16"/>
      <c r="C401" s="12"/>
      <c r="D401" s="12"/>
      <c r="E401" s="12"/>
      <c r="F401" s="58"/>
      <c r="G401" s="14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spans="1:34" ht="15.75" customHeight="1" x14ac:dyDescent="0.2">
      <c r="A402" s="18"/>
      <c r="B402" s="798" t="s">
        <v>11</v>
      </c>
      <c r="C402" s="767" t="s">
        <v>12</v>
      </c>
      <c r="D402" s="768"/>
      <c r="E402" s="768"/>
      <c r="F402" s="754" t="s">
        <v>13</v>
      </c>
      <c r="G402" s="754" t="s">
        <v>13</v>
      </c>
      <c r="H402" s="738" t="s">
        <v>809</v>
      </c>
      <c r="I402" s="738"/>
      <c r="J402" s="739"/>
      <c r="K402" s="739"/>
      <c r="L402" s="739"/>
      <c r="M402" s="739"/>
      <c r="N402" s="739"/>
      <c r="O402" s="739"/>
      <c r="P402" s="739"/>
      <c r="Q402" s="739"/>
      <c r="R402" s="739"/>
      <c r="S402" s="739"/>
      <c r="T402" s="739"/>
      <c r="U402" s="739"/>
      <c r="V402" s="739"/>
      <c r="W402" s="739"/>
      <c r="X402" s="715" t="s">
        <v>14</v>
      </c>
      <c r="Y402" s="716"/>
      <c r="Z402" s="716"/>
      <c r="AA402" s="717"/>
      <c r="AB402" s="721" t="s">
        <v>15</v>
      </c>
      <c r="AE402" s="64"/>
      <c r="AF402" s="703" t="s">
        <v>3</v>
      </c>
      <c r="AG402" s="704"/>
      <c r="AH402" s="704"/>
    </row>
    <row r="403" spans="1:34" ht="12" customHeight="1" x14ac:dyDescent="0.2">
      <c r="A403" s="18"/>
      <c r="B403" s="798"/>
      <c r="C403" s="768"/>
      <c r="D403" s="768"/>
      <c r="E403" s="768"/>
      <c r="F403" s="755"/>
      <c r="G403" s="755"/>
      <c r="H403" s="480"/>
      <c r="I403" s="472" t="s">
        <v>289</v>
      </c>
      <c r="J403" s="474"/>
      <c r="K403" s="472" t="s">
        <v>17</v>
      </c>
      <c r="L403" s="475"/>
      <c r="M403" s="475" t="s">
        <v>18</v>
      </c>
      <c r="N403" s="475"/>
      <c r="O403" s="472" t="s">
        <v>19</v>
      </c>
      <c r="P403" s="475"/>
      <c r="Q403" s="475" t="s">
        <v>291</v>
      </c>
      <c r="R403" s="475"/>
      <c r="S403" s="475" t="s">
        <v>20</v>
      </c>
      <c r="T403" s="475"/>
      <c r="U403" s="475" t="s">
        <v>21</v>
      </c>
      <c r="V403" s="475"/>
      <c r="W403" s="475" t="s">
        <v>22</v>
      </c>
      <c r="X403" s="718"/>
      <c r="Y403" s="719"/>
      <c r="Z403" s="719"/>
      <c r="AA403" s="720"/>
      <c r="AB403" s="691"/>
    </row>
    <row r="404" spans="1:34" ht="12.6" customHeight="1" x14ac:dyDescent="0.2">
      <c r="A404" s="18"/>
      <c r="B404" s="699" t="s">
        <v>876</v>
      </c>
      <c r="C404" s="978"/>
      <c r="D404" s="978"/>
      <c r="E404" s="979"/>
      <c r="F404" s="383">
        <f>0.57*X2</f>
        <v>617.88</v>
      </c>
      <c r="G404" s="288">
        <f>+F404*$X$1</f>
        <v>617.88</v>
      </c>
      <c r="H404" s="280"/>
      <c r="I404" s="343"/>
      <c r="J404" s="458"/>
      <c r="K404" s="288"/>
      <c r="L404" s="458">
        <f>F404+120</f>
        <v>737.88</v>
      </c>
      <c r="M404" s="288">
        <f>+L404*$X$1</f>
        <v>737.88</v>
      </c>
      <c r="N404" s="458">
        <f>F404+60</f>
        <v>677.88</v>
      </c>
      <c r="O404" s="288">
        <f>+N404*$X$1</f>
        <v>677.88</v>
      </c>
      <c r="P404" s="458">
        <f>F404+50</f>
        <v>667.88</v>
      </c>
      <c r="Q404" s="288">
        <f>+P404*$X$1</f>
        <v>667.88</v>
      </c>
      <c r="R404" s="458">
        <f>F404+42</f>
        <v>659.88</v>
      </c>
      <c r="S404" s="288">
        <f>+R404*$X$1</f>
        <v>659.88</v>
      </c>
      <c r="T404" s="102">
        <f>F404+34</f>
        <v>651.88</v>
      </c>
      <c r="U404" s="305">
        <f>+T404*$X$1</f>
        <v>651.88</v>
      </c>
      <c r="V404" s="102">
        <f>F404+29</f>
        <v>646.88</v>
      </c>
      <c r="W404" s="305">
        <f>+V404*$X$1</f>
        <v>646.88</v>
      </c>
      <c r="X404" s="131"/>
      <c r="Y404" s="131"/>
      <c r="Z404" s="131"/>
      <c r="AA404" s="131"/>
      <c r="AB404" s="403">
        <v>2283</v>
      </c>
    </row>
    <row r="405" spans="1:34" ht="12.6" customHeight="1" x14ac:dyDescent="0.2">
      <c r="A405" s="18"/>
      <c r="B405" s="772" t="s">
        <v>336</v>
      </c>
      <c r="C405" s="773"/>
      <c r="D405" s="773"/>
      <c r="E405" s="773"/>
      <c r="F405" s="379">
        <f>0.64*X2</f>
        <v>693.76</v>
      </c>
      <c r="G405" s="287">
        <f>+F405*$X$1</f>
        <v>693.76</v>
      </c>
      <c r="H405" s="281"/>
      <c r="I405" s="281"/>
      <c r="J405" s="568"/>
      <c r="K405" s="568"/>
      <c r="L405" s="568">
        <f t="shared" ref="L405:L411" si="998">F405+120</f>
        <v>813.76</v>
      </c>
      <c r="M405" s="287">
        <f t="shared" ref="M405:M410" si="999">+L405*$X$1</f>
        <v>813.76</v>
      </c>
      <c r="N405" s="568">
        <f t="shared" ref="N405:N410" si="1000">F405+60</f>
        <v>753.76</v>
      </c>
      <c r="O405" s="287">
        <f t="shared" ref="O405:O410" si="1001">+N405*$X$1</f>
        <v>753.76</v>
      </c>
      <c r="P405" s="568">
        <f t="shared" ref="P405:P410" si="1002">F405+50</f>
        <v>743.76</v>
      </c>
      <c r="Q405" s="287">
        <f t="shared" ref="Q405:Q410" si="1003">+P405*$X$1</f>
        <v>743.76</v>
      </c>
      <c r="R405" s="568">
        <f t="shared" ref="R405:R410" si="1004">F405+42</f>
        <v>735.76</v>
      </c>
      <c r="S405" s="287">
        <f t="shared" ref="S405:S410" si="1005">+R405*$X$1</f>
        <v>735.76</v>
      </c>
      <c r="T405" s="103">
        <f t="shared" ref="T405:T411" si="1006">F405+34</f>
        <v>727.76</v>
      </c>
      <c r="U405" s="255">
        <f t="shared" ref="U405:U411" si="1007">+T405*$X$1</f>
        <v>727.76</v>
      </c>
      <c r="V405" s="103">
        <f t="shared" ref="V405:V411" si="1008">F405+29</f>
        <v>722.76</v>
      </c>
      <c r="W405" s="255">
        <f t="shared" ref="W405:W411" si="1009">+V405*$X$1</f>
        <v>722.76</v>
      </c>
      <c r="X405" s="187"/>
      <c r="Y405" s="186"/>
      <c r="Z405" s="186"/>
      <c r="AA405" s="187"/>
      <c r="AB405" s="403">
        <v>2285</v>
      </c>
      <c r="AC405" s="65"/>
    </row>
    <row r="406" spans="1:34" ht="12.6" customHeight="1" x14ac:dyDescent="0.2">
      <c r="A406" s="18"/>
      <c r="B406" s="694" t="s">
        <v>337</v>
      </c>
      <c r="C406" s="695"/>
      <c r="D406" s="695"/>
      <c r="E406" s="695"/>
      <c r="F406" s="380">
        <f>0.356*X2</f>
        <v>385.904</v>
      </c>
      <c r="G406" s="288">
        <f>+F406*$X$1</f>
        <v>385.904</v>
      </c>
      <c r="H406" s="280"/>
      <c r="I406" s="280"/>
      <c r="J406" s="458"/>
      <c r="K406" s="458"/>
      <c r="L406" s="458">
        <f t="shared" si="998"/>
        <v>505.904</v>
      </c>
      <c r="M406" s="288">
        <f t="shared" si="999"/>
        <v>505.904</v>
      </c>
      <c r="N406" s="458">
        <f t="shared" si="1000"/>
        <v>445.904</v>
      </c>
      <c r="O406" s="288">
        <f t="shared" si="1001"/>
        <v>445.904</v>
      </c>
      <c r="P406" s="458">
        <f t="shared" si="1002"/>
        <v>435.904</v>
      </c>
      <c r="Q406" s="288">
        <f t="shared" si="1003"/>
        <v>435.904</v>
      </c>
      <c r="R406" s="458">
        <f t="shared" si="1004"/>
        <v>427.904</v>
      </c>
      <c r="S406" s="288">
        <f t="shared" si="1005"/>
        <v>427.904</v>
      </c>
      <c r="T406" s="102">
        <f t="shared" si="1006"/>
        <v>419.904</v>
      </c>
      <c r="U406" s="305">
        <f t="shared" si="1007"/>
        <v>419.904</v>
      </c>
      <c r="V406" s="102">
        <f t="shared" si="1008"/>
        <v>414.904</v>
      </c>
      <c r="W406" s="305">
        <f t="shared" si="1009"/>
        <v>414.904</v>
      </c>
      <c r="X406" s="188"/>
      <c r="Y406" s="189"/>
      <c r="Z406" s="189"/>
      <c r="AA406" s="188"/>
      <c r="AB406" s="403">
        <v>2286</v>
      </c>
      <c r="AC406" s="65"/>
    </row>
    <row r="407" spans="1:34" ht="12.6" customHeight="1" x14ac:dyDescent="0.2">
      <c r="A407" s="18"/>
      <c r="B407" s="1056" t="s">
        <v>374</v>
      </c>
      <c r="C407" s="1057"/>
      <c r="D407" s="1057"/>
      <c r="E407" s="1057"/>
      <c r="F407" s="384">
        <f>0.51*X2</f>
        <v>552.84</v>
      </c>
      <c r="G407" s="306">
        <f t="shared" ref="G407:G409" si="1010">+F407*$X$1</f>
        <v>552.84</v>
      </c>
      <c r="H407" s="481"/>
      <c r="I407" s="481"/>
      <c r="J407" s="103"/>
      <c r="K407" s="103"/>
      <c r="L407" s="568">
        <f t="shared" si="998"/>
        <v>672.84</v>
      </c>
      <c r="M407" s="287">
        <f t="shared" si="999"/>
        <v>672.84</v>
      </c>
      <c r="N407" s="568">
        <f t="shared" si="1000"/>
        <v>612.84</v>
      </c>
      <c r="O407" s="287">
        <f t="shared" si="1001"/>
        <v>612.84</v>
      </c>
      <c r="P407" s="568">
        <f t="shared" si="1002"/>
        <v>602.84</v>
      </c>
      <c r="Q407" s="287">
        <f t="shared" si="1003"/>
        <v>602.84</v>
      </c>
      <c r="R407" s="568">
        <f t="shared" si="1004"/>
        <v>594.84</v>
      </c>
      <c r="S407" s="287">
        <f t="shared" si="1005"/>
        <v>594.84</v>
      </c>
      <c r="T407" s="103">
        <f t="shared" si="1006"/>
        <v>586.84</v>
      </c>
      <c r="U407" s="255">
        <f t="shared" si="1007"/>
        <v>586.84</v>
      </c>
      <c r="V407" s="103">
        <f t="shared" si="1008"/>
        <v>581.84</v>
      </c>
      <c r="W407" s="255">
        <f t="shared" si="1009"/>
        <v>581.84</v>
      </c>
      <c r="X407" s="220"/>
      <c r="Y407" s="219"/>
      <c r="Z407" s="219"/>
      <c r="AA407" s="220"/>
      <c r="AB407" s="403">
        <v>2287</v>
      </c>
      <c r="AC407" s="65"/>
    </row>
    <row r="408" spans="1:34" ht="12.6" customHeight="1" x14ac:dyDescent="0.2">
      <c r="A408" s="18"/>
      <c r="B408" s="1246" t="s">
        <v>384</v>
      </c>
      <c r="C408" s="1247"/>
      <c r="D408" s="1247"/>
      <c r="E408" s="1248"/>
      <c r="F408" s="380">
        <f>1.01*X2</f>
        <v>1094.8399999999999</v>
      </c>
      <c r="G408" s="288">
        <f t="shared" si="1010"/>
        <v>1094.8399999999999</v>
      </c>
      <c r="H408" s="280"/>
      <c r="I408" s="280"/>
      <c r="J408" s="458"/>
      <c r="K408" s="458"/>
      <c r="L408" s="458">
        <f t="shared" si="998"/>
        <v>1214.8399999999999</v>
      </c>
      <c r="M408" s="288">
        <f t="shared" si="999"/>
        <v>1214.8399999999999</v>
      </c>
      <c r="N408" s="458">
        <f t="shared" si="1000"/>
        <v>1154.8399999999999</v>
      </c>
      <c r="O408" s="288">
        <f t="shared" si="1001"/>
        <v>1154.8399999999999</v>
      </c>
      <c r="P408" s="458">
        <f t="shared" si="1002"/>
        <v>1144.8399999999999</v>
      </c>
      <c r="Q408" s="288">
        <f t="shared" si="1003"/>
        <v>1144.8399999999999</v>
      </c>
      <c r="R408" s="458">
        <f t="shared" si="1004"/>
        <v>1136.8399999999999</v>
      </c>
      <c r="S408" s="288">
        <f t="shared" si="1005"/>
        <v>1136.8399999999999</v>
      </c>
      <c r="T408" s="102">
        <f t="shared" si="1006"/>
        <v>1128.8399999999999</v>
      </c>
      <c r="U408" s="305">
        <f t="shared" si="1007"/>
        <v>1128.8399999999999</v>
      </c>
      <c r="V408" s="102">
        <f t="shared" si="1008"/>
        <v>1123.8399999999999</v>
      </c>
      <c r="W408" s="305">
        <f t="shared" si="1009"/>
        <v>1123.8399999999999</v>
      </c>
      <c r="X408" s="221"/>
      <c r="Y408" s="222"/>
      <c r="Z408" s="222"/>
      <c r="AA408" s="221"/>
      <c r="AB408" s="403">
        <v>2289</v>
      </c>
      <c r="AC408" s="65"/>
    </row>
    <row r="409" spans="1:34" ht="12.6" customHeight="1" x14ac:dyDescent="0.2">
      <c r="A409" s="18"/>
      <c r="B409" s="729" t="s">
        <v>690</v>
      </c>
      <c r="C409" s="730"/>
      <c r="D409" s="730"/>
      <c r="E409" s="731"/>
      <c r="F409" s="384">
        <f>0.73*X2</f>
        <v>791.31999999999994</v>
      </c>
      <c r="G409" s="287">
        <f t="shared" si="1010"/>
        <v>791.31999999999994</v>
      </c>
      <c r="H409" s="281"/>
      <c r="I409" s="281"/>
      <c r="J409" s="568"/>
      <c r="K409" s="568"/>
      <c r="L409" s="568">
        <f t="shared" si="998"/>
        <v>911.31999999999994</v>
      </c>
      <c r="M409" s="287">
        <f t="shared" si="999"/>
        <v>911.31999999999994</v>
      </c>
      <c r="N409" s="568">
        <f t="shared" si="1000"/>
        <v>851.31999999999994</v>
      </c>
      <c r="O409" s="287">
        <f t="shared" si="1001"/>
        <v>851.31999999999994</v>
      </c>
      <c r="P409" s="568">
        <f t="shared" si="1002"/>
        <v>841.31999999999994</v>
      </c>
      <c r="Q409" s="287">
        <f t="shared" si="1003"/>
        <v>841.31999999999994</v>
      </c>
      <c r="R409" s="568">
        <f t="shared" si="1004"/>
        <v>833.31999999999994</v>
      </c>
      <c r="S409" s="287">
        <f t="shared" si="1005"/>
        <v>833.31999999999994</v>
      </c>
      <c r="T409" s="103">
        <f t="shared" si="1006"/>
        <v>825.31999999999994</v>
      </c>
      <c r="U409" s="255">
        <f t="shared" si="1007"/>
        <v>825.31999999999994</v>
      </c>
      <c r="V409" s="103">
        <f t="shared" si="1008"/>
        <v>820.31999999999994</v>
      </c>
      <c r="W409" s="255">
        <f t="shared" si="1009"/>
        <v>820.31999999999994</v>
      </c>
      <c r="X409" s="440"/>
      <c r="Y409" s="441"/>
      <c r="Z409" s="441"/>
      <c r="AA409" s="440"/>
      <c r="AB409" s="403">
        <v>2290</v>
      </c>
      <c r="AC409" s="65"/>
    </row>
    <row r="410" spans="1:34" ht="12.6" customHeight="1" x14ac:dyDescent="0.2">
      <c r="A410" s="18"/>
      <c r="B410" s="1018" t="s">
        <v>478</v>
      </c>
      <c r="C410" s="1019"/>
      <c r="D410" s="1019"/>
      <c r="E410" s="1020"/>
      <c r="F410" s="383">
        <f>0.54*X2</f>
        <v>585.36</v>
      </c>
      <c r="G410" s="288">
        <f t="shared" ref="G410" si="1011">+F410*$X$1</f>
        <v>585.36</v>
      </c>
      <c r="H410" s="280"/>
      <c r="I410" s="280"/>
      <c r="J410" s="458"/>
      <c r="K410" s="458"/>
      <c r="L410" s="458">
        <f t="shared" si="998"/>
        <v>705.36</v>
      </c>
      <c r="M410" s="288">
        <f t="shared" si="999"/>
        <v>705.36</v>
      </c>
      <c r="N410" s="458">
        <f t="shared" si="1000"/>
        <v>645.36</v>
      </c>
      <c r="O410" s="288">
        <f t="shared" si="1001"/>
        <v>645.36</v>
      </c>
      <c r="P410" s="458">
        <f t="shared" si="1002"/>
        <v>635.36</v>
      </c>
      <c r="Q410" s="288">
        <f t="shared" si="1003"/>
        <v>635.36</v>
      </c>
      <c r="R410" s="458">
        <f t="shared" si="1004"/>
        <v>627.36</v>
      </c>
      <c r="S410" s="288">
        <f t="shared" si="1005"/>
        <v>627.36</v>
      </c>
      <c r="T410" s="102">
        <f t="shared" si="1006"/>
        <v>619.36</v>
      </c>
      <c r="U410" s="305">
        <f t="shared" si="1007"/>
        <v>619.36</v>
      </c>
      <c r="V410" s="102">
        <f t="shared" si="1008"/>
        <v>614.36</v>
      </c>
      <c r="W410" s="305">
        <f t="shared" si="1009"/>
        <v>614.36</v>
      </c>
      <c r="X410" s="248"/>
      <c r="Y410" s="252"/>
      <c r="Z410" s="252"/>
      <c r="AA410" s="248"/>
      <c r="AB410" s="403">
        <v>2291</v>
      </c>
      <c r="AC410" s="65"/>
    </row>
    <row r="411" spans="1:34" ht="12.6" customHeight="1" x14ac:dyDescent="0.2">
      <c r="A411" s="18"/>
      <c r="B411" s="729" t="s">
        <v>613</v>
      </c>
      <c r="C411" s="730"/>
      <c r="D411" s="730"/>
      <c r="E411" s="731"/>
      <c r="F411" s="384">
        <f>0.36*X2</f>
        <v>390.24</v>
      </c>
      <c r="G411" s="287">
        <f t="shared" ref="G411" si="1012">+F411*$X$1</f>
        <v>390.24</v>
      </c>
      <c r="H411" s="281"/>
      <c r="I411" s="281"/>
      <c r="J411" s="568"/>
      <c r="K411" s="568"/>
      <c r="L411" s="568">
        <f t="shared" si="998"/>
        <v>510.24</v>
      </c>
      <c r="M411" s="287">
        <f t="shared" ref="M411:M416" si="1013">+L411*$X$1</f>
        <v>510.24</v>
      </c>
      <c r="N411" s="568">
        <f t="shared" ref="N411:N416" si="1014">F411+60</f>
        <v>450.24</v>
      </c>
      <c r="O411" s="287">
        <f t="shared" ref="O411:O416" si="1015">+N411*$X$1</f>
        <v>450.24</v>
      </c>
      <c r="P411" s="568">
        <f t="shared" ref="P411:P416" si="1016">F411+50</f>
        <v>440.24</v>
      </c>
      <c r="Q411" s="287">
        <f t="shared" ref="Q411:Q416" si="1017">+P411*$X$1</f>
        <v>440.24</v>
      </c>
      <c r="R411" s="568">
        <f t="shared" ref="R411:R416" si="1018">F411+42</f>
        <v>432.24</v>
      </c>
      <c r="S411" s="287">
        <f t="shared" ref="S411:S416" si="1019">+R411*$X$1</f>
        <v>432.24</v>
      </c>
      <c r="T411" s="103">
        <f t="shared" si="1006"/>
        <v>424.24</v>
      </c>
      <c r="U411" s="255">
        <f t="shared" si="1007"/>
        <v>424.24</v>
      </c>
      <c r="V411" s="103">
        <f t="shared" si="1008"/>
        <v>419.24</v>
      </c>
      <c r="W411" s="255">
        <f t="shared" si="1009"/>
        <v>419.24</v>
      </c>
      <c r="X411" s="253"/>
      <c r="Y411" s="254"/>
      <c r="Z411" s="254"/>
      <c r="AA411" s="253"/>
      <c r="AB411" s="403">
        <v>2292</v>
      </c>
      <c r="AC411" s="65"/>
    </row>
    <row r="412" spans="1:34" ht="12.6" customHeight="1" x14ac:dyDescent="0.2">
      <c r="A412" s="18"/>
      <c r="B412" s="1018" t="s">
        <v>496</v>
      </c>
      <c r="C412" s="1019"/>
      <c r="D412" s="1019"/>
      <c r="E412" s="1020"/>
      <c r="F412" s="383">
        <f>0.89*X2</f>
        <v>964.76</v>
      </c>
      <c r="G412" s="288">
        <f t="shared" ref="G412" si="1020">+F412*$X$1</f>
        <v>964.76</v>
      </c>
      <c r="H412" s="280"/>
      <c r="I412" s="280"/>
      <c r="J412" s="458"/>
      <c r="K412" s="458"/>
      <c r="L412" s="458">
        <f t="shared" ref="L412:L418" si="1021">F412+120</f>
        <v>1084.76</v>
      </c>
      <c r="M412" s="288">
        <f t="shared" si="1013"/>
        <v>1084.76</v>
      </c>
      <c r="N412" s="458">
        <f t="shared" si="1014"/>
        <v>1024.76</v>
      </c>
      <c r="O412" s="288">
        <f t="shared" si="1015"/>
        <v>1024.76</v>
      </c>
      <c r="P412" s="458">
        <f t="shared" si="1016"/>
        <v>1014.76</v>
      </c>
      <c r="Q412" s="288">
        <f t="shared" si="1017"/>
        <v>1014.76</v>
      </c>
      <c r="R412" s="458">
        <f t="shared" si="1018"/>
        <v>1006.76</v>
      </c>
      <c r="S412" s="288">
        <f t="shared" si="1019"/>
        <v>1006.76</v>
      </c>
      <c r="T412" s="102"/>
      <c r="U412" s="305"/>
      <c r="V412" s="102"/>
      <c r="W412" s="305"/>
      <c r="X412" s="256"/>
      <c r="Y412" s="257"/>
      <c r="Z412" s="257"/>
      <c r="AA412" s="256"/>
      <c r="AB412" s="403">
        <v>2293</v>
      </c>
      <c r="AC412" s="65"/>
    </row>
    <row r="413" spans="1:34" ht="12.6" customHeight="1" x14ac:dyDescent="0.2">
      <c r="A413" s="18"/>
      <c r="B413" s="729" t="s">
        <v>554</v>
      </c>
      <c r="C413" s="730"/>
      <c r="D413" s="730"/>
      <c r="E413" s="731"/>
      <c r="F413" s="516">
        <v>380</v>
      </c>
      <c r="G413" s="287">
        <f t="shared" ref="G413" si="1022">+F413*$X$1</f>
        <v>380</v>
      </c>
      <c r="H413" s="281"/>
      <c r="I413" s="281"/>
      <c r="J413" s="568"/>
      <c r="K413" s="568"/>
      <c r="L413" s="568">
        <f t="shared" si="1021"/>
        <v>500</v>
      </c>
      <c r="M413" s="287">
        <f t="shared" si="1013"/>
        <v>500</v>
      </c>
      <c r="N413" s="568">
        <f t="shared" si="1014"/>
        <v>440</v>
      </c>
      <c r="O413" s="287">
        <f t="shared" si="1015"/>
        <v>440</v>
      </c>
      <c r="P413" s="568">
        <f t="shared" si="1016"/>
        <v>430</v>
      </c>
      <c r="Q413" s="287">
        <f t="shared" si="1017"/>
        <v>430</v>
      </c>
      <c r="R413" s="568">
        <f t="shared" si="1018"/>
        <v>422</v>
      </c>
      <c r="S413" s="287">
        <f t="shared" si="1019"/>
        <v>422</v>
      </c>
      <c r="T413" s="103">
        <f>F413+34</f>
        <v>414</v>
      </c>
      <c r="U413" s="255">
        <f>+T413*$X$1</f>
        <v>414</v>
      </c>
      <c r="V413" s="103">
        <f>F413+29</f>
        <v>409</v>
      </c>
      <c r="W413" s="255">
        <f>+V413*$X$1</f>
        <v>409</v>
      </c>
      <c r="X413" s="327"/>
      <c r="Y413" s="328"/>
      <c r="Z413" s="328"/>
      <c r="AA413" s="327"/>
      <c r="AB413" s="403">
        <v>2294</v>
      </c>
      <c r="AC413" s="65"/>
    </row>
    <row r="414" spans="1:34" ht="12.6" customHeight="1" x14ac:dyDescent="0.2">
      <c r="A414" s="18"/>
      <c r="B414" s="1018" t="s">
        <v>435</v>
      </c>
      <c r="C414" s="1019"/>
      <c r="D414" s="1019"/>
      <c r="E414" s="1020"/>
      <c r="F414" s="383">
        <f>0.7*X2</f>
        <v>758.8</v>
      </c>
      <c r="G414" s="288">
        <f t="shared" ref="G414" si="1023">+F414*$X$1</f>
        <v>758.8</v>
      </c>
      <c r="H414" s="280"/>
      <c r="I414" s="280"/>
      <c r="J414" s="458"/>
      <c r="K414" s="458"/>
      <c r="L414" s="458">
        <f t="shared" si="1021"/>
        <v>878.8</v>
      </c>
      <c r="M414" s="288">
        <f t="shared" si="1013"/>
        <v>878.8</v>
      </c>
      <c r="N414" s="458">
        <f t="shared" si="1014"/>
        <v>818.8</v>
      </c>
      <c r="O414" s="288">
        <f t="shared" si="1015"/>
        <v>818.8</v>
      </c>
      <c r="P414" s="458">
        <f t="shared" si="1016"/>
        <v>808.8</v>
      </c>
      <c r="Q414" s="288">
        <f t="shared" si="1017"/>
        <v>808.8</v>
      </c>
      <c r="R414" s="458">
        <f t="shared" si="1018"/>
        <v>800.8</v>
      </c>
      <c r="S414" s="288">
        <f t="shared" si="1019"/>
        <v>800.8</v>
      </c>
      <c r="T414" s="102">
        <f>F414+34</f>
        <v>792.8</v>
      </c>
      <c r="U414" s="305">
        <f>+T414*$X$1</f>
        <v>792.8</v>
      </c>
      <c r="V414" s="102">
        <f>F414+29</f>
        <v>787.8</v>
      </c>
      <c r="W414" s="305">
        <f>+V414*$X$1</f>
        <v>787.8</v>
      </c>
      <c r="X414" s="223"/>
      <c r="Y414" s="224"/>
      <c r="Z414" s="224"/>
      <c r="AA414" s="223"/>
      <c r="AB414" s="403">
        <v>2295</v>
      </c>
      <c r="AC414" s="65"/>
    </row>
    <row r="415" spans="1:34" ht="12.6" customHeight="1" x14ac:dyDescent="0.2">
      <c r="A415" s="18"/>
      <c r="B415" s="1219" t="s">
        <v>386</v>
      </c>
      <c r="C415" s="1220"/>
      <c r="D415" s="1220"/>
      <c r="E415" s="1221"/>
      <c r="F415" s="559">
        <f>0.46*X2</f>
        <v>498.64000000000004</v>
      </c>
      <c r="G415" s="544">
        <f t="shared" ref="G415" si="1024">+F415*$X$1</f>
        <v>498.64000000000004</v>
      </c>
      <c r="H415" s="545"/>
      <c r="I415" s="545"/>
      <c r="J415" s="567"/>
      <c r="K415" s="567"/>
      <c r="L415" s="567">
        <f t="shared" si="1021"/>
        <v>618.6400000000001</v>
      </c>
      <c r="M415" s="544">
        <f t="shared" si="1013"/>
        <v>618.6400000000001</v>
      </c>
      <c r="N415" s="567">
        <f t="shared" si="1014"/>
        <v>558.6400000000001</v>
      </c>
      <c r="O415" s="544">
        <f t="shared" si="1015"/>
        <v>558.6400000000001</v>
      </c>
      <c r="P415" s="567">
        <f t="shared" si="1016"/>
        <v>548.6400000000001</v>
      </c>
      <c r="Q415" s="544">
        <f t="shared" si="1017"/>
        <v>548.6400000000001</v>
      </c>
      <c r="R415" s="567">
        <f t="shared" si="1018"/>
        <v>540.6400000000001</v>
      </c>
      <c r="S415" s="544">
        <f t="shared" si="1019"/>
        <v>540.6400000000001</v>
      </c>
      <c r="T415" s="556">
        <f>F415+34</f>
        <v>532.6400000000001</v>
      </c>
      <c r="U415" s="555">
        <f>+T415*$X$1</f>
        <v>532.6400000000001</v>
      </c>
      <c r="V415" s="556">
        <f>F415+29</f>
        <v>527.6400000000001</v>
      </c>
      <c r="W415" s="555">
        <f>+V415*$X$1</f>
        <v>527.6400000000001</v>
      </c>
      <c r="X415" s="223"/>
      <c r="Y415" s="224"/>
      <c r="Z415" s="224"/>
      <c r="AA415" s="223"/>
      <c r="AB415" s="403">
        <v>2296</v>
      </c>
      <c r="AC415" s="65"/>
    </row>
    <row r="416" spans="1:34" ht="12.6" customHeight="1" x14ac:dyDescent="0.2">
      <c r="A416" s="18"/>
      <c r="B416" s="1018" t="s">
        <v>536</v>
      </c>
      <c r="C416" s="1019"/>
      <c r="D416" s="1019"/>
      <c r="E416" s="1020"/>
      <c r="F416" s="383">
        <f>0.566*X2</f>
        <v>613.54399999999998</v>
      </c>
      <c r="G416" s="288">
        <f t="shared" ref="G416" si="1025">+F416*$X$1</f>
        <v>613.54399999999998</v>
      </c>
      <c r="H416" s="280"/>
      <c r="I416" s="280"/>
      <c r="J416" s="458"/>
      <c r="K416" s="288"/>
      <c r="L416" s="458">
        <f t="shared" si="1021"/>
        <v>733.54399999999998</v>
      </c>
      <c r="M416" s="288">
        <f t="shared" si="1013"/>
        <v>733.54399999999998</v>
      </c>
      <c r="N416" s="458">
        <f t="shared" si="1014"/>
        <v>673.54399999999998</v>
      </c>
      <c r="O416" s="288">
        <f t="shared" si="1015"/>
        <v>673.54399999999998</v>
      </c>
      <c r="P416" s="458">
        <f t="shared" si="1016"/>
        <v>663.54399999999998</v>
      </c>
      <c r="Q416" s="288">
        <f t="shared" si="1017"/>
        <v>663.54399999999998</v>
      </c>
      <c r="R416" s="458">
        <f t="shared" si="1018"/>
        <v>655.54399999999998</v>
      </c>
      <c r="S416" s="288">
        <f t="shared" si="1019"/>
        <v>655.54399999999998</v>
      </c>
      <c r="T416" s="102">
        <f>F416+34</f>
        <v>647.54399999999998</v>
      </c>
      <c r="U416" s="305">
        <f>+T416*$X$1</f>
        <v>647.54399999999998</v>
      </c>
      <c r="V416" s="102">
        <f>F416+29</f>
        <v>642.54399999999998</v>
      </c>
      <c r="W416" s="305">
        <f>+V416*$X$1</f>
        <v>642.54399999999998</v>
      </c>
      <c r="X416" s="313"/>
      <c r="Y416" s="314"/>
      <c r="Z416" s="314"/>
      <c r="AA416" s="313"/>
      <c r="AB416" s="403">
        <v>2299</v>
      </c>
      <c r="AC416" s="65"/>
    </row>
    <row r="417" spans="1:29" ht="12.6" customHeight="1" x14ac:dyDescent="0.2">
      <c r="A417" s="18"/>
      <c r="B417" s="732" t="s">
        <v>886</v>
      </c>
      <c r="C417" s="733"/>
      <c r="D417" s="733"/>
      <c r="E417" s="734"/>
      <c r="F417" s="379">
        <f>1.863*X2</f>
        <v>2019.492</v>
      </c>
      <c r="G417" s="287">
        <f>+F417*$X$1</f>
        <v>2019.492</v>
      </c>
      <c r="H417" s="392">
        <f>F417+400</f>
        <v>2419.4920000000002</v>
      </c>
      <c r="I417" s="287">
        <f t="shared" ref="I417" si="1026">+H417*$X$1</f>
        <v>2419.4920000000002</v>
      </c>
      <c r="J417" s="568">
        <f t="shared" ref="J417" si="1027">F417+180</f>
        <v>2199.4920000000002</v>
      </c>
      <c r="K417" s="287">
        <f t="shared" ref="K417" si="1028">+J417*$X$1</f>
        <v>2199.4920000000002</v>
      </c>
      <c r="L417" s="568">
        <f t="shared" si="1021"/>
        <v>2139.4920000000002</v>
      </c>
      <c r="M417" s="287">
        <f t="shared" ref="M417" si="1029">+L417*$X$1</f>
        <v>2139.4920000000002</v>
      </c>
      <c r="N417" s="568">
        <f t="shared" ref="N417" si="1030">F417+61</f>
        <v>2080.4920000000002</v>
      </c>
      <c r="O417" s="287">
        <f t="shared" ref="O417" si="1031">+N417*$X$1</f>
        <v>2080.4920000000002</v>
      </c>
      <c r="P417" s="568">
        <f t="shared" ref="P417" si="1032">F417+54</f>
        <v>2073.4920000000002</v>
      </c>
      <c r="Q417" s="287">
        <f t="shared" ref="Q417" si="1033">+P417*$X$1</f>
        <v>2073.4920000000002</v>
      </c>
      <c r="R417" s="568">
        <f t="shared" ref="R417" si="1034">F417+47</f>
        <v>2066.4920000000002</v>
      </c>
      <c r="S417" s="287">
        <f t="shared" ref="S417" si="1035">+R417*$X$1</f>
        <v>2066.4920000000002</v>
      </c>
      <c r="T417" s="568">
        <f t="shared" ref="T417" si="1036">F417+38</f>
        <v>2057.4920000000002</v>
      </c>
      <c r="U417" s="287">
        <f t="shared" ref="U417" si="1037">+T417*$X$1</f>
        <v>2057.4920000000002</v>
      </c>
      <c r="V417" s="568">
        <f t="shared" ref="V417" si="1038">F417+33</f>
        <v>2052.4920000000002</v>
      </c>
      <c r="W417" s="287">
        <f t="shared" ref="W417" si="1039">+V417*$X$1</f>
        <v>2052.4920000000002</v>
      </c>
      <c r="X417" s="687"/>
      <c r="Y417" s="867"/>
      <c r="Z417" s="867"/>
      <c r="AA417" s="689"/>
      <c r="AB417" s="403">
        <v>2310</v>
      </c>
      <c r="AC417" s="65"/>
    </row>
    <row r="418" spans="1:29" ht="12.6" customHeight="1" x14ac:dyDescent="0.2">
      <c r="A418" s="18"/>
      <c r="B418" s="694" t="s">
        <v>425</v>
      </c>
      <c r="C418" s="1053"/>
      <c r="D418" s="1053"/>
      <c r="E418" s="1053"/>
      <c r="F418" s="380">
        <f>1.33*X2</f>
        <v>1441.72</v>
      </c>
      <c r="G418" s="288">
        <f>+F418*$X$1</f>
        <v>1441.72</v>
      </c>
      <c r="H418" s="100">
        <f>F418+400</f>
        <v>1841.72</v>
      </c>
      <c r="I418" s="288">
        <f>+H418*$X$1</f>
        <v>1841.72</v>
      </c>
      <c r="J418" s="458">
        <f>F418+180</f>
        <v>1621.72</v>
      </c>
      <c r="K418" s="288">
        <f>+J418*$X$1</f>
        <v>1621.72</v>
      </c>
      <c r="L418" s="458">
        <f t="shared" si="1021"/>
        <v>1561.72</v>
      </c>
      <c r="M418" s="288">
        <f>+L418*$X$1</f>
        <v>1561.72</v>
      </c>
      <c r="N418" s="458">
        <f>F418+61</f>
        <v>1502.72</v>
      </c>
      <c r="O418" s="288">
        <f>+N418*$X$1</f>
        <v>1502.72</v>
      </c>
      <c r="P418" s="458">
        <f>F418+54</f>
        <v>1495.72</v>
      </c>
      <c r="Q418" s="288">
        <f>+P418*$X$1</f>
        <v>1495.72</v>
      </c>
      <c r="R418" s="458">
        <f>F418+47</f>
        <v>1488.72</v>
      </c>
      <c r="S418" s="288">
        <f>+R418*$X$1</f>
        <v>1488.72</v>
      </c>
      <c r="T418" s="458">
        <f>F418+38</f>
        <v>1479.72</v>
      </c>
      <c r="U418" s="288">
        <f>+T418*$X$1</f>
        <v>1479.72</v>
      </c>
      <c r="V418" s="458">
        <f>F418+33</f>
        <v>1474.72</v>
      </c>
      <c r="W418" s="288">
        <f>+V418*$X$1</f>
        <v>1474.72</v>
      </c>
      <c r="X418" s="687"/>
      <c r="Y418" s="867"/>
      <c r="Z418" s="867"/>
      <c r="AA418" s="689"/>
      <c r="AB418" s="403">
        <v>2322</v>
      </c>
      <c r="AC418" s="65"/>
    </row>
    <row r="419" spans="1:29" ht="12.6" customHeight="1" x14ac:dyDescent="0.2">
      <c r="A419" s="18"/>
      <c r="B419" s="735" t="s">
        <v>923</v>
      </c>
      <c r="C419" s="1070"/>
      <c r="D419" s="1070"/>
      <c r="E419" s="1070"/>
      <c r="F419" s="379">
        <f>1.33*X2</f>
        <v>1441.72</v>
      </c>
      <c r="G419" s="287">
        <f>+F419*$X$1</f>
        <v>1441.72</v>
      </c>
      <c r="H419" s="392">
        <f>F419+400</f>
        <v>1841.72</v>
      </c>
      <c r="I419" s="287">
        <f t="shared" ref="I419" si="1040">+H419*$X$1</f>
        <v>1841.72</v>
      </c>
      <c r="J419" s="600">
        <f t="shared" ref="J419" si="1041">F419+180</f>
        <v>1621.72</v>
      </c>
      <c r="K419" s="287">
        <f t="shared" ref="K419" si="1042">+J419*$X$1</f>
        <v>1621.72</v>
      </c>
      <c r="L419" s="600">
        <f t="shared" ref="L419" si="1043">F419+120</f>
        <v>1561.72</v>
      </c>
      <c r="M419" s="287">
        <f t="shared" ref="M419" si="1044">+L419*$X$1</f>
        <v>1561.72</v>
      </c>
      <c r="N419" s="600">
        <f t="shared" ref="N419" si="1045">F419+61</f>
        <v>1502.72</v>
      </c>
      <c r="O419" s="287">
        <f t="shared" ref="O419" si="1046">+N419*$X$1</f>
        <v>1502.72</v>
      </c>
      <c r="P419" s="600">
        <f t="shared" ref="P419" si="1047">F419+54</f>
        <v>1495.72</v>
      </c>
      <c r="Q419" s="287">
        <f t="shared" ref="Q419" si="1048">+P419*$X$1</f>
        <v>1495.72</v>
      </c>
      <c r="R419" s="600">
        <f t="shared" ref="R419" si="1049">F419+47</f>
        <v>1488.72</v>
      </c>
      <c r="S419" s="287">
        <f t="shared" ref="S419" si="1050">+R419*$X$1</f>
        <v>1488.72</v>
      </c>
      <c r="T419" s="600">
        <f t="shared" ref="T419" si="1051">F419+38</f>
        <v>1479.72</v>
      </c>
      <c r="U419" s="287">
        <f t="shared" ref="U419" si="1052">+T419*$X$1</f>
        <v>1479.72</v>
      </c>
      <c r="V419" s="600">
        <f t="shared" ref="V419" si="1053">F419+33</f>
        <v>1474.72</v>
      </c>
      <c r="W419" s="287">
        <f t="shared" ref="W419" si="1054">+V419*$X$1</f>
        <v>1474.72</v>
      </c>
      <c r="X419" s="687"/>
      <c r="Y419" s="867"/>
      <c r="Z419" s="867"/>
      <c r="AA419" s="689"/>
      <c r="AB419" s="403" t="s">
        <v>945</v>
      </c>
      <c r="AC419" s="65"/>
    </row>
    <row r="420" spans="1:29" ht="12.6" customHeight="1" x14ac:dyDescent="0.2">
      <c r="A420" s="18"/>
      <c r="B420" s="694" t="s">
        <v>839</v>
      </c>
      <c r="C420" s="1053"/>
      <c r="D420" s="1053"/>
      <c r="E420" s="1053"/>
      <c r="F420" s="380">
        <f>1.71*X2</f>
        <v>1853.6399999999999</v>
      </c>
      <c r="G420" s="288">
        <f>+F420*$X$1</f>
        <v>1853.6399999999999</v>
      </c>
      <c r="H420" s="100">
        <f t="shared" ref="H420" si="1055">F420+360</f>
        <v>2213.64</v>
      </c>
      <c r="I420" s="288">
        <f t="shared" ref="I420:I421" si="1056">+H420*$X$1</f>
        <v>2213.64</v>
      </c>
      <c r="J420" s="458">
        <f t="shared" ref="J420" si="1057">F420+180</f>
        <v>2033.6399999999999</v>
      </c>
      <c r="K420" s="288">
        <f t="shared" ref="K420:K421" si="1058">+J420*$X$1</f>
        <v>2033.6399999999999</v>
      </c>
      <c r="L420" s="458">
        <f t="shared" ref="L420" si="1059">F420+120</f>
        <v>1973.6399999999999</v>
      </c>
      <c r="M420" s="288">
        <f>+L420*$X$1</f>
        <v>1973.6399999999999</v>
      </c>
      <c r="N420" s="458">
        <f t="shared" ref="N420" si="1060">F420+61</f>
        <v>1914.6399999999999</v>
      </c>
      <c r="O420" s="288">
        <f>+N420*$X$1</f>
        <v>1914.6399999999999</v>
      </c>
      <c r="P420" s="458">
        <f t="shared" ref="P420" si="1061">F420+54</f>
        <v>1907.6399999999999</v>
      </c>
      <c r="Q420" s="288">
        <f>+P420*$X$1</f>
        <v>1907.6399999999999</v>
      </c>
      <c r="R420" s="458">
        <f t="shared" ref="R420" si="1062">F420+47</f>
        <v>1900.6399999999999</v>
      </c>
      <c r="S420" s="288">
        <f>+R420*$X$1</f>
        <v>1900.6399999999999</v>
      </c>
      <c r="T420" s="458">
        <f t="shared" ref="T420" si="1063">F420+38</f>
        <v>1891.6399999999999</v>
      </c>
      <c r="U420" s="288">
        <f>+T420*$X$1</f>
        <v>1891.6399999999999</v>
      </c>
      <c r="V420" s="458">
        <f t="shared" ref="V420" si="1064">F420+33</f>
        <v>1886.6399999999999</v>
      </c>
      <c r="W420" s="288">
        <f>+V420*$X$1</f>
        <v>1886.6399999999999</v>
      </c>
      <c r="X420" s="687"/>
      <c r="Y420" s="867"/>
      <c r="Z420" s="867"/>
      <c r="AA420" s="689"/>
      <c r="AB420" s="403">
        <v>2327</v>
      </c>
      <c r="AC420" s="65"/>
    </row>
    <row r="421" spans="1:29" ht="12.6" customHeight="1" x14ac:dyDescent="0.2">
      <c r="A421" s="18"/>
      <c r="B421" s="1060" t="s">
        <v>251</v>
      </c>
      <c r="C421" s="1244"/>
      <c r="D421" s="1244"/>
      <c r="E421" s="1245"/>
      <c r="F421" s="613">
        <f>3.407*X2</f>
        <v>3693.1880000000001</v>
      </c>
      <c r="G421" s="615">
        <f>+F421*$X$1</f>
        <v>3693.1880000000001</v>
      </c>
      <c r="H421" s="616">
        <f>F421+500</f>
        <v>4193.1880000000001</v>
      </c>
      <c r="I421" s="615">
        <f t="shared" si="1056"/>
        <v>4193.1880000000001</v>
      </c>
      <c r="J421" s="616">
        <f>F421+210</f>
        <v>3903.1880000000001</v>
      </c>
      <c r="K421" s="615">
        <f t="shared" si="1058"/>
        <v>3903.1880000000001</v>
      </c>
      <c r="L421" s="616">
        <f>F421+170</f>
        <v>3863.1880000000001</v>
      </c>
      <c r="M421" s="615">
        <f>+L421*$X$1</f>
        <v>3863.1880000000001</v>
      </c>
      <c r="N421" s="616">
        <f>F421+130</f>
        <v>3823.1880000000001</v>
      </c>
      <c r="O421" s="615">
        <f>+N421*$X$1</f>
        <v>3823.1880000000001</v>
      </c>
      <c r="P421" s="616">
        <f>F421+100</f>
        <v>3793.1880000000001</v>
      </c>
      <c r="Q421" s="615">
        <f>+P421*$X$1</f>
        <v>3793.1880000000001</v>
      </c>
      <c r="R421" s="616">
        <f>F421+80</f>
        <v>3773.1880000000001</v>
      </c>
      <c r="S421" s="615">
        <f>+R421*$X$1</f>
        <v>3773.1880000000001</v>
      </c>
      <c r="T421" s="616">
        <f>F421+65</f>
        <v>3758.1880000000001</v>
      </c>
      <c r="U421" s="615">
        <f>+T421*$X$1</f>
        <v>3758.1880000000001</v>
      </c>
      <c r="V421" s="616">
        <f>F421+50</f>
        <v>3743.1880000000001</v>
      </c>
      <c r="W421" s="615">
        <f>+V421*$X$1</f>
        <v>3743.1880000000001</v>
      </c>
      <c r="X421" s="687"/>
      <c r="Y421" s="867"/>
      <c r="Z421" s="867"/>
      <c r="AA421" s="689"/>
      <c r="AB421" s="403">
        <v>2330</v>
      </c>
      <c r="AC421" s="65"/>
    </row>
    <row r="422" spans="1:29" ht="12.6" customHeight="1" x14ac:dyDescent="0.2">
      <c r="A422" s="104"/>
      <c r="B422" s="679" t="s">
        <v>911</v>
      </c>
      <c r="C422" s="680"/>
      <c r="D422" s="680"/>
      <c r="E422" s="681"/>
      <c r="F422" s="380">
        <f>1.3*X2</f>
        <v>1409.2</v>
      </c>
      <c r="G422" s="288">
        <f t="shared" ref="G422" si="1065">+F422*$X$1</f>
        <v>1409.2</v>
      </c>
      <c r="H422" s="458">
        <f>F422+500</f>
        <v>1909.2</v>
      </c>
      <c r="I422" s="288">
        <f t="shared" ref="I422" si="1066">+H422*$X$1</f>
        <v>1909.2</v>
      </c>
      <c r="J422" s="458">
        <f>F422+210</f>
        <v>1619.2</v>
      </c>
      <c r="K422" s="288">
        <f t="shared" ref="K422" si="1067">+J422*$X$1</f>
        <v>1619.2</v>
      </c>
      <c r="L422" s="458">
        <f>F422+170</f>
        <v>1579.2</v>
      </c>
      <c r="M422" s="288">
        <f t="shared" ref="M422" si="1068">+L422*$X$1</f>
        <v>1579.2</v>
      </c>
      <c r="N422" s="458">
        <f>F422+130</f>
        <v>1539.2</v>
      </c>
      <c r="O422" s="288">
        <f t="shared" ref="O422" si="1069">+N422*$X$1</f>
        <v>1539.2</v>
      </c>
      <c r="P422" s="458">
        <f>F422+100</f>
        <v>1509.2</v>
      </c>
      <c r="Q422" s="288">
        <f t="shared" ref="Q422" si="1070">+P422*$X$1</f>
        <v>1509.2</v>
      </c>
      <c r="R422" s="458">
        <f>F422+80</f>
        <v>1489.2</v>
      </c>
      <c r="S422" s="288">
        <f t="shared" ref="S422" si="1071">+R422*$X$1</f>
        <v>1489.2</v>
      </c>
      <c r="T422" s="458">
        <f>F422+65</f>
        <v>1474.2</v>
      </c>
      <c r="U422" s="288">
        <f t="shared" ref="U422" si="1072">+T422*$X$1</f>
        <v>1474.2</v>
      </c>
      <c r="V422" s="458">
        <f>F422+50</f>
        <v>1459.2</v>
      </c>
      <c r="W422" s="288">
        <f t="shared" ref="W422" si="1073">+V422*$X$1</f>
        <v>1459.2</v>
      </c>
      <c r="X422" s="687"/>
      <c r="Y422" s="867"/>
      <c r="Z422" s="867"/>
      <c r="AA422" s="689"/>
      <c r="AB422" s="403">
        <v>2331</v>
      </c>
      <c r="AC422" s="65"/>
    </row>
    <row r="423" spans="1:29" ht="12.6" customHeight="1" x14ac:dyDescent="0.2">
      <c r="A423" s="104"/>
      <c r="B423" s="679" t="s">
        <v>905</v>
      </c>
      <c r="C423" s="680"/>
      <c r="D423" s="680"/>
      <c r="E423" s="681"/>
      <c r="F423" s="613">
        <f>5.4*X2</f>
        <v>5853.6</v>
      </c>
      <c r="G423" s="615">
        <f t="shared" ref="G423" si="1074">+F423*$X$1</f>
        <v>5853.6</v>
      </c>
      <c r="H423" s="616">
        <f>F423+800</f>
        <v>6653.6</v>
      </c>
      <c r="I423" s="615">
        <f t="shared" ref="I423" si="1075">+H423*$X$1</f>
        <v>6653.6</v>
      </c>
      <c r="J423" s="616">
        <f>F423+320</f>
        <v>6173.6</v>
      </c>
      <c r="K423" s="615">
        <f t="shared" ref="K423" si="1076">+J423*$X$1</f>
        <v>6173.6</v>
      </c>
      <c r="L423" s="616">
        <f>F423+260</f>
        <v>6113.6</v>
      </c>
      <c r="M423" s="615">
        <f t="shared" ref="M423" si="1077">+L423*$X$1</f>
        <v>6113.6</v>
      </c>
      <c r="N423" s="616">
        <f>F423+200</f>
        <v>6053.6</v>
      </c>
      <c r="O423" s="615">
        <f t="shared" ref="O423" si="1078">+N423*$X$1</f>
        <v>6053.6</v>
      </c>
      <c r="P423" s="616">
        <f>F423+150</f>
        <v>6003.6</v>
      </c>
      <c r="Q423" s="615">
        <f t="shared" ref="Q423" si="1079">+P423*$X$1</f>
        <v>6003.6</v>
      </c>
      <c r="R423" s="616">
        <f>F423+120</f>
        <v>5973.6</v>
      </c>
      <c r="S423" s="615">
        <f t="shared" ref="S423" si="1080">+R423*$X$1</f>
        <v>5973.6</v>
      </c>
      <c r="T423" s="616">
        <f>F423+100</f>
        <v>5953.6</v>
      </c>
      <c r="U423" s="615">
        <f t="shared" ref="U423" si="1081">+T423*$X$1</f>
        <v>5953.6</v>
      </c>
      <c r="V423" s="616">
        <f>F423+75</f>
        <v>5928.6</v>
      </c>
      <c r="W423" s="615">
        <f t="shared" ref="W423" si="1082">+V423*$X$1</f>
        <v>5928.6</v>
      </c>
      <c r="X423" s="687"/>
      <c r="Y423" s="867"/>
      <c r="Z423" s="867"/>
      <c r="AA423" s="689"/>
      <c r="AB423" s="403">
        <v>2332</v>
      </c>
      <c r="AC423" s="65"/>
    </row>
    <row r="424" spans="1:29" ht="12.6" customHeight="1" x14ac:dyDescent="0.2">
      <c r="A424" s="104"/>
      <c r="B424" s="699" t="s">
        <v>387</v>
      </c>
      <c r="C424" s="740"/>
      <c r="D424" s="740"/>
      <c r="E424" s="741"/>
      <c r="F424" s="380">
        <f>1.2*X2</f>
        <v>1300.8</v>
      </c>
      <c r="G424" s="288">
        <f t="shared" ref="G424" si="1083">+F424*$X$1</f>
        <v>1300.8</v>
      </c>
      <c r="H424" s="458">
        <f>F424+500</f>
        <v>1800.8</v>
      </c>
      <c r="I424" s="288">
        <f>+H424*$X$1</f>
        <v>1800.8</v>
      </c>
      <c r="J424" s="458">
        <f>F424+210</f>
        <v>1510.8</v>
      </c>
      <c r="K424" s="288">
        <f>+J424*$X$1</f>
        <v>1510.8</v>
      </c>
      <c r="L424" s="458">
        <f>F424+170</f>
        <v>1470.8</v>
      </c>
      <c r="M424" s="288">
        <f>+L424*$X$1</f>
        <v>1470.8</v>
      </c>
      <c r="N424" s="458">
        <f>F424+130</f>
        <v>1430.8</v>
      </c>
      <c r="O424" s="288">
        <f>+N424*$X$1</f>
        <v>1430.8</v>
      </c>
      <c r="P424" s="458">
        <f>F424+100</f>
        <v>1400.8</v>
      </c>
      <c r="Q424" s="288">
        <f>+P424*$X$1</f>
        <v>1400.8</v>
      </c>
      <c r="R424" s="458">
        <f>F424+80</f>
        <v>1380.8</v>
      </c>
      <c r="S424" s="288">
        <f>+R424*$X$1</f>
        <v>1380.8</v>
      </c>
      <c r="T424" s="458">
        <f>F424+65</f>
        <v>1365.8</v>
      </c>
      <c r="U424" s="288">
        <f>+T424*$X$1</f>
        <v>1365.8</v>
      </c>
      <c r="V424" s="458">
        <f>F424+50</f>
        <v>1350.8</v>
      </c>
      <c r="W424" s="288">
        <f>+V424*$X$1</f>
        <v>1350.8</v>
      </c>
      <c r="X424" s="687"/>
      <c r="Y424" s="867"/>
      <c r="Z424" s="867"/>
      <c r="AA424" s="689"/>
      <c r="AB424" s="403">
        <v>2334</v>
      </c>
      <c r="AC424" s="65"/>
    </row>
    <row r="425" spans="1:29" ht="12.6" customHeight="1" x14ac:dyDescent="0.2">
      <c r="A425" s="104"/>
      <c r="B425" s="1050" t="s">
        <v>252</v>
      </c>
      <c r="C425" s="1051"/>
      <c r="D425" s="1051"/>
      <c r="E425" s="1052"/>
      <c r="F425" s="617">
        <f>1.4*X2</f>
        <v>1517.6</v>
      </c>
      <c r="G425" s="628">
        <f t="shared" ref="G425" si="1084">+F425*$X$1</f>
        <v>1517.6</v>
      </c>
      <c r="H425" s="616">
        <f>F425+500</f>
        <v>2017.6</v>
      </c>
      <c r="I425" s="615">
        <f t="shared" ref="I425" si="1085">+H425*$X$1</f>
        <v>2017.6</v>
      </c>
      <c r="J425" s="616">
        <f>F425+210</f>
        <v>1727.6</v>
      </c>
      <c r="K425" s="615">
        <f t="shared" ref="K425" si="1086">+J425*$X$1</f>
        <v>1727.6</v>
      </c>
      <c r="L425" s="616">
        <f>F425+170</f>
        <v>1687.6</v>
      </c>
      <c r="M425" s="615">
        <f t="shared" ref="M425" si="1087">+L425*$X$1</f>
        <v>1687.6</v>
      </c>
      <c r="N425" s="616">
        <f>F425+130</f>
        <v>1647.6</v>
      </c>
      <c r="O425" s="615">
        <f t="shared" ref="O425" si="1088">+N425*$X$1</f>
        <v>1647.6</v>
      </c>
      <c r="P425" s="616">
        <f>F425+100</f>
        <v>1617.6</v>
      </c>
      <c r="Q425" s="615">
        <f t="shared" ref="Q425" si="1089">+P425*$X$1</f>
        <v>1617.6</v>
      </c>
      <c r="R425" s="616">
        <f>F425+80</f>
        <v>1597.6</v>
      </c>
      <c r="S425" s="615">
        <f t="shared" ref="S425" si="1090">+R425*$X$1</f>
        <v>1597.6</v>
      </c>
      <c r="T425" s="616">
        <f>F425+65</f>
        <v>1582.6</v>
      </c>
      <c r="U425" s="615">
        <f t="shared" ref="U425" si="1091">+T425*$X$1</f>
        <v>1582.6</v>
      </c>
      <c r="V425" s="616">
        <f>F425+50</f>
        <v>1567.6</v>
      </c>
      <c r="W425" s="615">
        <f t="shared" ref="W425" si="1092">+V425*$X$1</f>
        <v>1567.6</v>
      </c>
      <c r="X425" s="687"/>
      <c r="Y425" s="867"/>
      <c r="Z425" s="867"/>
      <c r="AA425" s="689"/>
      <c r="AB425" s="417">
        <v>2336</v>
      </c>
      <c r="AC425" s="65"/>
    </row>
    <row r="426" spans="1:29" ht="12.6" customHeight="1" x14ac:dyDescent="0.2">
      <c r="A426" s="18"/>
      <c r="B426" s="699" t="s">
        <v>253</v>
      </c>
      <c r="C426" s="740"/>
      <c r="D426" s="740"/>
      <c r="E426" s="741"/>
      <c r="F426" s="380">
        <f>1.36*X2</f>
        <v>1474.24</v>
      </c>
      <c r="G426" s="288">
        <f>+F426*$X$1</f>
        <v>1474.24</v>
      </c>
      <c r="H426" s="100">
        <f>F426+400</f>
        <v>1874.24</v>
      </c>
      <c r="I426" s="288">
        <f t="shared" ref="I426:I432" si="1093">+H426*$X$1</f>
        <v>1874.24</v>
      </c>
      <c r="J426" s="458">
        <f t="shared" ref="J426:J432" si="1094">F426+180</f>
        <v>1654.24</v>
      </c>
      <c r="K426" s="288">
        <f t="shared" ref="K426:K432" si="1095">+J426*$X$1</f>
        <v>1654.24</v>
      </c>
      <c r="L426" s="458">
        <f t="shared" ref="L426:L432" si="1096">F426+120</f>
        <v>1594.24</v>
      </c>
      <c r="M426" s="288">
        <f t="shared" ref="M426:M432" si="1097">+L426*$X$1</f>
        <v>1594.24</v>
      </c>
      <c r="N426" s="458">
        <f t="shared" ref="N426:N432" si="1098">F426+61</f>
        <v>1535.24</v>
      </c>
      <c r="O426" s="288">
        <f t="shared" ref="O426:O432" si="1099">+N426*$X$1</f>
        <v>1535.24</v>
      </c>
      <c r="P426" s="458">
        <f t="shared" ref="P426:P432" si="1100">F426+54</f>
        <v>1528.24</v>
      </c>
      <c r="Q426" s="288">
        <f t="shared" ref="Q426:Q432" si="1101">+P426*$X$1</f>
        <v>1528.24</v>
      </c>
      <c r="R426" s="458">
        <f t="shared" ref="R426:R432" si="1102">F426+47</f>
        <v>1521.24</v>
      </c>
      <c r="S426" s="288">
        <f t="shared" ref="S426:S432" si="1103">+R426*$X$1</f>
        <v>1521.24</v>
      </c>
      <c r="T426" s="458">
        <f>F426+38</f>
        <v>1512.24</v>
      </c>
      <c r="U426" s="288">
        <f t="shared" ref="U426:U432" si="1104">+T426*$X$1</f>
        <v>1512.24</v>
      </c>
      <c r="V426" s="458">
        <f>F426+33</f>
        <v>1507.24</v>
      </c>
      <c r="W426" s="288">
        <f t="shared" ref="W426:W432" si="1105">+V426*$X$1</f>
        <v>1507.24</v>
      </c>
      <c r="X426" s="687"/>
      <c r="Y426" s="867"/>
      <c r="Z426" s="867"/>
      <c r="AA426" s="689"/>
      <c r="AB426" s="403">
        <v>2337</v>
      </c>
      <c r="AC426" s="65"/>
    </row>
    <row r="427" spans="1:29" ht="12.6" customHeight="1" x14ac:dyDescent="0.2">
      <c r="A427" s="18"/>
      <c r="B427" s="1060" t="s">
        <v>254</v>
      </c>
      <c r="C427" s="1061"/>
      <c r="D427" s="1061"/>
      <c r="E427" s="1062"/>
      <c r="F427" s="613">
        <f>1.84*X2</f>
        <v>1994.5600000000002</v>
      </c>
      <c r="G427" s="615">
        <f t="shared" ref="G427" si="1106">+F427*$X$1</f>
        <v>1994.5600000000002</v>
      </c>
      <c r="H427" s="614">
        <f>F427+400</f>
        <v>2394.5600000000004</v>
      </c>
      <c r="I427" s="615">
        <f t="shared" si="1093"/>
        <v>2394.5600000000004</v>
      </c>
      <c r="J427" s="616">
        <f t="shared" si="1094"/>
        <v>2174.5600000000004</v>
      </c>
      <c r="K427" s="615">
        <f t="shared" si="1095"/>
        <v>2174.5600000000004</v>
      </c>
      <c r="L427" s="616">
        <f t="shared" si="1096"/>
        <v>2114.5600000000004</v>
      </c>
      <c r="M427" s="615">
        <f t="shared" si="1097"/>
        <v>2114.5600000000004</v>
      </c>
      <c r="N427" s="616">
        <f t="shared" si="1098"/>
        <v>2055.5600000000004</v>
      </c>
      <c r="O427" s="615">
        <f t="shared" si="1099"/>
        <v>2055.5600000000004</v>
      </c>
      <c r="P427" s="616">
        <f t="shared" si="1100"/>
        <v>2048.5600000000004</v>
      </c>
      <c r="Q427" s="615">
        <f t="shared" si="1101"/>
        <v>2048.5600000000004</v>
      </c>
      <c r="R427" s="616">
        <f t="shared" si="1102"/>
        <v>2041.5600000000002</v>
      </c>
      <c r="S427" s="615">
        <f t="shared" si="1103"/>
        <v>2041.5600000000002</v>
      </c>
      <c r="T427" s="616">
        <f>F427+38</f>
        <v>2032.5600000000002</v>
      </c>
      <c r="U427" s="615">
        <f t="shared" si="1104"/>
        <v>2032.5600000000002</v>
      </c>
      <c r="V427" s="616">
        <f>F427+33</f>
        <v>2027.5600000000002</v>
      </c>
      <c r="W427" s="615">
        <f t="shared" si="1105"/>
        <v>2027.5600000000002</v>
      </c>
      <c r="X427" s="687"/>
      <c r="Y427" s="867"/>
      <c r="Z427" s="867"/>
      <c r="AA427" s="689"/>
      <c r="AB427" s="403">
        <v>2338</v>
      </c>
      <c r="AC427" s="65"/>
    </row>
    <row r="428" spans="1:29" ht="12.6" customHeight="1" x14ac:dyDescent="0.2">
      <c r="A428" s="18"/>
      <c r="B428" s="699" t="s">
        <v>325</v>
      </c>
      <c r="C428" s="740"/>
      <c r="D428" s="740"/>
      <c r="E428" s="741"/>
      <c r="F428" s="619">
        <f>1.3*X2</f>
        <v>1409.2</v>
      </c>
      <c r="G428" s="288">
        <f>+F428*$X$1</f>
        <v>1409.2</v>
      </c>
      <c r="H428" s="100">
        <f>F428+400</f>
        <v>1809.2</v>
      </c>
      <c r="I428" s="288">
        <f t="shared" si="1093"/>
        <v>1809.2</v>
      </c>
      <c r="J428" s="458">
        <f t="shared" si="1094"/>
        <v>1589.2</v>
      </c>
      <c r="K428" s="288">
        <f t="shared" si="1095"/>
        <v>1589.2</v>
      </c>
      <c r="L428" s="458">
        <f t="shared" si="1096"/>
        <v>1529.2</v>
      </c>
      <c r="M428" s="288">
        <f t="shared" si="1097"/>
        <v>1529.2</v>
      </c>
      <c r="N428" s="458">
        <f t="shared" si="1098"/>
        <v>1470.2</v>
      </c>
      <c r="O428" s="288">
        <f t="shared" si="1099"/>
        <v>1470.2</v>
      </c>
      <c r="P428" s="458">
        <f t="shared" si="1100"/>
        <v>1463.2</v>
      </c>
      <c r="Q428" s="288">
        <f t="shared" si="1101"/>
        <v>1463.2</v>
      </c>
      <c r="R428" s="458">
        <f t="shared" si="1102"/>
        <v>1456.2</v>
      </c>
      <c r="S428" s="288">
        <f t="shared" si="1103"/>
        <v>1456.2</v>
      </c>
      <c r="T428" s="458">
        <f>F428+38</f>
        <v>1447.2</v>
      </c>
      <c r="U428" s="288">
        <f t="shared" si="1104"/>
        <v>1447.2</v>
      </c>
      <c r="V428" s="458">
        <f>F428+33</f>
        <v>1442.2</v>
      </c>
      <c r="W428" s="288">
        <f t="shared" si="1105"/>
        <v>1442.2</v>
      </c>
      <c r="X428" s="173"/>
      <c r="Y428" s="176"/>
      <c r="Z428" s="176"/>
      <c r="AA428" s="175"/>
      <c r="AB428" s="403">
        <v>2340</v>
      </c>
      <c r="AC428" s="65"/>
    </row>
    <row r="429" spans="1:29" ht="12.6" customHeight="1" x14ac:dyDescent="0.2">
      <c r="A429" s="18"/>
      <c r="B429" s="732" t="s">
        <v>933</v>
      </c>
      <c r="C429" s="733"/>
      <c r="D429" s="733"/>
      <c r="E429" s="734"/>
      <c r="F429" s="613">
        <f>6.96*X2</f>
        <v>7544.64</v>
      </c>
      <c r="G429" s="615">
        <f t="shared" ref="G429" si="1107">+F429*$X$1</f>
        <v>7544.64</v>
      </c>
      <c r="H429" s="616">
        <f>F429+550</f>
        <v>8094.64</v>
      </c>
      <c r="I429" s="615">
        <f t="shared" si="1093"/>
        <v>8094.64</v>
      </c>
      <c r="J429" s="616">
        <f>F429+300</f>
        <v>7844.64</v>
      </c>
      <c r="K429" s="615">
        <f t="shared" si="1095"/>
        <v>7844.64</v>
      </c>
      <c r="L429" s="616">
        <f>F429+200</f>
        <v>7744.64</v>
      </c>
      <c r="M429" s="615">
        <f t="shared" si="1097"/>
        <v>7744.64</v>
      </c>
      <c r="N429" s="616">
        <f>F429+110</f>
        <v>7654.64</v>
      </c>
      <c r="O429" s="615">
        <f>+N429*$X$1</f>
        <v>7654.64</v>
      </c>
      <c r="P429" s="616">
        <f>F429+90</f>
        <v>7634.64</v>
      </c>
      <c r="Q429" s="615">
        <f t="shared" si="1101"/>
        <v>7634.64</v>
      </c>
      <c r="R429" s="616">
        <f>F429+80</f>
        <v>7624.64</v>
      </c>
      <c r="S429" s="615">
        <f>+R429*$X$1</f>
        <v>7624.64</v>
      </c>
      <c r="T429" s="616">
        <f>F429+65</f>
        <v>7609.64</v>
      </c>
      <c r="U429" s="615">
        <f t="shared" si="1104"/>
        <v>7609.64</v>
      </c>
      <c r="V429" s="616">
        <f>F429+55</f>
        <v>7599.64</v>
      </c>
      <c r="W429" s="618">
        <f t="shared" si="1105"/>
        <v>7599.64</v>
      </c>
      <c r="X429" s="587"/>
      <c r="Y429" s="588"/>
      <c r="Z429" s="588"/>
      <c r="AA429" s="589"/>
      <c r="AB429" s="403">
        <v>2341</v>
      </c>
      <c r="AC429" s="65"/>
    </row>
    <row r="430" spans="1:29" ht="12.6" customHeight="1" x14ac:dyDescent="0.2">
      <c r="A430" s="18"/>
      <c r="B430" s="699" t="s">
        <v>700</v>
      </c>
      <c r="C430" s="740"/>
      <c r="D430" s="740"/>
      <c r="E430" s="741"/>
      <c r="F430" s="380">
        <f>12.5*X2</f>
        <v>13550</v>
      </c>
      <c r="G430" s="288">
        <f t="shared" ref="G430" si="1108">+F430*$X$1</f>
        <v>13550</v>
      </c>
      <c r="H430" s="100">
        <f t="shared" ref="H430:H438" si="1109">F430+400</f>
        <v>13950</v>
      </c>
      <c r="I430" s="288">
        <f t="shared" si="1093"/>
        <v>13950</v>
      </c>
      <c r="J430" s="458">
        <f t="shared" si="1094"/>
        <v>13730</v>
      </c>
      <c r="K430" s="288">
        <f t="shared" si="1095"/>
        <v>13730</v>
      </c>
      <c r="L430" s="458">
        <f t="shared" si="1096"/>
        <v>13670</v>
      </c>
      <c r="M430" s="288">
        <f t="shared" si="1097"/>
        <v>13670</v>
      </c>
      <c r="N430" s="458">
        <f t="shared" si="1098"/>
        <v>13611</v>
      </c>
      <c r="O430" s="288">
        <f t="shared" si="1099"/>
        <v>13611</v>
      </c>
      <c r="P430" s="458">
        <f t="shared" si="1100"/>
        <v>13604</v>
      </c>
      <c r="Q430" s="288">
        <f t="shared" si="1101"/>
        <v>13604</v>
      </c>
      <c r="R430" s="458">
        <f t="shared" si="1102"/>
        <v>13597</v>
      </c>
      <c r="S430" s="288">
        <f t="shared" si="1103"/>
        <v>13597</v>
      </c>
      <c r="T430" s="458">
        <f>F430+38</f>
        <v>13588</v>
      </c>
      <c r="U430" s="288">
        <f t="shared" si="1104"/>
        <v>13588</v>
      </c>
      <c r="V430" s="458">
        <f>F430+33</f>
        <v>13583</v>
      </c>
      <c r="W430" s="288">
        <f t="shared" si="1105"/>
        <v>13583</v>
      </c>
      <c r="X430" s="444"/>
      <c r="Y430" s="445"/>
      <c r="Z430" s="445"/>
      <c r="AA430" s="446"/>
      <c r="AB430" s="403">
        <v>2342</v>
      </c>
      <c r="AC430" s="65"/>
    </row>
    <row r="431" spans="1:29" ht="12.6" customHeight="1" x14ac:dyDescent="0.2">
      <c r="A431" s="18"/>
      <c r="B431" s="1060" t="s">
        <v>699</v>
      </c>
      <c r="C431" s="1061"/>
      <c r="D431" s="1061"/>
      <c r="E431" s="1062"/>
      <c r="F431" s="613">
        <f>15.5*X2</f>
        <v>16802</v>
      </c>
      <c r="G431" s="615">
        <f t="shared" ref="G431" si="1110">+F431*$X$1</f>
        <v>16802</v>
      </c>
      <c r="H431" s="614">
        <f t="shared" si="1109"/>
        <v>17202</v>
      </c>
      <c r="I431" s="615">
        <f t="shared" si="1093"/>
        <v>17202</v>
      </c>
      <c r="J431" s="616">
        <f t="shared" si="1094"/>
        <v>16982</v>
      </c>
      <c r="K431" s="615">
        <f t="shared" si="1095"/>
        <v>16982</v>
      </c>
      <c r="L431" s="616">
        <f t="shared" si="1096"/>
        <v>16922</v>
      </c>
      <c r="M431" s="615">
        <f t="shared" si="1097"/>
        <v>16922</v>
      </c>
      <c r="N431" s="616">
        <f t="shared" si="1098"/>
        <v>16863</v>
      </c>
      <c r="O431" s="615">
        <f t="shared" si="1099"/>
        <v>16863</v>
      </c>
      <c r="P431" s="616">
        <f t="shared" si="1100"/>
        <v>16856</v>
      </c>
      <c r="Q431" s="615">
        <f t="shared" si="1101"/>
        <v>16856</v>
      </c>
      <c r="R431" s="616">
        <f t="shared" si="1102"/>
        <v>16849</v>
      </c>
      <c r="S431" s="615">
        <f t="shared" si="1103"/>
        <v>16849</v>
      </c>
      <c r="T431" s="616">
        <f t="shared" ref="T431:T436" si="1111">F431+38</f>
        <v>16840</v>
      </c>
      <c r="U431" s="615">
        <f t="shared" si="1104"/>
        <v>16840</v>
      </c>
      <c r="V431" s="616">
        <f t="shared" ref="V431:V436" si="1112">F431+33</f>
        <v>16835</v>
      </c>
      <c r="W431" s="615">
        <f t="shared" si="1105"/>
        <v>16835</v>
      </c>
      <c r="X431" s="444"/>
      <c r="Y431" s="445"/>
      <c r="Z431" s="445"/>
      <c r="AA431" s="446"/>
      <c r="AB431" s="403">
        <v>2343</v>
      </c>
      <c r="AC431" s="65"/>
    </row>
    <row r="432" spans="1:29" ht="12.6" customHeight="1" x14ac:dyDescent="0.2">
      <c r="A432" s="18"/>
      <c r="B432" s="679" t="s">
        <v>851</v>
      </c>
      <c r="C432" s="680"/>
      <c r="D432" s="680"/>
      <c r="E432" s="681"/>
      <c r="F432" s="380">
        <f>9.42*X2</f>
        <v>10211.280000000001</v>
      </c>
      <c r="G432" s="288">
        <f>+F432*$X$1</f>
        <v>10211.280000000001</v>
      </c>
      <c r="H432" s="458">
        <f t="shared" si="1109"/>
        <v>10611.28</v>
      </c>
      <c r="I432" s="288">
        <f t="shared" si="1093"/>
        <v>10611.28</v>
      </c>
      <c r="J432" s="458">
        <f t="shared" si="1094"/>
        <v>10391.280000000001</v>
      </c>
      <c r="K432" s="288">
        <f t="shared" si="1095"/>
        <v>10391.280000000001</v>
      </c>
      <c r="L432" s="458">
        <f t="shared" si="1096"/>
        <v>10331.280000000001</v>
      </c>
      <c r="M432" s="288">
        <f t="shared" si="1097"/>
        <v>10331.280000000001</v>
      </c>
      <c r="N432" s="458">
        <f t="shared" si="1098"/>
        <v>10272.280000000001</v>
      </c>
      <c r="O432" s="288">
        <f t="shared" si="1099"/>
        <v>10272.280000000001</v>
      </c>
      <c r="P432" s="458">
        <f t="shared" si="1100"/>
        <v>10265.280000000001</v>
      </c>
      <c r="Q432" s="288">
        <f t="shared" si="1101"/>
        <v>10265.280000000001</v>
      </c>
      <c r="R432" s="458">
        <f t="shared" si="1102"/>
        <v>10258.280000000001</v>
      </c>
      <c r="S432" s="288">
        <f t="shared" si="1103"/>
        <v>10258.280000000001</v>
      </c>
      <c r="T432" s="458">
        <f t="shared" si="1111"/>
        <v>10249.280000000001</v>
      </c>
      <c r="U432" s="288">
        <f t="shared" si="1104"/>
        <v>10249.280000000001</v>
      </c>
      <c r="V432" s="458">
        <f t="shared" si="1112"/>
        <v>10244.280000000001</v>
      </c>
      <c r="W432" s="288">
        <f t="shared" si="1105"/>
        <v>10244.280000000001</v>
      </c>
      <c r="X432" s="506"/>
      <c r="Y432" s="507"/>
      <c r="Z432" s="507"/>
      <c r="AA432" s="508"/>
      <c r="AB432" s="403" t="s">
        <v>852</v>
      </c>
      <c r="AC432" s="65"/>
    </row>
    <row r="433" spans="1:29" ht="12.6" customHeight="1" x14ac:dyDescent="0.2">
      <c r="A433" s="18"/>
      <c r="B433" s="1060" t="s">
        <v>436</v>
      </c>
      <c r="C433" s="1061"/>
      <c r="D433" s="1061"/>
      <c r="E433" s="1062"/>
      <c r="F433" s="613">
        <f>8.5*X2</f>
        <v>9214</v>
      </c>
      <c r="G433" s="615">
        <f t="shared" ref="G433" si="1113">+F433*$X$1</f>
        <v>9214</v>
      </c>
      <c r="H433" s="616">
        <f t="shared" si="1109"/>
        <v>9614</v>
      </c>
      <c r="I433" s="615">
        <f t="shared" ref="I433:I437" si="1114">+H433*$X$1</f>
        <v>9614</v>
      </c>
      <c r="J433" s="616">
        <f t="shared" ref="J433:J437" si="1115">F433+180</f>
        <v>9394</v>
      </c>
      <c r="K433" s="615">
        <f t="shared" ref="K433:K436" si="1116">+J433*$X$1</f>
        <v>9394</v>
      </c>
      <c r="L433" s="616">
        <f t="shared" ref="L433:L437" si="1117">F433+120</f>
        <v>9334</v>
      </c>
      <c r="M433" s="615">
        <f t="shared" ref="M433:M436" si="1118">+L433*$X$1</f>
        <v>9334</v>
      </c>
      <c r="N433" s="616">
        <f t="shared" ref="N433:N437" si="1119">F433+61</f>
        <v>9275</v>
      </c>
      <c r="O433" s="615">
        <f t="shared" ref="O433:O436" si="1120">+N433*$X$1</f>
        <v>9275</v>
      </c>
      <c r="P433" s="616">
        <f t="shared" ref="P433:P437" si="1121">F433+54</f>
        <v>9268</v>
      </c>
      <c r="Q433" s="615">
        <f t="shared" ref="Q433:Q436" si="1122">+P433*$X$1</f>
        <v>9268</v>
      </c>
      <c r="R433" s="616">
        <f t="shared" ref="R433:R437" si="1123">F433+47</f>
        <v>9261</v>
      </c>
      <c r="S433" s="615">
        <f t="shared" ref="S433:S436" si="1124">+R433*$X$1</f>
        <v>9261</v>
      </c>
      <c r="T433" s="616">
        <f t="shared" si="1111"/>
        <v>9252</v>
      </c>
      <c r="U433" s="615">
        <f t="shared" ref="U433:U436" si="1125">+T433*$X$1</f>
        <v>9252</v>
      </c>
      <c r="V433" s="616">
        <f t="shared" si="1112"/>
        <v>9247</v>
      </c>
      <c r="W433" s="615">
        <f t="shared" ref="W433:W436" si="1126">+V433*$X$1</f>
        <v>9247</v>
      </c>
      <c r="X433" s="239"/>
      <c r="Y433" s="237"/>
      <c r="Z433" s="237"/>
      <c r="AA433" s="238"/>
      <c r="AB433" s="403">
        <v>2346</v>
      </c>
      <c r="AC433" s="65"/>
    </row>
    <row r="434" spans="1:29" ht="12.6" customHeight="1" x14ac:dyDescent="0.2">
      <c r="A434" s="18"/>
      <c r="B434" s="699" t="s">
        <v>701</v>
      </c>
      <c r="C434" s="740"/>
      <c r="D434" s="740"/>
      <c r="E434" s="741"/>
      <c r="F434" s="380">
        <f>11.9*X2</f>
        <v>12899.6</v>
      </c>
      <c r="G434" s="288">
        <f t="shared" ref="G434" si="1127">+F434*$X$1</f>
        <v>12899.6</v>
      </c>
      <c r="H434" s="458">
        <f t="shared" si="1109"/>
        <v>13299.6</v>
      </c>
      <c r="I434" s="288">
        <f t="shared" si="1114"/>
        <v>13299.6</v>
      </c>
      <c r="J434" s="458">
        <f t="shared" si="1115"/>
        <v>13079.6</v>
      </c>
      <c r="K434" s="288">
        <f t="shared" si="1116"/>
        <v>13079.6</v>
      </c>
      <c r="L434" s="458">
        <f t="shared" si="1117"/>
        <v>13019.6</v>
      </c>
      <c r="M434" s="288">
        <f t="shared" si="1118"/>
        <v>13019.6</v>
      </c>
      <c r="N434" s="458">
        <f t="shared" si="1119"/>
        <v>12960.6</v>
      </c>
      <c r="O434" s="288">
        <f t="shared" si="1120"/>
        <v>12960.6</v>
      </c>
      <c r="P434" s="458">
        <f t="shared" si="1121"/>
        <v>12953.6</v>
      </c>
      <c r="Q434" s="288">
        <f t="shared" si="1122"/>
        <v>12953.6</v>
      </c>
      <c r="R434" s="458">
        <f t="shared" si="1123"/>
        <v>12946.6</v>
      </c>
      <c r="S434" s="288">
        <f t="shared" si="1124"/>
        <v>12946.6</v>
      </c>
      <c r="T434" s="458">
        <f t="shared" si="1111"/>
        <v>12937.6</v>
      </c>
      <c r="U434" s="288">
        <f t="shared" si="1125"/>
        <v>12937.6</v>
      </c>
      <c r="V434" s="458">
        <f t="shared" si="1112"/>
        <v>12932.6</v>
      </c>
      <c r="W434" s="288">
        <f t="shared" si="1126"/>
        <v>12932.6</v>
      </c>
      <c r="X434" s="444"/>
      <c r="Y434" s="445"/>
      <c r="Z434" s="445"/>
      <c r="AA434" s="446"/>
      <c r="AB434" s="403" t="s">
        <v>710</v>
      </c>
      <c r="AC434" s="65"/>
    </row>
    <row r="435" spans="1:29" ht="12.6" customHeight="1" x14ac:dyDescent="0.2">
      <c r="A435" s="18"/>
      <c r="B435" s="1060" t="s">
        <v>702</v>
      </c>
      <c r="C435" s="1061"/>
      <c r="D435" s="1061"/>
      <c r="E435" s="1062"/>
      <c r="F435" s="613">
        <f>12.7*X2</f>
        <v>13766.8</v>
      </c>
      <c r="G435" s="615">
        <f t="shared" ref="G435" si="1128">+F435*$X$1</f>
        <v>13766.8</v>
      </c>
      <c r="H435" s="616">
        <f t="shared" si="1109"/>
        <v>14166.8</v>
      </c>
      <c r="I435" s="615">
        <f t="shared" si="1114"/>
        <v>14166.8</v>
      </c>
      <c r="J435" s="616">
        <f t="shared" si="1115"/>
        <v>13946.8</v>
      </c>
      <c r="K435" s="615">
        <f t="shared" si="1116"/>
        <v>13946.8</v>
      </c>
      <c r="L435" s="616">
        <f t="shared" si="1117"/>
        <v>13886.8</v>
      </c>
      <c r="M435" s="615">
        <f t="shared" si="1118"/>
        <v>13886.8</v>
      </c>
      <c r="N435" s="616">
        <f t="shared" si="1119"/>
        <v>13827.8</v>
      </c>
      <c r="O435" s="615">
        <f t="shared" si="1120"/>
        <v>13827.8</v>
      </c>
      <c r="P435" s="616">
        <f t="shared" si="1121"/>
        <v>13820.8</v>
      </c>
      <c r="Q435" s="615">
        <f t="shared" si="1122"/>
        <v>13820.8</v>
      </c>
      <c r="R435" s="616">
        <f t="shared" si="1123"/>
        <v>13813.8</v>
      </c>
      <c r="S435" s="615">
        <f t="shared" si="1124"/>
        <v>13813.8</v>
      </c>
      <c r="T435" s="616">
        <f t="shared" si="1111"/>
        <v>13804.8</v>
      </c>
      <c r="U435" s="615">
        <f t="shared" si="1125"/>
        <v>13804.8</v>
      </c>
      <c r="V435" s="616">
        <f t="shared" si="1112"/>
        <v>13799.8</v>
      </c>
      <c r="W435" s="615">
        <f t="shared" si="1126"/>
        <v>13799.8</v>
      </c>
      <c r="X435" s="444"/>
      <c r="Y435" s="445"/>
      <c r="Z435" s="445"/>
      <c r="AA435" s="446"/>
      <c r="AB435" s="403" t="s">
        <v>761</v>
      </c>
      <c r="AC435" s="65"/>
    </row>
    <row r="436" spans="1:29" ht="12.6" customHeight="1" x14ac:dyDescent="0.2">
      <c r="A436" s="18"/>
      <c r="B436" s="699" t="s">
        <v>587</v>
      </c>
      <c r="C436" s="740"/>
      <c r="D436" s="740"/>
      <c r="E436" s="741"/>
      <c r="F436" s="380">
        <f>2.56*X2</f>
        <v>2775.04</v>
      </c>
      <c r="G436" s="288">
        <f t="shared" ref="G436" si="1129">+F436*$X$1</f>
        <v>2775.04</v>
      </c>
      <c r="H436" s="458">
        <f t="shared" si="1109"/>
        <v>3175.04</v>
      </c>
      <c r="I436" s="288">
        <f t="shared" si="1114"/>
        <v>3175.04</v>
      </c>
      <c r="J436" s="458">
        <f t="shared" si="1115"/>
        <v>2955.04</v>
      </c>
      <c r="K436" s="288">
        <f t="shared" si="1116"/>
        <v>2955.04</v>
      </c>
      <c r="L436" s="458">
        <f t="shared" si="1117"/>
        <v>2895.04</v>
      </c>
      <c r="M436" s="288">
        <f t="shared" si="1118"/>
        <v>2895.04</v>
      </c>
      <c r="N436" s="458">
        <f t="shared" si="1119"/>
        <v>2836.04</v>
      </c>
      <c r="O436" s="288">
        <f t="shared" si="1120"/>
        <v>2836.04</v>
      </c>
      <c r="P436" s="458">
        <f t="shared" si="1121"/>
        <v>2829.04</v>
      </c>
      <c r="Q436" s="288">
        <f t="shared" si="1122"/>
        <v>2829.04</v>
      </c>
      <c r="R436" s="458">
        <f t="shared" si="1123"/>
        <v>2822.04</v>
      </c>
      <c r="S436" s="288">
        <f t="shared" si="1124"/>
        <v>2822.04</v>
      </c>
      <c r="T436" s="458">
        <f t="shared" si="1111"/>
        <v>2813.04</v>
      </c>
      <c r="U436" s="288">
        <f t="shared" si="1125"/>
        <v>2813.04</v>
      </c>
      <c r="V436" s="458">
        <f t="shared" si="1112"/>
        <v>2808.04</v>
      </c>
      <c r="W436" s="288">
        <f t="shared" si="1126"/>
        <v>2808.04</v>
      </c>
      <c r="X436" s="374"/>
      <c r="Y436" s="375"/>
      <c r="Z436" s="375"/>
      <c r="AA436" s="376"/>
      <c r="AB436" s="403">
        <v>2350</v>
      </c>
      <c r="AC436" s="65"/>
    </row>
    <row r="437" spans="1:29" ht="12.6" customHeight="1" x14ac:dyDescent="0.2">
      <c r="A437" s="18"/>
      <c r="B437" s="732" t="s">
        <v>683</v>
      </c>
      <c r="C437" s="733"/>
      <c r="D437" s="733"/>
      <c r="E437" s="734"/>
      <c r="F437" s="379">
        <f>1.59*X2</f>
        <v>1723.5600000000002</v>
      </c>
      <c r="G437" s="287">
        <f t="shared" ref="G437" si="1130">+F437*$X$1</f>
        <v>1723.5600000000002</v>
      </c>
      <c r="H437" s="568">
        <f t="shared" si="1109"/>
        <v>2123.5600000000004</v>
      </c>
      <c r="I437" s="287">
        <f t="shared" si="1114"/>
        <v>2123.5600000000004</v>
      </c>
      <c r="J437" s="568">
        <f t="shared" si="1115"/>
        <v>1903.5600000000002</v>
      </c>
      <c r="K437" s="287">
        <f t="shared" ref="K437" si="1131">+J437*$X$1</f>
        <v>1903.5600000000002</v>
      </c>
      <c r="L437" s="568">
        <f t="shared" si="1117"/>
        <v>1843.5600000000002</v>
      </c>
      <c r="M437" s="287">
        <f t="shared" ref="M437" si="1132">+L437*$X$1</f>
        <v>1843.5600000000002</v>
      </c>
      <c r="N437" s="568">
        <f t="shared" si="1119"/>
        <v>1784.5600000000002</v>
      </c>
      <c r="O437" s="287">
        <f t="shared" ref="O437" si="1133">+N437*$X$1</f>
        <v>1784.5600000000002</v>
      </c>
      <c r="P437" s="568">
        <f t="shared" si="1121"/>
        <v>1777.5600000000002</v>
      </c>
      <c r="Q437" s="287">
        <f t="shared" ref="Q437" si="1134">+P437*$X$1</f>
        <v>1777.5600000000002</v>
      </c>
      <c r="R437" s="568">
        <f t="shared" si="1123"/>
        <v>1770.5600000000002</v>
      </c>
      <c r="S437" s="287">
        <f t="shared" ref="S437" si="1135">+R437*$X$1</f>
        <v>1770.5600000000002</v>
      </c>
      <c r="T437" s="568">
        <f>F437+38</f>
        <v>1761.5600000000002</v>
      </c>
      <c r="U437" s="287">
        <f t="shared" ref="U437" si="1136">+T437*$X$1</f>
        <v>1761.5600000000002</v>
      </c>
      <c r="V437" s="568">
        <f>F437+33</f>
        <v>1756.5600000000002</v>
      </c>
      <c r="W437" s="287">
        <f t="shared" ref="W437" si="1137">+V437*$X$1</f>
        <v>1756.5600000000002</v>
      </c>
      <c r="X437" s="435"/>
      <c r="Y437" s="436"/>
      <c r="Z437" s="436"/>
      <c r="AA437" s="437"/>
      <c r="AB437" s="403">
        <v>2352</v>
      </c>
      <c r="AC437" s="65"/>
    </row>
    <row r="438" spans="1:29" ht="12.6" customHeight="1" x14ac:dyDescent="0.2">
      <c r="A438" s="18"/>
      <c r="B438" s="679" t="s">
        <v>912</v>
      </c>
      <c r="C438" s="680"/>
      <c r="D438" s="680"/>
      <c r="E438" s="681"/>
      <c r="F438" s="380">
        <f>1.48*X2</f>
        <v>1604.32</v>
      </c>
      <c r="G438" s="288">
        <f t="shared" ref="G438" si="1138">+F438*$X$1</f>
        <v>1604.32</v>
      </c>
      <c r="H438" s="458">
        <f t="shared" si="1109"/>
        <v>2004.32</v>
      </c>
      <c r="I438" s="288">
        <f t="shared" ref="I438" si="1139">+H438*$X$1</f>
        <v>2004.32</v>
      </c>
      <c r="J438" s="458">
        <f t="shared" ref="J438" si="1140">F438+180</f>
        <v>1784.32</v>
      </c>
      <c r="K438" s="288">
        <f t="shared" ref="K438" si="1141">+J438*$X$1</f>
        <v>1784.32</v>
      </c>
      <c r="L438" s="458">
        <f t="shared" ref="L438" si="1142">F438+120</f>
        <v>1724.32</v>
      </c>
      <c r="M438" s="288">
        <f t="shared" ref="M438" si="1143">+L438*$X$1</f>
        <v>1724.32</v>
      </c>
      <c r="N438" s="458">
        <f t="shared" ref="N438" si="1144">F438+61</f>
        <v>1665.32</v>
      </c>
      <c r="O438" s="288">
        <f t="shared" ref="O438" si="1145">+N438*$X$1</f>
        <v>1665.32</v>
      </c>
      <c r="P438" s="458">
        <f t="shared" ref="P438" si="1146">F438+54</f>
        <v>1658.32</v>
      </c>
      <c r="Q438" s="288">
        <f t="shared" ref="Q438" si="1147">+P438*$X$1</f>
        <v>1658.32</v>
      </c>
      <c r="R438" s="458">
        <f t="shared" ref="R438" si="1148">F438+47</f>
        <v>1651.32</v>
      </c>
      <c r="S438" s="288">
        <f t="shared" ref="S438" si="1149">+R438*$X$1</f>
        <v>1651.32</v>
      </c>
      <c r="T438" s="458">
        <f>F438+38</f>
        <v>1642.32</v>
      </c>
      <c r="U438" s="288">
        <f t="shared" ref="U438" si="1150">+T438*$X$1</f>
        <v>1642.32</v>
      </c>
      <c r="V438" s="458">
        <f>F438+33</f>
        <v>1637.32</v>
      </c>
      <c r="W438" s="288">
        <f t="shared" ref="W438" si="1151">+V438*$X$1</f>
        <v>1637.32</v>
      </c>
      <c r="X438" s="566"/>
      <c r="Y438" s="564"/>
      <c r="Z438" s="564"/>
      <c r="AA438" s="565"/>
      <c r="AB438" s="403">
        <v>2353</v>
      </c>
      <c r="AC438" s="65"/>
    </row>
    <row r="439" spans="1:29" ht="12.6" customHeight="1" x14ac:dyDescent="0.2">
      <c r="A439" s="18"/>
      <c r="B439" s="679" t="s">
        <v>960</v>
      </c>
      <c r="C439" s="680"/>
      <c r="D439" s="680"/>
      <c r="E439" s="681"/>
      <c r="F439" s="379">
        <f>1.732*X2</f>
        <v>1877.4880000000001</v>
      </c>
      <c r="G439" s="287">
        <f t="shared" ref="G439" si="1152">+F439*$X$1</f>
        <v>1877.4880000000001</v>
      </c>
      <c r="H439" s="652">
        <f t="shared" ref="H439" si="1153">F439+400</f>
        <v>2277.4880000000003</v>
      </c>
      <c r="I439" s="287">
        <f t="shared" ref="I439" si="1154">+H439*$X$1</f>
        <v>2277.4880000000003</v>
      </c>
      <c r="J439" s="652">
        <f t="shared" ref="J439" si="1155">F439+180</f>
        <v>2057.4880000000003</v>
      </c>
      <c r="K439" s="287">
        <f t="shared" ref="K439" si="1156">+J439*$X$1</f>
        <v>2057.4880000000003</v>
      </c>
      <c r="L439" s="652">
        <f t="shared" ref="L439" si="1157">F439+120</f>
        <v>1997.4880000000001</v>
      </c>
      <c r="M439" s="287">
        <f t="shared" ref="M439" si="1158">+L439*$X$1</f>
        <v>1997.4880000000001</v>
      </c>
      <c r="N439" s="652">
        <f t="shared" ref="N439" si="1159">F439+61</f>
        <v>1938.4880000000001</v>
      </c>
      <c r="O439" s="287">
        <f t="shared" ref="O439" si="1160">+N439*$X$1</f>
        <v>1938.4880000000001</v>
      </c>
      <c r="P439" s="652">
        <f t="shared" ref="P439" si="1161">F439+54</f>
        <v>1931.4880000000001</v>
      </c>
      <c r="Q439" s="287">
        <f t="shared" ref="Q439" si="1162">+P439*$X$1</f>
        <v>1931.4880000000001</v>
      </c>
      <c r="R439" s="652">
        <f t="shared" ref="R439" si="1163">F439+47</f>
        <v>1924.4880000000001</v>
      </c>
      <c r="S439" s="287">
        <f t="shared" ref="S439" si="1164">+R439*$X$1</f>
        <v>1924.4880000000001</v>
      </c>
      <c r="T439" s="652">
        <f>F439+38</f>
        <v>1915.4880000000001</v>
      </c>
      <c r="U439" s="287">
        <f t="shared" ref="U439" si="1165">+T439*$X$1</f>
        <v>1915.4880000000001</v>
      </c>
      <c r="V439" s="652">
        <f>F439+33</f>
        <v>1910.4880000000001</v>
      </c>
      <c r="W439" s="287">
        <f t="shared" ref="W439" si="1166">+V439*$X$1</f>
        <v>1910.4880000000001</v>
      </c>
      <c r="X439" s="646"/>
      <c r="Y439" s="647"/>
      <c r="Z439" s="647"/>
      <c r="AA439" s="648"/>
      <c r="AB439" s="403">
        <v>2354</v>
      </c>
      <c r="AC439" s="65"/>
    </row>
    <row r="440" spans="1:29" ht="12.6" customHeight="1" x14ac:dyDescent="0.2">
      <c r="A440" s="18"/>
      <c r="B440" s="679" t="s">
        <v>959</v>
      </c>
      <c r="C440" s="680"/>
      <c r="D440" s="680"/>
      <c r="E440" s="681"/>
      <c r="F440" s="380">
        <f>1.471*X2</f>
        <v>1594.5640000000001</v>
      </c>
      <c r="G440" s="288">
        <f t="shared" ref="G440" si="1167">+F440*$X$1</f>
        <v>1594.5640000000001</v>
      </c>
      <c r="H440" s="458">
        <f t="shared" ref="H440" si="1168">F440+400</f>
        <v>1994.5640000000001</v>
      </c>
      <c r="I440" s="288">
        <f t="shared" ref="I440:I441" si="1169">+H440*$X$1</f>
        <v>1994.5640000000001</v>
      </c>
      <c r="J440" s="458">
        <f t="shared" ref="J440" si="1170">F440+180</f>
        <v>1774.5640000000001</v>
      </c>
      <c r="K440" s="288">
        <f t="shared" ref="K440" si="1171">+J440*$X$1</f>
        <v>1774.5640000000001</v>
      </c>
      <c r="L440" s="458">
        <f t="shared" ref="L440" si="1172">F440+120</f>
        <v>1714.5640000000001</v>
      </c>
      <c r="M440" s="288">
        <f t="shared" ref="M440" si="1173">+L440*$X$1</f>
        <v>1714.5640000000001</v>
      </c>
      <c r="N440" s="458">
        <f t="shared" ref="N440" si="1174">F440+61</f>
        <v>1655.5640000000001</v>
      </c>
      <c r="O440" s="288">
        <f t="shared" ref="O440" si="1175">+N440*$X$1</f>
        <v>1655.5640000000001</v>
      </c>
      <c r="P440" s="458">
        <f t="shared" ref="P440" si="1176">F440+54</f>
        <v>1648.5640000000001</v>
      </c>
      <c r="Q440" s="288">
        <f t="shared" ref="Q440" si="1177">+P440*$X$1</f>
        <v>1648.5640000000001</v>
      </c>
      <c r="R440" s="458">
        <f t="shared" ref="R440" si="1178">F440+47</f>
        <v>1641.5640000000001</v>
      </c>
      <c r="S440" s="288">
        <f t="shared" ref="S440" si="1179">+R440*$X$1</f>
        <v>1641.5640000000001</v>
      </c>
      <c r="T440" s="458">
        <f>F440+38</f>
        <v>1632.5640000000001</v>
      </c>
      <c r="U440" s="288">
        <f t="shared" ref="U440" si="1180">+T440*$X$1</f>
        <v>1632.5640000000001</v>
      </c>
      <c r="V440" s="458">
        <f>F440+33</f>
        <v>1627.5640000000001</v>
      </c>
      <c r="W440" s="288">
        <f t="shared" ref="W440" si="1181">+V440*$X$1</f>
        <v>1627.5640000000001</v>
      </c>
      <c r="X440" s="646"/>
      <c r="Y440" s="647"/>
      <c r="Z440" s="647"/>
      <c r="AA440" s="648"/>
      <c r="AB440" s="403">
        <v>2355</v>
      </c>
      <c r="AC440" s="65"/>
    </row>
    <row r="441" spans="1:29" ht="12.6" customHeight="1" x14ac:dyDescent="0.2">
      <c r="A441" s="18"/>
      <c r="B441" s="732" t="s">
        <v>973</v>
      </c>
      <c r="C441" s="733"/>
      <c r="D441" s="733"/>
      <c r="E441" s="734"/>
      <c r="F441" s="287">
        <f>2.95*X2</f>
        <v>3197.8</v>
      </c>
      <c r="G441" s="287">
        <f>+F441*$X$1</f>
        <v>3197.8</v>
      </c>
      <c r="H441" s="665">
        <f>F441+500</f>
        <v>3697.8</v>
      </c>
      <c r="I441" s="287">
        <f t="shared" si="1169"/>
        <v>3697.8</v>
      </c>
      <c r="J441" s="665">
        <f t="shared" ref="J441:J446" si="1182">F441+200</f>
        <v>3397.8</v>
      </c>
      <c r="K441" s="287">
        <f t="shared" ref="K441:K446" si="1183">+J441*$X$1</f>
        <v>3397.8</v>
      </c>
      <c r="L441" s="665">
        <f t="shared" ref="L441:L446" si="1184">F441+140</f>
        <v>3337.8</v>
      </c>
      <c r="M441" s="287">
        <f t="shared" ref="M441:M447" si="1185">+L441*$X$1</f>
        <v>3337.8</v>
      </c>
      <c r="N441" s="665">
        <f t="shared" ref="N441:N446" si="1186">F441+70</f>
        <v>3267.8</v>
      </c>
      <c r="O441" s="287">
        <f t="shared" ref="O441:O446" si="1187">+N441*$X$1</f>
        <v>3267.8</v>
      </c>
      <c r="P441" s="665">
        <f t="shared" ref="P441:P446" si="1188">F441+60</f>
        <v>3257.8</v>
      </c>
      <c r="Q441" s="287">
        <f t="shared" ref="Q441:Q446" si="1189">+P441*$X$1</f>
        <v>3257.8</v>
      </c>
      <c r="R441" s="665">
        <f t="shared" ref="R441:R446" si="1190">F441+50</f>
        <v>3247.8</v>
      </c>
      <c r="S441" s="287">
        <f t="shared" ref="S441:S447" si="1191">+R441*$X$1</f>
        <v>3247.8</v>
      </c>
      <c r="T441" s="103">
        <f t="shared" ref="T441:T446" si="1192">F441+44</f>
        <v>3241.8</v>
      </c>
      <c r="U441" s="255">
        <f t="shared" ref="U441:U447" si="1193">+T441*$X$1</f>
        <v>3241.8</v>
      </c>
      <c r="V441" s="103">
        <f t="shared" ref="V441:V446" si="1194">F441+38</f>
        <v>3235.8</v>
      </c>
      <c r="W441" s="255">
        <f t="shared" ref="W441:W446" si="1195">+V441*$X$1</f>
        <v>3235.8</v>
      </c>
      <c r="X441" s="687"/>
      <c r="Y441" s="688"/>
      <c r="Z441" s="688"/>
      <c r="AA441" s="689"/>
      <c r="AB441" s="403">
        <v>2500</v>
      </c>
    </row>
    <row r="442" spans="1:29" ht="12.6" customHeight="1" x14ac:dyDescent="0.2">
      <c r="A442" s="18"/>
      <c r="B442" s="699" t="s">
        <v>831</v>
      </c>
      <c r="C442" s="740"/>
      <c r="D442" s="740"/>
      <c r="E442" s="741"/>
      <c r="F442" s="288">
        <f>3.463*X2</f>
        <v>3753.8920000000003</v>
      </c>
      <c r="G442" s="288">
        <f>+F442*$X$1</f>
        <v>3753.8920000000003</v>
      </c>
      <c r="H442" s="458">
        <f>F442+500</f>
        <v>4253.8919999999998</v>
      </c>
      <c r="I442" s="288">
        <f t="shared" ref="I442" si="1196">+H442*$X$1</f>
        <v>4253.8919999999998</v>
      </c>
      <c r="J442" s="458">
        <f t="shared" si="1182"/>
        <v>3953.8920000000003</v>
      </c>
      <c r="K442" s="288">
        <f t="shared" si="1183"/>
        <v>3953.8920000000003</v>
      </c>
      <c r="L442" s="458">
        <f t="shared" si="1184"/>
        <v>3893.8920000000003</v>
      </c>
      <c r="M442" s="288">
        <f t="shared" si="1185"/>
        <v>3893.8920000000003</v>
      </c>
      <c r="N442" s="458">
        <f t="shared" si="1186"/>
        <v>3823.8920000000003</v>
      </c>
      <c r="O442" s="288">
        <f t="shared" si="1187"/>
        <v>3823.8920000000003</v>
      </c>
      <c r="P442" s="458">
        <f t="shared" si="1188"/>
        <v>3813.8920000000003</v>
      </c>
      <c r="Q442" s="288">
        <f t="shared" si="1189"/>
        <v>3813.8920000000003</v>
      </c>
      <c r="R442" s="458">
        <f t="shared" si="1190"/>
        <v>3803.8920000000003</v>
      </c>
      <c r="S442" s="288">
        <f t="shared" si="1191"/>
        <v>3803.8920000000003</v>
      </c>
      <c r="T442" s="102">
        <f t="shared" si="1192"/>
        <v>3797.8920000000003</v>
      </c>
      <c r="U442" s="305">
        <f t="shared" si="1193"/>
        <v>3797.8920000000003</v>
      </c>
      <c r="V442" s="102">
        <f t="shared" si="1194"/>
        <v>3791.8920000000003</v>
      </c>
      <c r="W442" s="305">
        <f t="shared" si="1195"/>
        <v>3791.8920000000003</v>
      </c>
      <c r="X442" s="687"/>
      <c r="Y442" s="688"/>
      <c r="Z442" s="688"/>
      <c r="AA442" s="689"/>
      <c r="AB442" s="403">
        <v>2503</v>
      </c>
    </row>
    <row r="443" spans="1:29" ht="12.6" customHeight="1" x14ac:dyDescent="0.2">
      <c r="A443" s="18"/>
      <c r="B443" s="732" t="s">
        <v>832</v>
      </c>
      <c r="C443" s="733"/>
      <c r="D443" s="733"/>
      <c r="E443" s="734"/>
      <c r="F443" s="287">
        <f>0.71*X2</f>
        <v>769.64</v>
      </c>
      <c r="G443" s="287">
        <f t="shared" ref="G443" si="1197">+F443*$X$1</f>
        <v>769.64</v>
      </c>
      <c r="H443" s="665">
        <f>F443+500</f>
        <v>1269.6399999999999</v>
      </c>
      <c r="I443" s="287">
        <f t="shared" ref="I443:I445" si="1198">+H443*$X$1</f>
        <v>1269.6399999999999</v>
      </c>
      <c r="J443" s="665">
        <f t="shared" si="1182"/>
        <v>969.64</v>
      </c>
      <c r="K443" s="287">
        <f t="shared" si="1183"/>
        <v>969.64</v>
      </c>
      <c r="L443" s="665">
        <f t="shared" si="1184"/>
        <v>909.64</v>
      </c>
      <c r="M443" s="287">
        <f t="shared" si="1185"/>
        <v>909.64</v>
      </c>
      <c r="N443" s="665">
        <f t="shared" si="1186"/>
        <v>839.64</v>
      </c>
      <c r="O443" s="287">
        <f t="shared" si="1187"/>
        <v>839.64</v>
      </c>
      <c r="P443" s="665">
        <f t="shared" si="1188"/>
        <v>829.64</v>
      </c>
      <c r="Q443" s="287">
        <f t="shared" si="1189"/>
        <v>829.64</v>
      </c>
      <c r="R443" s="665">
        <f t="shared" si="1190"/>
        <v>819.64</v>
      </c>
      <c r="S443" s="287">
        <f t="shared" si="1191"/>
        <v>819.64</v>
      </c>
      <c r="T443" s="103">
        <f t="shared" si="1192"/>
        <v>813.64</v>
      </c>
      <c r="U443" s="255">
        <f t="shared" si="1193"/>
        <v>813.64</v>
      </c>
      <c r="V443" s="103">
        <f t="shared" si="1194"/>
        <v>807.64</v>
      </c>
      <c r="W443" s="255">
        <f t="shared" si="1195"/>
        <v>807.64</v>
      </c>
      <c r="X443" s="687"/>
      <c r="Y443" s="688"/>
      <c r="Z443" s="688"/>
      <c r="AA443" s="689"/>
      <c r="AB443" s="403">
        <v>2504</v>
      </c>
    </row>
    <row r="444" spans="1:29" ht="12.6" customHeight="1" x14ac:dyDescent="0.2">
      <c r="A444" s="18"/>
      <c r="B444" s="699" t="s">
        <v>974</v>
      </c>
      <c r="C444" s="740"/>
      <c r="D444" s="740"/>
      <c r="E444" s="741"/>
      <c r="F444" s="288">
        <f>0.96*X2</f>
        <v>1040.6399999999999</v>
      </c>
      <c r="G444" s="288">
        <f>+F444*$X$1</f>
        <v>1040.6399999999999</v>
      </c>
      <c r="H444" s="458">
        <f>F444+500</f>
        <v>1540.6399999999999</v>
      </c>
      <c r="I444" s="288">
        <f t="shared" si="1198"/>
        <v>1540.6399999999999</v>
      </c>
      <c r="J444" s="458">
        <f t="shared" si="1182"/>
        <v>1240.6399999999999</v>
      </c>
      <c r="K444" s="288">
        <f t="shared" si="1183"/>
        <v>1240.6399999999999</v>
      </c>
      <c r="L444" s="458">
        <f t="shared" si="1184"/>
        <v>1180.6399999999999</v>
      </c>
      <c r="M444" s="288">
        <f t="shared" si="1185"/>
        <v>1180.6399999999999</v>
      </c>
      <c r="N444" s="458">
        <f t="shared" si="1186"/>
        <v>1110.6399999999999</v>
      </c>
      <c r="O444" s="288">
        <f t="shared" si="1187"/>
        <v>1110.6399999999999</v>
      </c>
      <c r="P444" s="458">
        <f t="shared" si="1188"/>
        <v>1100.6399999999999</v>
      </c>
      <c r="Q444" s="288">
        <f t="shared" si="1189"/>
        <v>1100.6399999999999</v>
      </c>
      <c r="R444" s="458">
        <f t="shared" si="1190"/>
        <v>1090.6399999999999</v>
      </c>
      <c r="S444" s="288">
        <f t="shared" si="1191"/>
        <v>1090.6399999999999</v>
      </c>
      <c r="T444" s="102">
        <f t="shared" si="1192"/>
        <v>1084.6399999999999</v>
      </c>
      <c r="U444" s="305">
        <f t="shared" si="1193"/>
        <v>1084.6399999999999</v>
      </c>
      <c r="V444" s="102">
        <f t="shared" si="1194"/>
        <v>1078.6399999999999</v>
      </c>
      <c r="W444" s="305">
        <f t="shared" si="1195"/>
        <v>1078.6399999999999</v>
      </c>
      <c r="X444" s="687"/>
      <c r="Y444" s="688"/>
      <c r="Z444" s="688"/>
      <c r="AA444" s="689"/>
      <c r="AB444" s="403">
        <v>2506</v>
      </c>
    </row>
    <row r="445" spans="1:29" ht="12.6" customHeight="1" x14ac:dyDescent="0.2">
      <c r="A445" s="18"/>
      <c r="B445" s="679" t="s">
        <v>976</v>
      </c>
      <c r="C445" s="680"/>
      <c r="D445" s="680"/>
      <c r="E445" s="681"/>
      <c r="F445" s="287">
        <f>2.35*X2</f>
        <v>2547.4</v>
      </c>
      <c r="G445" s="287">
        <f>+F445*$X$1</f>
        <v>2547.4</v>
      </c>
      <c r="H445" s="666">
        <f>F445+500</f>
        <v>3047.4</v>
      </c>
      <c r="I445" s="287">
        <f t="shared" si="1198"/>
        <v>3047.4</v>
      </c>
      <c r="J445" s="666">
        <f t="shared" si="1182"/>
        <v>2747.4</v>
      </c>
      <c r="K445" s="287">
        <f t="shared" si="1183"/>
        <v>2747.4</v>
      </c>
      <c r="L445" s="666">
        <f t="shared" si="1184"/>
        <v>2687.4</v>
      </c>
      <c r="M445" s="287">
        <f t="shared" ref="M445" si="1199">+L445*$X$1</f>
        <v>2687.4</v>
      </c>
      <c r="N445" s="666">
        <f t="shared" si="1186"/>
        <v>2617.4</v>
      </c>
      <c r="O445" s="287">
        <f t="shared" si="1187"/>
        <v>2617.4</v>
      </c>
      <c r="P445" s="666">
        <f t="shared" si="1188"/>
        <v>2607.4</v>
      </c>
      <c r="Q445" s="287">
        <f t="shared" si="1189"/>
        <v>2607.4</v>
      </c>
      <c r="R445" s="666">
        <f t="shared" si="1190"/>
        <v>2597.4</v>
      </c>
      <c r="S445" s="287">
        <f t="shared" ref="S445" si="1200">+R445*$X$1</f>
        <v>2597.4</v>
      </c>
      <c r="T445" s="103">
        <f t="shared" si="1192"/>
        <v>2591.4</v>
      </c>
      <c r="U445" s="255">
        <f t="shared" ref="U445" si="1201">+T445*$X$1</f>
        <v>2591.4</v>
      </c>
      <c r="V445" s="103">
        <f t="shared" si="1194"/>
        <v>2585.4</v>
      </c>
      <c r="W445" s="255">
        <f t="shared" si="1195"/>
        <v>2585.4</v>
      </c>
      <c r="X445" s="687"/>
      <c r="Y445" s="688"/>
      <c r="Z445" s="688"/>
      <c r="AA445" s="689"/>
      <c r="AB445" s="403">
        <v>2507</v>
      </c>
    </row>
    <row r="446" spans="1:29" ht="12.6" customHeight="1" x14ac:dyDescent="0.2">
      <c r="A446" s="18"/>
      <c r="B446" s="699" t="s">
        <v>486</v>
      </c>
      <c r="C446" s="1021"/>
      <c r="D446" s="1021"/>
      <c r="E446" s="1022"/>
      <c r="F446" s="380">
        <f>3.69*X2</f>
        <v>3999.96</v>
      </c>
      <c r="G446" s="288">
        <f t="shared" ref="G446" si="1202">+F446*$X$1</f>
        <v>3999.96</v>
      </c>
      <c r="H446" s="458"/>
      <c r="I446" s="288"/>
      <c r="J446" s="458">
        <f t="shared" si="1182"/>
        <v>4199.96</v>
      </c>
      <c r="K446" s="288">
        <f t="shared" si="1183"/>
        <v>4199.96</v>
      </c>
      <c r="L446" s="458">
        <f t="shared" si="1184"/>
        <v>4139.96</v>
      </c>
      <c r="M446" s="288">
        <f t="shared" si="1185"/>
        <v>4139.96</v>
      </c>
      <c r="N446" s="458">
        <f t="shared" si="1186"/>
        <v>4069.96</v>
      </c>
      <c r="O446" s="288">
        <f t="shared" si="1187"/>
        <v>4069.96</v>
      </c>
      <c r="P446" s="458">
        <f t="shared" si="1188"/>
        <v>4059.96</v>
      </c>
      <c r="Q446" s="288">
        <f t="shared" si="1189"/>
        <v>4059.96</v>
      </c>
      <c r="R446" s="458">
        <f t="shared" si="1190"/>
        <v>4049.96</v>
      </c>
      <c r="S446" s="288">
        <f t="shared" si="1191"/>
        <v>4049.96</v>
      </c>
      <c r="T446" s="102">
        <f t="shared" si="1192"/>
        <v>4043.96</v>
      </c>
      <c r="U446" s="305">
        <f t="shared" si="1193"/>
        <v>4043.96</v>
      </c>
      <c r="V446" s="102">
        <f t="shared" si="1194"/>
        <v>4037.96</v>
      </c>
      <c r="W446" s="305">
        <f t="shared" si="1195"/>
        <v>4037.96</v>
      </c>
      <c r="X446" s="161"/>
      <c r="Y446" s="134"/>
      <c r="Z446" s="134"/>
      <c r="AA446" s="137"/>
      <c r="AB446" s="415">
        <v>3001</v>
      </c>
    </row>
    <row r="447" spans="1:29" ht="12.6" customHeight="1" x14ac:dyDescent="0.2">
      <c r="A447" s="104"/>
      <c r="B447" s="772" t="s">
        <v>791</v>
      </c>
      <c r="C447" s="773"/>
      <c r="D447" s="773"/>
      <c r="E447" s="773"/>
      <c r="F447" s="287">
        <v>3790</v>
      </c>
      <c r="G447" s="287">
        <f t="shared" ref="G447" si="1203">+F447*$X$1</f>
        <v>3790</v>
      </c>
      <c r="H447" s="281"/>
      <c r="I447" s="342"/>
      <c r="J447" s="666"/>
      <c r="K447" s="287"/>
      <c r="L447" s="666">
        <f>F447+1100</f>
        <v>4890</v>
      </c>
      <c r="M447" s="287">
        <f t="shared" si="1185"/>
        <v>4890</v>
      </c>
      <c r="N447" s="666">
        <f>F447+820</f>
        <v>4610</v>
      </c>
      <c r="O447" s="287">
        <f t="shared" ref="O447:O448" si="1204">+N447*$X$1</f>
        <v>4610</v>
      </c>
      <c r="P447" s="666">
        <f>F447+790</f>
        <v>4580</v>
      </c>
      <c r="Q447" s="287">
        <f t="shared" ref="Q447:Q448" si="1205">+P447*$X$1</f>
        <v>4580</v>
      </c>
      <c r="R447" s="666">
        <f>F447+750</f>
        <v>4540</v>
      </c>
      <c r="S447" s="287">
        <f t="shared" si="1191"/>
        <v>4540</v>
      </c>
      <c r="T447" s="666">
        <f>F447+720</f>
        <v>4510</v>
      </c>
      <c r="U447" s="287">
        <f t="shared" si="1193"/>
        <v>4510</v>
      </c>
      <c r="V447" s="666"/>
      <c r="W447" s="287"/>
      <c r="X447" s="213"/>
      <c r="Y447" s="215"/>
      <c r="Z447" s="215"/>
      <c r="AA447" s="214"/>
      <c r="AB447" s="403">
        <v>5003</v>
      </c>
      <c r="AC447" s="65"/>
    </row>
    <row r="448" spans="1:29" ht="12.6" customHeight="1" x14ac:dyDescent="0.2">
      <c r="A448" s="104"/>
      <c r="B448" s="694" t="s">
        <v>792</v>
      </c>
      <c r="C448" s="695"/>
      <c r="D448" s="695"/>
      <c r="E448" s="695"/>
      <c r="F448" s="288">
        <v>3790</v>
      </c>
      <c r="G448" s="288">
        <f t="shared" ref="G448" si="1206">+F448*$X$1</f>
        <v>3790</v>
      </c>
      <c r="H448" s="458">
        <f>F448+600</f>
        <v>4390</v>
      </c>
      <c r="I448" s="288">
        <f>+H448*$X$1</f>
        <v>4390</v>
      </c>
      <c r="J448" s="89">
        <f>F448+300</f>
        <v>4090</v>
      </c>
      <c r="K448" s="288">
        <f t="shared" ref="K448" si="1207">+J448*$X$1</f>
        <v>4090</v>
      </c>
      <c r="L448" s="458">
        <f>F448+250</f>
        <v>4040</v>
      </c>
      <c r="M448" s="288">
        <f t="shared" ref="M448" si="1208">+L448*$X$1</f>
        <v>4040</v>
      </c>
      <c r="N448" s="458">
        <f>F448+220</f>
        <v>4010</v>
      </c>
      <c r="O448" s="288">
        <f t="shared" si="1204"/>
        <v>4010</v>
      </c>
      <c r="P448" s="458">
        <f>F448+180</f>
        <v>3970</v>
      </c>
      <c r="Q448" s="288">
        <f t="shared" si="1205"/>
        <v>3970</v>
      </c>
      <c r="R448" s="458">
        <f>F448+150</f>
        <v>3940</v>
      </c>
      <c r="S448" s="288">
        <f t="shared" ref="S448" si="1209">+R448*$X$1</f>
        <v>3940</v>
      </c>
      <c r="T448" s="458">
        <f>F448+110</f>
        <v>3900</v>
      </c>
      <c r="U448" s="288">
        <f t="shared" ref="U448" si="1210">+T448*$X$1</f>
        <v>3900</v>
      </c>
      <c r="V448" s="458"/>
      <c r="W448" s="288"/>
      <c r="X448" s="434"/>
      <c r="Y448" s="432"/>
      <c r="Z448" s="432"/>
      <c r="AA448" s="433"/>
      <c r="AB448" s="403" t="s">
        <v>695</v>
      </c>
      <c r="AC448" s="65"/>
    </row>
    <row r="449" spans="1:35" ht="12.6" customHeight="1" x14ac:dyDescent="0.2">
      <c r="A449" s="18"/>
      <c r="B449" s="677" t="s">
        <v>527</v>
      </c>
      <c r="C449" s="678"/>
      <c r="D449" s="678"/>
      <c r="E449" s="678"/>
      <c r="F449" s="287">
        <v>4992</v>
      </c>
      <c r="G449" s="287">
        <f t="shared" ref="G449:G458" si="1211">+F449*$X$1</f>
        <v>4992</v>
      </c>
      <c r="H449" s="281"/>
      <c r="I449" s="342"/>
      <c r="J449" s="666"/>
      <c r="K449" s="287"/>
      <c r="L449" s="666">
        <f>F449+1300</f>
        <v>6292</v>
      </c>
      <c r="M449" s="287">
        <f t="shared" ref="M449" si="1212">+L449*$X$1</f>
        <v>6292</v>
      </c>
      <c r="N449" s="666">
        <f>F449+1000</f>
        <v>5992</v>
      </c>
      <c r="O449" s="287">
        <f t="shared" ref="O449" si="1213">+N449*$X$1</f>
        <v>5992</v>
      </c>
      <c r="P449" s="666">
        <f>F449+900</f>
        <v>5892</v>
      </c>
      <c r="Q449" s="287">
        <f t="shared" ref="Q449" si="1214">+P449*$X$1</f>
        <v>5892</v>
      </c>
      <c r="R449" s="666">
        <f>F449+860</f>
        <v>5852</v>
      </c>
      <c r="S449" s="287">
        <f>+R449*$X$1</f>
        <v>5852</v>
      </c>
      <c r="T449" s="666">
        <f>F449+830</f>
        <v>5822</v>
      </c>
      <c r="U449" s="287">
        <f>+T449*$X$1</f>
        <v>5822</v>
      </c>
      <c r="V449" s="666"/>
      <c r="W449" s="287"/>
      <c r="X449" s="1067"/>
      <c r="Y449" s="1068"/>
      <c r="Z449" s="1068"/>
      <c r="AA449" s="1069"/>
      <c r="AB449" s="192">
        <v>5008</v>
      </c>
      <c r="AC449" s="38"/>
      <c r="AD449" s="38"/>
      <c r="AE449" s="38"/>
      <c r="AF449" s="38"/>
      <c r="AG449" s="38"/>
      <c r="AH449" s="38"/>
      <c r="AI449" s="38"/>
    </row>
    <row r="450" spans="1:35" ht="12.6" customHeight="1" x14ac:dyDescent="0.2">
      <c r="A450" s="18"/>
      <c r="B450" s="699" t="s">
        <v>528</v>
      </c>
      <c r="C450" s="740"/>
      <c r="D450" s="740"/>
      <c r="E450" s="741"/>
      <c r="F450" s="288">
        <v>6786</v>
      </c>
      <c r="G450" s="288">
        <f t="shared" si="1211"/>
        <v>6786</v>
      </c>
      <c r="H450" s="280"/>
      <c r="I450" s="343"/>
      <c r="J450" s="458"/>
      <c r="K450" s="288"/>
      <c r="L450" s="458">
        <f>F450+1300</f>
        <v>8086</v>
      </c>
      <c r="M450" s="288">
        <f t="shared" ref="M450:M452" si="1215">+L450*$X$1</f>
        <v>8086</v>
      </c>
      <c r="N450" s="458">
        <f>F450+1000</f>
        <v>7786</v>
      </c>
      <c r="O450" s="288">
        <f t="shared" ref="O450:O452" si="1216">+N450*$X$1</f>
        <v>7786</v>
      </c>
      <c r="P450" s="458">
        <f>F450+900</f>
        <v>7686</v>
      </c>
      <c r="Q450" s="288">
        <f t="shared" ref="Q450:Q452" si="1217">+P450*$X$1</f>
        <v>7686</v>
      </c>
      <c r="R450" s="458">
        <f>F450+860</f>
        <v>7646</v>
      </c>
      <c r="S450" s="288">
        <f>+R450*$X$1</f>
        <v>7646</v>
      </c>
      <c r="T450" s="458">
        <f>F450+830</f>
        <v>7616</v>
      </c>
      <c r="U450" s="288">
        <f>+T450*$X$1</f>
        <v>7616</v>
      </c>
      <c r="V450" s="458"/>
      <c r="W450" s="288"/>
      <c r="X450" s="1067"/>
      <c r="Y450" s="1068"/>
      <c r="Z450" s="1068"/>
      <c r="AA450" s="1069"/>
      <c r="AB450" s="415">
        <v>5010</v>
      </c>
      <c r="AC450" s="38"/>
      <c r="AD450" s="38"/>
      <c r="AE450" s="38"/>
      <c r="AF450" s="38"/>
      <c r="AG450" s="38"/>
      <c r="AH450" s="38"/>
      <c r="AI450" s="38"/>
    </row>
    <row r="451" spans="1:35" ht="12.6" customHeight="1" x14ac:dyDescent="0.2">
      <c r="A451" s="18"/>
      <c r="B451" s="732" t="s">
        <v>529</v>
      </c>
      <c r="C451" s="733"/>
      <c r="D451" s="733"/>
      <c r="E451" s="734"/>
      <c r="F451" s="287">
        <v>3783</v>
      </c>
      <c r="G451" s="287">
        <f t="shared" ref="G451" si="1218">+F451*$X$1</f>
        <v>3783</v>
      </c>
      <c r="H451" s="281"/>
      <c r="I451" s="342"/>
      <c r="J451" s="666"/>
      <c r="K451" s="287"/>
      <c r="L451" s="666">
        <f>F451+1300</f>
        <v>5083</v>
      </c>
      <c r="M451" s="287">
        <f t="shared" si="1215"/>
        <v>5083</v>
      </c>
      <c r="N451" s="666">
        <f>F451+1000</f>
        <v>4783</v>
      </c>
      <c r="O451" s="287">
        <f t="shared" si="1216"/>
        <v>4783</v>
      </c>
      <c r="P451" s="666">
        <f>F451+900</f>
        <v>4683</v>
      </c>
      <c r="Q451" s="287">
        <f t="shared" si="1217"/>
        <v>4683</v>
      </c>
      <c r="R451" s="666">
        <f>F451+860</f>
        <v>4643</v>
      </c>
      <c r="S451" s="287">
        <f>+R451*$X$1</f>
        <v>4643</v>
      </c>
      <c r="T451" s="666">
        <f>F451+830</f>
        <v>4613</v>
      </c>
      <c r="U451" s="287">
        <f>+T451*$X$1</f>
        <v>4613</v>
      </c>
      <c r="V451" s="666"/>
      <c r="W451" s="287"/>
      <c r="X451" s="1067"/>
      <c r="Y451" s="1068"/>
      <c r="Z451" s="1068"/>
      <c r="AA451" s="1069"/>
      <c r="AB451" s="415"/>
      <c r="AC451" s="38"/>
      <c r="AD451" s="38"/>
      <c r="AE451" s="38"/>
      <c r="AF451" s="38"/>
      <c r="AG451" s="38"/>
      <c r="AH451" s="38"/>
      <c r="AI451" s="38"/>
    </row>
    <row r="452" spans="1:35" ht="12.6" customHeight="1" x14ac:dyDescent="0.2">
      <c r="A452" s="18"/>
      <c r="B452" s="699" t="s">
        <v>530</v>
      </c>
      <c r="C452" s="740"/>
      <c r="D452" s="740"/>
      <c r="E452" s="741"/>
      <c r="F452" s="288">
        <v>5616</v>
      </c>
      <c r="G452" s="288">
        <f t="shared" ref="G452:G455" si="1219">+F452*$X$1</f>
        <v>5616</v>
      </c>
      <c r="H452" s="280"/>
      <c r="I452" s="343"/>
      <c r="J452" s="458"/>
      <c r="K452" s="288"/>
      <c r="L452" s="458">
        <f>F452+1300</f>
        <v>6916</v>
      </c>
      <c r="M452" s="288">
        <f t="shared" si="1215"/>
        <v>6916</v>
      </c>
      <c r="N452" s="458">
        <f>F452+1000</f>
        <v>6616</v>
      </c>
      <c r="O452" s="288">
        <f t="shared" si="1216"/>
        <v>6616</v>
      </c>
      <c r="P452" s="458">
        <f>F452+900</f>
        <v>6516</v>
      </c>
      <c r="Q452" s="288">
        <f t="shared" si="1217"/>
        <v>6516</v>
      </c>
      <c r="R452" s="458">
        <f>F452+860</f>
        <v>6476</v>
      </c>
      <c r="S452" s="288">
        <f>+R452*$X$1</f>
        <v>6476</v>
      </c>
      <c r="T452" s="458">
        <f>F452+830</f>
        <v>6446</v>
      </c>
      <c r="U452" s="288">
        <f>+T452*$X$1</f>
        <v>6446</v>
      </c>
      <c r="V452" s="458"/>
      <c r="W452" s="288"/>
      <c r="X452" s="1067"/>
      <c r="Y452" s="1068"/>
      <c r="Z452" s="1068"/>
      <c r="AA452" s="1069"/>
      <c r="AB452" s="415"/>
      <c r="AC452" s="38"/>
      <c r="AD452" s="38"/>
      <c r="AE452" s="38"/>
      <c r="AF452" s="38"/>
      <c r="AG452" s="38"/>
      <c r="AH452" s="38"/>
      <c r="AI452" s="38"/>
    </row>
    <row r="453" spans="1:35" ht="12.6" customHeight="1" x14ac:dyDescent="0.2">
      <c r="A453" s="18"/>
      <c r="B453" s="677" t="s">
        <v>835</v>
      </c>
      <c r="C453" s="702"/>
      <c r="D453" s="702"/>
      <c r="E453" s="702"/>
      <c r="F453" s="330">
        <v>2100</v>
      </c>
      <c r="G453" s="287">
        <f t="shared" si="1219"/>
        <v>2100</v>
      </c>
      <c r="H453" s="281"/>
      <c r="I453" s="342"/>
      <c r="J453" s="666">
        <f>F453+200</f>
        <v>2300</v>
      </c>
      <c r="K453" s="287">
        <f t="shared" ref="K453" si="1220">+J453*$X$1</f>
        <v>2300</v>
      </c>
      <c r="L453" s="666">
        <f>F453+130</f>
        <v>2230</v>
      </c>
      <c r="M453" s="287">
        <f t="shared" ref="M453" si="1221">+L453*$X$1</f>
        <v>2230</v>
      </c>
      <c r="N453" s="666">
        <f>F453+70</f>
        <v>2170</v>
      </c>
      <c r="O453" s="287">
        <f t="shared" ref="O453" si="1222">+N453*$X$1</f>
        <v>2170</v>
      </c>
      <c r="P453" s="666">
        <f>F453+60</f>
        <v>2160</v>
      </c>
      <c r="Q453" s="287">
        <f t="shared" ref="Q453:Q454" si="1223">+P453*$X$1</f>
        <v>2160</v>
      </c>
      <c r="R453" s="666">
        <f>F453+52</f>
        <v>2152</v>
      </c>
      <c r="S453" s="287">
        <f t="shared" ref="S453" si="1224">+R453*$X$1</f>
        <v>2152</v>
      </c>
      <c r="T453" s="103">
        <f>F453+45</f>
        <v>2145</v>
      </c>
      <c r="U453" s="255">
        <f t="shared" ref="U453" si="1225">+T453*$X$1</f>
        <v>2145</v>
      </c>
      <c r="V453" s="103">
        <f>F453+40</f>
        <v>2140</v>
      </c>
      <c r="W453" s="255">
        <f t="shared" ref="W453" si="1226">+V453*$X$1</f>
        <v>2140</v>
      </c>
      <c r="X453" s="1213"/>
      <c r="Y453" s="1214"/>
      <c r="Z453" s="1214"/>
      <c r="AA453" s="1215"/>
      <c r="AB453" s="415">
        <v>11604</v>
      </c>
    </row>
    <row r="454" spans="1:35" ht="12.6" customHeight="1" x14ac:dyDescent="0.2">
      <c r="A454" s="18"/>
      <c r="B454" s="692" t="s">
        <v>526</v>
      </c>
      <c r="C454" s="747"/>
      <c r="D454" s="747"/>
      <c r="E454" s="747"/>
      <c r="F454" s="329">
        <v>2100</v>
      </c>
      <c r="G454" s="288">
        <f t="shared" si="1211"/>
        <v>2100</v>
      </c>
      <c r="H454" s="280"/>
      <c r="I454" s="343"/>
      <c r="J454" s="458">
        <f>F454+300</f>
        <v>2400</v>
      </c>
      <c r="K454" s="288">
        <f t="shared" ref="K454" si="1227">+J454*$X$1</f>
        <v>2400</v>
      </c>
      <c r="L454" s="458">
        <f>F454+240</f>
        <v>2340</v>
      </c>
      <c r="M454" s="288">
        <f>+L454*$X$1</f>
        <v>2340</v>
      </c>
      <c r="N454" s="458">
        <f>F454+204</f>
        <v>2304</v>
      </c>
      <c r="O454" s="288">
        <f>+N454*$X$1</f>
        <v>2304</v>
      </c>
      <c r="P454" s="458">
        <f>F454+170</f>
        <v>2270</v>
      </c>
      <c r="Q454" s="288">
        <f t="shared" si="1223"/>
        <v>2270</v>
      </c>
      <c r="R454" s="458">
        <f>F454+145</f>
        <v>2245</v>
      </c>
      <c r="S454" s="288">
        <f>+R454*$X$1</f>
        <v>2245</v>
      </c>
      <c r="T454" s="458">
        <f>F454+120</f>
        <v>2220</v>
      </c>
      <c r="U454" s="288">
        <f t="shared" ref="U454" si="1228">+T454*$X$1</f>
        <v>2220</v>
      </c>
      <c r="V454" s="458">
        <f>F454+110</f>
        <v>2210</v>
      </c>
      <c r="W454" s="288">
        <f>+V454*$X$1</f>
        <v>2210</v>
      </c>
      <c r="X454" s="1213"/>
      <c r="Y454" s="1214"/>
      <c r="Z454" s="1214"/>
      <c r="AA454" s="1215"/>
      <c r="AB454" s="415">
        <v>11605</v>
      </c>
    </row>
    <row r="455" spans="1:35" ht="12.6" customHeight="1" x14ac:dyDescent="0.2">
      <c r="A455" s="18"/>
      <c r="B455" s="1136" t="s">
        <v>834</v>
      </c>
      <c r="C455" s="1216"/>
      <c r="D455" s="1216"/>
      <c r="E455" s="1216"/>
      <c r="F455" s="330">
        <v>950</v>
      </c>
      <c r="G455" s="287">
        <f t="shared" si="1219"/>
        <v>950</v>
      </c>
      <c r="H455" s="281"/>
      <c r="I455" s="281"/>
      <c r="J455" s="666"/>
      <c r="K455" s="287"/>
      <c r="L455" s="666"/>
      <c r="M455" s="287"/>
      <c r="N455" s="666"/>
      <c r="O455" s="287"/>
      <c r="P455" s="666"/>
      <c r="Q455" s="287"/>
      <c r="R455" s="666"/>
      <c r="S455" s="287"/>
      <c r="T455" s="103"/>
      <c r="U455" s="255"/>
      <c r="V455" s="103"/>
      <c r="W455" s="255"/>
      <c r="X455" s="1213"/>
      <c r="Y455" s="1214"/>
      <c r="Z455" s="1214"/>
      <c r="AA455" s="1215"/>
      <c r="AB455" s="418"/>
    </row>
    <row r="456" spans="1:35" ht="12.6" customHeight="1" x14ac:dyDescent="0.2">
      <c r="A456" s="18"/>
      <c r="B456" s="692" t="s">
        <v>255</v>
      </c>
      <c r="C456" s="747"/>
      <c r="D456" s="747"/>
      <c r="E456" s="747"/>
      <c r="F456" s="288">
        <v>1090</v>
      </c>
      <c r="G456" s="288">
        <f t="shared" si="1211"/>
        <v>1090</v>
      </c>
      <c r="H456" s="280"/>
      <c r="I456" s="280"/>
      <c r="J456" s="458">
        <f>F456+200</f>
        <v>1290</v>
      </c>
      <c r="K456" s="288">
        <f t="shared" ref="K456" si="1229">+J456*$X$1</f>
        <v>1290</v>
      </c>
      <c r="L456" s="458">
        <f>F456+130</f>
        <v>1220</v>
      </c>
      <c r="M456" s="288">
        <f t="shared" ref="M456" si="1230">+L456*$X$1</f>
        <v>1220</v>
      </c>
      <c r="N456" s="458">
        <f>F456+70</f>
        <v>1160</v>
      </c>
      <c r="O456" s="288">
        <f t="shared" ref="O456" si="1231">+N456*$X$1</f>
        <v>1160</v>
      </c>
      <c r="P456" s="458">
        <f>F456+60</f>
        <v>1150</v>
      </c>
      <c r="Q456" s="288">
        <f t="shared" ref="Q456" si="1232">+P456*$X$1</f>
        <v>1150</v>
      </c>
      <c r="R456" s="458">
        <f>F456+52</f>
        <v>1142</v>
      </c>
      <c r="S456" s="288">
        <f t="shared" ref="S456" si="1233">+R456*$X$1</f>
        <v>1142</v>
      </c>
      <c r="T456" s="102">
        <f>F456+45</f>
        <v>1135</v>
      </c>
      <c r="U456" s="305">
        <f t="shared" ref="U456" si="1234">+T456*$X$1</f>
        <v>1135</v>
      </c>
      <c r="V456" s="102">
        <f>F456+40</f>
        <v>1130</v>
      </c>
      <c r="W456" s="305">
        <f t="shared" ref="W456" si="1235">+V456*$X$1</f>
        <v>1130</v>
      </c>
      <c r="X456" s="150"/>
      <c r="Y456" s="131"/>
      <c r="Z456" s="131"/>
      <c r="AA456" s="131"/>
      <c r="AB456" s="419"/>
    </row>
    <row r="457" spans="1:35" ht="12.6" customHeight="1" x14ac:dyDescent="0.2">
      <c r="A457" s="104"/>
      <c r="B457" s="961" t="s">
        <v>256</v>
      </c>
      <c r="C457" s="1222"/>
      <c r="D457" s="1222"/>
      <c r="E457" s="1222"/>
      <c r="F457" s="544">
        <v>60</v>
      </c>
      <c r="G457" s="544">
        <f t="shared" si="1211"/>
        <v>60</v>
      </c>
      <c r="H457" s="546"/>
      <c r="I457" s="546"/>
      <c r="J457" s="546"/>
      <c r="K457" s="546"/>
      <c r="L457" s="546"/>
      <c r="M457" s="546"/>
      <c r="N457" s="546"/>
      <c r="O457" s="544"/>
      <c r="P457" s="546"/>
      <c r="Q457" s="544"/>
      <c r="R457" s="546"/>
      <c r="S457" s="544"/>
      <c r="T457" s="546"/>
      <c r="U457" s="544"/>
      <c r="V457" s="546"/>
      <c r="W457" s="544"/>
      <c r="X457" s="150"/>
      <c r="Y457" s="131"/>
      <c r="Z457" s="131"/>
      <c r="AA457" s="131"/>
      <c r="AB457" s="192">
        <v>11612</v>
      </c>
    </row>
    <row r="458" spans="1:35" ht="12.6" customHeight="1" x14ac:dyDescent="0.2">
      <c r="A458" s="18"/>
      <c r="B458" s="699" t="s">
        <v>828</v>
      </c>
      <c r="C458" s="740"/>
      <c r="D458" s="740"/>
      <c r="E458" s="741"/>
      <c r="F458" s="380">
        <f>1.4*X2</f>
        <v>1517.6</v>
      </c>
      <c r="G458" s="288">
        <f t="shared" si="1211"/>
        <v>1517.6</v>
      </c>
      <c r="H458" s="458">
        <f t="shared" ref="H458:H464" si="1236">F458+500</f>
        <v>2017.6</v>
      </c>
      <c r="I458" s="288">
        <f t="shared" ref="I458:I459" si="1237">+H458*$X$1</f>
        <v>2017.6</v>
      </c>
      <c r="J458" s="458">
        <f t="shared" ref="J458:J464" si="1238">F458+200</f>
        <v>1717.6</v>
      </c>
      <c r="K458" s="288">
        <f t="shared" ref="K458:K459" si="1239">+J458*$X$1</f>
        <v>1717.6</v>
      </c>
      <c r="L458" s="458">
        <f t="shared" ref="L458:L464" si="1240">F458+150</f>
        <v>1667.6</v>
      </c>
      <c r="M458" s="288">
        <f t="shared" ref="M458:M459" si="1241">+L458*$X$1</f>
        <v>1667.6</v>
      </c>
      <c r="N458" s="458">
        <f t="shared" ref="N458:N464" si="1242">F458+110</f>
        <v>1627.6</v>
      </c>
      <c r="O458" s="288">
        <f t="shared" ref="O458:O459" si="1243">+N458*$X$1</f>
        <v>1627.6</v>
      </c>
      <c r="P458" s="458">
        <f t="shared" ref="P458:P464" si="1244">F458+85</f>
        <v>1602.6</v>
      </c>
      <c r="Q458" s="288">
        <f t="shared" ref="Q458:Q459" si="1245">+P458*$X$1</f>
        <v>1602.6</v>
      </c>
      <c r="R458" s="458">
        <f t="shared" ref="R458:R464" si="1246">F458+65</f>
        <v>1582.6</v>
      </c>
      <c r="S458" s="288">
        <f t="shared" ref="S458:S459" si="1247">+R458*$X$1</f>
        <v>1582.6</v>
      </c>
      <c r="T458" s="458">
        <f t="shared" ref="T458:T464" si="1248">F458+55</f>
        <v>1572.6</v>
      </c>
      <c r="U458" s="288">
        <f t="shared" ref="U458:U459" si="1249">+T458*$X$1</f>
        <v>1572.6</v>
      </c>
      <c r="V458" s="458">
        <f t="shared" ref="V458:V464" si="1250">F458+43</f>
        <v>1560.6</v>
      </c>
      <c r="W458" s="288">
        <f t="shared" ref="W458:W459" si="1251">+V458*$X$1</f>
        <v>1560.6</v>
      </c>
      <c r="X458" s="688"/>
      <c r="Y458" s="867"/>
      <c r="Z458" s="867"/>
      <c r="AA458" s="689"/>
      <c r="AB458" s="192" t="s">
        <v>829</v>
      </c>
    </row>
    <row r="459" spans="1:35" ht="12.6" customHeight="1" x14ac:dyDescent="0.2">
      <c r="A459" s="18"/>
      <c r="B459" s="732" t="s">
        <v>827</v>
      </c>
      <c r="C459" s="733"/>
      <c r="D459" s="733"/>
      <c r="E459" s="734"/>
      <c r="F459" s="379">
        <f>1.29*X2</f>
        <v>1398.3600000000001</v>
      </c>
      <c r="G459" s="287">
        <f t="shared" ref="G459" si="1252">+F459*$X$1</f>
        <v>1398.3600000000001</v>
      </c>
      <c r="H459" s="653">
        <f t="shared" si="1236"/>
        <v>1898.3600000000001</v>
      </c>
      <c r="I459" s="287">
        <f t="shared" si="1237"/>
        <v>1898.3600000000001</v>
      </c>
      <c r="J459" s="653">
        <f t="shared" si="1238"/>
        <v>1598.3600000000001</v>
      </c>
      <c r="K459" s="287">
        <f t="shared" si="1239"/>
        <v>1598.3600000000001</v>
      </c>
      <c r="L459" s="653">
        <f t="shared" si="1240"/>
        <v>1548.3600000000001</v>
      </c>
      <c r="M459" s="287">
        <f t="shared" si="1241"/>
        <v>1548.3600000000001</v>
      </c>
      <c r="N459" s="653">
        <f t="shared" si="1242"/>
        <v>1508.3600000000001</v>
      </c>
      <c r="O459" s="287">
        <f t="shared" si="1243"/>
        <v>1508.3600000000001</v>
      </c>
      <c r="P459" s="653">
        <f t="shared" si="1244"/>
        <v>1483.3600000000001</v>
      </c>
      <c r="Q459" s="287">
        <f t="shared" si="1245"/>
        <v>1483.3600000000001</v>
      </c>
      <c r="R459" s="653">
        <f t="shared" si="1246"/>
        <v>1463.3600000000001</v>
      </c>
      <c r="S459" s="287">
        <f t="shared" si="1247"/>
        <v>1463.3600000000001</v>
      </c>
      <c r="T459" s="653">
        <f t="shared" si="1248"/>
        <v>1453.3600000000001</v>
      </c>
      <c r="U459" s="287">
        <f t="shared" si="1249"/>
        <v>1453.3600000000001</v>
      </c>
      <c r="V459" s="653">
        <f t="shared" si="1250"/>
        <v>1441.3600000000001</v>
      </c>
      <c r="W459" s="287">
        <f t="shared" si="1251"/>
        <v>1441.3600000000001</v>
      </c>
      <c r="X459" s="688"/>
      <c r="Y459" s="867"/>
      <c r="Z459" s="867"/>
      <c r="AA459" s="689"/>
      <c r="AB459" s="192" t="s">
        <v>512</v>
      </c>
    </row>
    <row r="460" spans="1:35" ht="12.6" customHeight="1" x14ac:dyDescent="0.2">
      <c r="A460" s="104"/>
      <c r="B460" s="694" t="s">
        <v>903</v>
      </c>
      <c r="C460" s="695"/>
      <c r="D460" s="695"/>
      <c r="E460" s="695"/>
      <c r="F460" s="380">
        <f>1.882*X2</f>
        <v>2040.088</v>
      </c>
      <c r="G460" s="288">
        <f>+F460*$X$1</f>
        <v>2040.088</v>
      </c>
      <c r="H460" s="458">
        <f t="shared" si="1236"/>
        <v>2540.0879999999997</v>
      </c>
      <c r="I460" s="288">
        <f t="shared" ref="I460" si="1253">+H460*$X$1</f>
        <v>2540.0879999999997</v>
      </c>
      <c r="J460" s="458">
        <f t="shared" si="1238"/>
        <v>2240.0879999999997</v>
      </c>
      <c r="K460" s="288">
        <f t="shared" ref="K460" si="1254">+J460*$X$1</f>
        <v>2240.0879999999997</v>
      </c>
      <c r="L460" s="458">
        <f t="shared" si="1240"/>
        <v>2190.0879999999997</v>
      </c>
      <c r="M460" s="288">
        <f t="shared" ref="M460" si="1255">+L460*$X$1</f>
        <v>2190.0879999999997</v>
      </c>
      <c r="N460" s="458">
        <f t="shared" si="1242"/>
        <v>2150.0879999999997</v>
      </c>
      <c r="O460" s="288">
        <f t="shared" ref="O460" si="1256">+N460*$X$1</f>
        <v>2150.0879999999997</v>
      </c>
      <c r="P460" s="458">
        <f t="shared" si="1244"/>
        <v>2125.0879999999997</v>
      </c>
      <c r="Q460" s="288">
        <f t="shared" ref="Q460" si="1257">+P460*$X$1</f>
        <v>2125.0879999999997</v>
      </c>
      <c r="R460" s="458">
        <f t="shared" si="1246"/>
        <v>2105.0879999999997</v>
      </c>
      <c r="S460" s="288">
        <f t="shared" ref="S460" si="1258">+R460*$X$1</f>
        <v>2105.0879999999997</v>
      </c>
      <c r="T460" s="458">
        <f t="shared" si="1248"/>
        <v>2095.0879999999997</v>
      </c>
      <c r="U460" s="288">
        <f t="shared" ref="U460" si="1259">+T460*$X$1</f>
        <v>2095.0879999999997</v>
      </c>
      <c r="V460" s="458">
        <f t="shared" si="1250"/>
        <v>2083.0879999999997</v>
      </c>
      <c r="W460" s="288">
        <f t="shared" ref="W460" si="1260">+V460*$X$1</f>
        <v>2083.0879999999997</v>
      </c>
      <c r="X460" s="688"/>
      <c r="Y460" s="688"/>
      <c r="Z460" s="688"/>
      <c r="AA460" s="688"/>
      <c r="AB460" s="403" t="s">
        <v>904</v>
      </c>
      <c r="AC460" s="65"/>
    </row>
    <row r="461" spans="1:35" ht="12.6" customHeight="1" x14ac:dyDescent="0.2">
      <c r="A461" s="104"/>
      <c r="B461" s="772" t="s">
        <v>657</v>
      </c>
      <c r="C461" s="773"/>
      <c r="D461" s="773"/>
      <c r="E461" s="773"/>
      <c r="F461" s="379">
        <f>4.1*X2</f>
        <v>4444.3999999999996</v>
      </c>
      <c r="G461" s="287">
        <f>+F461*$X$1</f>
        <v>4444.3999999999996</v>
      </c>
      <c r="H461" s="603">
        <f t="shared" si="1236"/>
        <v>4944.3999999999996</v>
      </c>
      <c r="I461" s="287">
        <f t="shared" ref="I461:I464" si="1261">+H461*$X$1</f>
        <v>4944.3999999999996</v>
      </c>
      <c r="J461" s="603">
        <f t="shared" si="1238"/>
        <v>4644.3999999999996</v>
      </c>
      <c r="K461" s="287">
        <f t="shared" ref="K461:K464" si="1262">+J461*$X$1</f>
        <v>4644.3999999999996</v>
      </c>
      <c r="L461" s="603">
        <f t="shared" si="1240"/>
        <v>4594.3999999999996</v>
      </c>
      <c r="M461" s="287">
        <f t="shared" ref="M461:M464" si="1263">+L461*$X$1</f>
        <v>4594.3999999999996</v>
      </c>
      <c r="N461" s="603">
        <f t="shared" si="1242"/>
        <v>4554.3999999999996</v>
      </c>
      <c r="O461" s="287">
        <f t="shared" ref="O461:O464" si="1264">+N461*$X$1</f>
        <v>4554.3999999999996</v>
      </c>
      <c r="P461" s="603">
        <f t="shared" si="1244"/>
        <v>4529.3999999999996</v>
      </c>
      <c r="Q461" s="287">
        <f t="shared" ref="Q461:Q464" si="1265">+P461*$X$1</f>
        <v>4529.3999999999996</v>
      </c>
      <c r="R461" s="603">
        <f t="shared" si="1246"/>
        <v>4509.3999999999996</v>
      </c>
      <c r="S461" s="287">
        <f t="shared" ref="S461:S464" si="1266">+R461*$X$1</f>
        <v>4509.3999999999996</v>
      </c>
      <c r="T461" s="603">
        <f t="shared" si="1248"/>
        <v>4499.3999999999996</v>
      </c>
      <c r="U461" s="287">
        <f t="shared" ref="U461:U464" si="1267">+T461*$X$1</f>
        <v>4499.3999999999996</v>
      </c>
      <c r="V461" s="603">
        <f t="shared" si="1250"/>
        <v>4487.3999999999996</v>
      </c>
      <c r="W461" s="287">
        <f t="shared" ref="W461:W464" si="1268">+V461*$X$1</f>
        <v>4487.3999999999996</v>
      </c>
      <c r="X461" s="688"/>
      <c r="Y461" s="688"/>
      <c r="Z461" s="688"/>
      <c r="AA461" s="688"/>
      <c r="AB461" s="403" t="s">
        <v>656</v>
      </c>
      <c r="AC461" s="65"/>
    </row>
    <row r="462" spans="1:35" ht="12.6" customHeight="1" x14ac:dyDescent="0.2">
      <c r="A462" s="104"/>
      <c r="B462" s="694" t="s">
        <v>649</v>
      </c>
      <c r="C462" s="695"/>
      <c r="D462" s="695"/>
      <c r="E462" s="695"/>
      <c r="F462" s="380">
        <f>4.836*X2</f>
        <v>5242.2240000000002</v>
      </c>
      <c r="G462" s="288">
        <f t="shared" ref="G462:G464" si="1269">+F462*$X$1</f>
        <v>5242.2240000000002</v>
      </c>
      <c r="H462" s="458">
        <f t="shared" si="1236"/>
        <v>5742.2240000000002</v>
      </c>
      <c r="I462" s="288">
        <f t="shared" si="1261"/>
        <v>5742.2240000000002</v>
      </c>
      <c r="J462" s="458">
        <f t="shared" si="1238"/>
        <v>5442.2240000000002</v>
      </c>
      <c r="K462" s="288">
        <f t="shared" si="1262"/>
        <v>5442.2240000000002</v>
      </c>
      <c r="L462" s="458">
        <f t="shared" si="1240"/>
        <v>5392.2240000000002</v>
      </c>
      <c r="M462" s="288">
        <f t="shared" si="1263"/>
        <v>5392.2240000000002</v>
      </c>
      <c r="N462" s="458">
        <f t="shared" si="1242"/>
        <v>5352.2240000000002</v>
      </c>
      <c r="O462" s="288">
        <f t="shared" si="1264"/>
        <v>5352.2240000000002</v>
      </c>
      <c r="P462" s="458">
        <f t="shared" si="1244"/>
        <v>5327.2240000000002</v>
      </c>
      <c r="Q462" s="288">
        <f t="shared" si="1265"/>
        <v>5327.2240000000002</v>
      </c>
      <c r="R462" s="458">
        <f t="shared" si="1246"/>
        <v>5307.2240000000002</v>
      </c>
      <c r="S462" s="288">
        <f t="shared" si="1266"/>
        <v>5307.2240000000002</v>
      </c>
      <c r="T462" s="458">
        <f t="shared" si="1248"/>
        <v>5297.2240000000002</v>
      </c>
      <c r="U462" s="288">
        <f t="shared" si="1267"/>
        <v>5297.2240000000002</v>
      </c>
      <c r="V462" s="458">
        <f t="shared" si="1250"/>
        <v>5285.2240000000002</v>
      </c>
      <c r="W462" s="288">
        <f t="shared" si="1268"/>
        <v>5285.2240000000002</v>
      </c>
      <c r="X462" s="688"/>
      <c r="Y462" s="688"/>
      <c r="Z462" s="688"/>
      <c r="AA462" s="688"/>
      <c r="AB462" s="403" t="s">
        <v>648</v>
      </c>
      <c r="AC462" s="65"/>
    </row>
    <row r="463" spans="1:35" ht="12.6" customHeight="1" x14ac:dyDescent="0.2">
      <c r="A463" s="104"/>
      <c r="B463" s="772" t="s">
        <v>652</v>
      </c>
      <c r="C463" s="773"/>
      <c r="D463" s="773"/>
      <c r="E463" s="773"/>
      <c r="F463" s="379">
        <f>4.07*X2</f>
        <v>4411.88</v>
      </c>
      <c r="G463" s="287">
        <f t="shared" si="1269"/>
        <v>4411.88</v>
      </c>
      <c r="H463" s="603">
        <f t="shared" si="1236"/>
        <v>4911.88</v>
      </c>
      <c r="I463" s="287">
        <f t="shared" si="1261"/>
        <v>4911.88</v>
      </c>
      <c r="J463" s="603">
        <f t="shared" si="1238"/>
        <v>4611.88</v>
      </c>
      <c r="K463" s="287">
        <f t="shared" si="1262"/>
        <v>4611.88</v>
      </c>
      <c r="L463" s="603">
        <f t="shared" si="1240"/>
        <v>4561.88</v>
      </c>
      <c r="M463" s="287">
        <f t="shared" si="1263"/>
        <v>4561.88</v>
      </c>
      <c r="N463" s="603">
        <f t="shared" si="1242"/>
        <v>4521.88</v>
      </c>
      <c r="O463" s="287">
        <f t="shared" si="1264"/>
        <v>4521.88</v>
      </c>
      <c r="P463" s="603">
        <f t="shared" si="1244"/>
        <v>4496.88</v>
      </c>
      <c r="Q463" s="287">
        <f t="shared" si="1265"/>
        <v>4496.88</v>
      </c>
      <c r="R463" s="603">
        <f t="shared" si="1246"/>
        <v>4476.88</v>
      </c>
      <c r="S463" s="287">
        <f t="shared" si="1266"/>
        <v>4476.88</v>
      </c>
      <c r="T463" s="603">
        <f t="shared" si="1248"/>
        <v>4466.88</v>
      </c>
      <c r="U463" s="287">
        <f t="shared" si="1267"/>
        <v>4466.88</v>
      </c>
      <c r="V463" s="603">
        <f t="shared" si="1250"/>
        <v>4454.88</v>
      </c>
      <c r="W463" s="287">
        <f t="shared" si="1268"/>
        <v>4454.88</v>
      </c>
      <c r="X463" s="688"/>
      <c r="Y463" s="688"/>
      <c r="Z463" s="688"/>
      <c r="AA463" s="688"/>
      <c r="AB463" s="403" t="s">
        <v>650</v>
      </c>
      <c r="AC463" s="65"/>
    </row>
    <row r="464" spans="1:35" ht="12.6" customHeight="1" x14ac:dyDescent="0.2">
      <c r="A464" s="104"/>
      <c r="B464" s="694" t="s">
        <v>653</v>
      </c>
      <c r="C464" s="695"/>
      <c r="D464" s="695"/>
      <c r="E464" s="695"/>
      <c r="F464" s="380">
        <f>4.07*X2</f>
        <v>4411.88</v>
      </c>
      <c r="G464" s="288">
        <f t="shared" si="1269"/>
        <v>4411.88</v>
      </c>
      <c r="H464" s="458">
        <f t="shared" si="1236"/>
        <v>4911.88</v>
      </c>
      <c r="I464" s="288">
        <f t="shared" si="1261"/>
        <v>4911.88</v>
      </c>
      <c r="J464" s="458">
        <f t="shared" si="1238"/>
        <v>4611.88</v>
      </c>
      <c r="K464" s="288">
        <f t="shared" si="1262"/>
        <v>4611.88</v>
      </c>
      <c r="L464" s="458">
        <f t="shared" si="1240"/>
        <v>4561.88</v>
      </c>
      <c r="M464" s="288">
        <f t="shared" si="1263"/>
        <v>4561.88</v>
      </c>
      <c r="N464" s="458">
        <f t="shared" si="1242"/>
        <v>4521.88</v>
      </c>
      <c r="O464" s="288">
        <f t="shared" si="1264"/>
        <v>4521.88</v>
      </c>
      <c r="P464" s="458">
        <f t="shared" si="1244"/>
        <v>4496.88</v>
      </c>
      <c r="Q464" s="288">
        <f t="shared" si="1265"/>
        <v>4496.88</v>
      </c>
      <c r="R464" s="458">
        <f t="shared" si="1246"/>
        <v>4476.88</v>
      </c>
      <c r="S464" s="288">
        <f t="shared" si="1266"/>
        <v>4476.88</v>
      </c>
      <c r="T464" s="458">
        <f t="shared" si="1248"/>
        <v>4466.88</v>
      </c>
      <c r="U464" s="288">
        <f t="shared" si="1267"/>
        <v>4466.88</v>
      </c>
      <c r="V464" s="458">
        <f t="shared" si="1250"/>
        <v>4454.88</v>
      </c>
      <c r="W464" s="288">
        <f t="shared" si="1268"/>
        <v>4454.88</v>
      </c>
      <c r="X464" s="688"/>
      <c r="Y464" s="688"/>
      <c r="Z464" s="688"/>
      <c r="AA464" s="688"/>
      <c r="AB464" s="403" t="s">
        <v>651</v>
      </c>
      <c r="AC464" s="65"/>
    </row>
    <row r="465" spans="1:33" ht="12.6" customHeight="1" x14ac:dyDescent="0.2">
      <c r="A465" s="104"/>
      <c r="B465" s="735" t="s">
        <v>901</v>
      </c>
      <c r="C465" s="1204"/>
      <c r="D465" s="1204"/>
      <c r="E465" s="1204"/>
      <c r="F465" s="379">
        <f>3.7*X2</f>
        <v>4010.8</v>
      </c>
      <c r="G465" s="287">
        <f t="shared" ref="G465" si="1270">+F465*$X$1</f>
        <v>4010.8</v>
      </c>
      <c r="H465" s="562"/>
      <c r="I465" s="287"/>
      <c r="J465" s="562">
        <f>F465+300</f>
        <v>4310.8</v>
      </c>
      <c r="K465" s="287">
        <f t="shared" ref="K465" si="1271">+J465*$X$1</f>
        <v>4310.8</v>
      </c>
      <c r="L465" s="562">
        <f>F465+240</f>
        <v>4250.8</v>
      </c>
      <c r="M465" s="287">
        <f t="shared" ref="M465" si="1272">+L465*$X$1</f>
        <v>4250.8</v>
      </c>
      <c r="N465" s="562">
        <f>F465+200</f>
        <v>4210.8</v>
      </c>
      <c r="O465" s="287">
        <f t="shared" ref="O465" si="1273">+N465*$X$1</f>
        <v>4210.8</v>
      </c>
      <c r="P465" s="562">
        <f>F465+160</f>
        <v>4170.8</v>
      </c>
      <c r="Q465" s="287">
        <f t="shared" ref="Q465" si="1274">+P465*$X$1</f>
        <v>4170.8</v>
      </c>
      <c r="R465" s="562">
        <f>F465+140</f>
        <v>4150.8</v>
      </c>
      <c r="S465" s="287">
        <f t="shared" ref="S465" si="1275">+R465*$X$1</f>
        <v>4150.8</v>
      </c>
      <c r="T465" s="562">
        <f>F465+110</f>
        <v>4120.8</v>
      </c>
      <c r="U465" s="287">
        <f t="shared" ref="U465" si="1276">+T465*$X$1</f>
        <v>4120.8</v>
      </c>
      <c r="V465" s="562">
        <f>F465+90</f>
        <v>4100.8</v>
      </c>
      <c r="W465" s="287">
        <f t="shared" ref="W465" si="1277">+V465*$X$1</f>
        <v>4100.8</v>
      </c>
      <c r="X465" s="688"/>
      <c r="Y465" s="688"/>
      <c r="Z465" s="688"/>
      <c r="AA465" s="688"/>
      <c r="AB465" s="403" t="s">
        <v>902</v>
      </c>
      <c r="AC465" s="65"/>
    </row>
    <row r="466" spans="1:33" ht="12.6" customHeight="1" x14ac:dyDescent="0.2">
      <c r="A466" s="104"/>
      <c r="B466" s="735" t="s">
        <v>920</v>
      </c>
      <c r="C466" s="1204"/>
      <c r="D466" s="1204"/>
      <c r="E466" s="1204"/>
      <c r="F466" s="380">
        <v>22</v>
      </c>
      <c r="G466" s="288">
        <f t="shared" ref="G466" si="1278">+F466*$X$1</f>
        <v>22</v>
      </c>
      <c r="H466" s="458"/>
      <c r="I466" s="288"/>
      <c r="J466" s="458"/>
      <c r="K466" s="288"/>
      <c r="L466" s="458"/>
      <c r="M466" s="288"/>
      <c r="N466" s="458"/>
      <c r="O466" s="288"/>
      <c r="P466" s="458"/>
      <c r="Q466" s="288"/>
      <c r="R466" s="458"/>
      <c r="S466" s="288"/>
      <c r="T466" s="458"/>
      <c r="U466" s="288"/>
      <c r="V466" s="458"/>
      <c r="W466" s="288"/>
      <c r="X466" s="688"/>
      <c r="Y466" s="688"/>
      <c r="Z466" s="688"/>
      <c r="AA466" s="688"/>
      <c r="AB466" s="403" t="s">
        <v>921</v>
      </c>
      <c r="AC466" s="65"/>
    </row>
    <row r="467" spans="1:33" ht="12.6" customHeight="1" x14ac:dyDescent="0.2">
      <c r="A467" s="104"/>
      <c r="B467" s="735" t="s">
        <v>919</v>
      </c>
      <c r="C467" s="1204"/>
      <c r="D467" s="1204"/>
      <c r="E467" s="1204"/>
      <c r="F467" s="379">
        <v>49</v>
      </c>
      <c r="G467" s="287">
        <f t="shared" ref="G467" si="1279">+F467*$X$1</f>
        <v>49</v>
      </c>
      <c r="H467" s="583"/>
      <c r="I467" s="287"/>
      <c r="J467" s="583"/>
      <c r="K467" s="287"/>
      <c r="L467" s="583"/>
      <c r="M467" s="287"/>
      <c r="N467" s="583"/>
      <c r="O467" s="287"/>
      <c r="P467" s="583"/>
      <c r="Q467" s="287"/>
      <c r="R467" s="583"/>
      <c r="S467" s="287"/>
      <c r="T467" s="583"/>
      <c r="U467" s="287"/>
      <c r="V467" s="583"/>
      <c r="W467" s="287"/>
      <c r="X467" s="688"/>
      <c r="Y467" s="688"/>
      <c r="Z467" s="688"/>
      <c r="AA467" s="688"/>
      <c r="AB467" s="403" t="s">
        <v>922</v>
      </c>
      <c r="AC467" s="65"/>
    </row>
    <row r="468" spans="1:33" ht="12.6" customHeight="1" x14ac:dyDescent="0.2">
      <c r="A468" s="18"/>
      <c r="B468" s="699" t="s">
        <v>341</v>
      </c>
      <c r="C468" s="740"/>
      <c r="D468" s="740"/>
      <c r="E468" s="741"/>
      <c r="F468" s="288">
        <v>1225</v>
      </c>
      <c r="G468" s="288">
        <f t="shared" ref="G468:G478" si="1280">+F468*$X$1</f>
        <v>1225</v>
      </c>
      <c r="H468" s="260"/>
      <c r="I468" s="996" t="s">
        <v>499</v>
      </c>
      <c r="J468" s="1205"/>
      <c r="K468" s="1205"/>
      <c r="L468" s="1205"/>
      <c r="M468" s="1206"/>
      <c r="N468" s="458">
        <v>1750</v>
      </c>
      <c r="O468" s="288">
        <f>+N468*$X$1</f>
        <v>1750</v>
      </c>
      <c r="P468" s="105">
        <v>1745</v>
      </c>
      <c r="Q468" s="288">
        <f t="shared" ref="Q468" si="1281">+P468*$X$1</f>
        <v>1745</v>
      </c>
      <c r="R468" s="458">
        <v>1571</v>
      </c>
      <c r="S468" s="288">
        <f>+R468*$X$1</f>
        <v>1571</v>
      </c>
      <c r="T468" s="458">
        <v>1462</v>
      </c>
      <c r="U468" s="288">
        <f>+T468*$X$1</f>
        <v>1462</v>
      </c>
      <c r="V468" s="458">
        <v>1419</v>
      </c>
      <c r="W468" s="288">
        <f t="shared" ref="W468" si="1282">+V468*$X$1</f>
        <v>1419</v>
      </c>
      <c r="X468" s="134"/>
      <c r="Y468" s="134"/>
      <c r="Z468" s="134"/>
      <c r="AA468" s="137"/>
      <c r="AB468" s="29"/>
    </row>
    <row r="469" spans="1:33" ht="12.6" customHeight="1" x14ac:dyDescent="0.2">
      <c r="A469" s="18"/>
      <c r="B469" s="732" t="s">
        <v>342</v>
      </c>
      <c r="C469" s="733"/>
      <c r="D469" s="733"/>
      <c r="E469" s="734"/>
      <c r="F469" s="287">
        <v>1225</v>
      </c>
      <c r="G469" s="287">
        <f t="shared" si="1280"/>
        <v>1225</v>
      </c>
      <c r="H469" s="260"/>
      <c r="I469" s="1207"/>
      <c r="J469" s="1208"/>
      <c r="K469" s="1208"/>
      <c r="L469" s="1208"/>
      <c r="M469" s="1209"/>
      <c r="N469" s="538">
        <v>1750</v>
      </c>
      <c r="O469" s="287">
        <f>+N469*$X$1</f>
        <v>1750</v>
      </c>
      <c r="P469" s="101">
        <v>1745</v>
      </c>
      <c r="Q469" s="287">
        <f t="shared" ref="Q469:Q470" si="1283">+P469*$X$1</f>
        <v>1745</v>
      </c>
      <c r="R469" s="538">
        <v>1571</v>
      </c>
      <c r="S469" s="287">
        <f>+R469*$X$1</f>
        <v>1571</v>
      </c>
      <c r="T469" s="538">
        <v>1462</v>
      </c>
      <c r="U469" s="287">
        <f>+T469*$X$1</f>
        <v>1462</v>
      </c>
      <c r="V469" s="538">
        <v>1419</v>
      </c>
      <c r="W469" s="287">
        <f t="shared" ref="W469:W470" si="1284">+V469*$X$1</f>
        <v>1419</v>
      </c>
      <c r="X469" s="134"/>
      <c r="Y469" s="134"/>
      <c r="Z469" s="134"/>
      <c r="AA469" s="137"/>
      <c r="AB469" s="192"/>
    </row>
    <row r="470" spans="1:33" ht="12.6" customHeight="1" x14ac:dyDescent="0.2">
      <c r="A470" s="18"/>
      <c r="B470" s="699" t="s">
        <v>343</v>
      </c>
      <c r="C470" s="740"/>
      <c r="D470" s="740"/>
      <c r="E470" s="741"/>
      <c r="F470" s="288">
        <v>1225</v>
      </c>
      <c r="G470" s="288">
        <f t="shared" si="1280"/>
        <v>1225</v>
      </c>
      <c r="H470" s="17"/>
      <c r="I470" s="1210"/>
      <c r="J470" s="1211"/>
      <c r="K470" s="1211"/>
      <c r="L470" s="1211"/>
      <c r="M470" s="1212"/>
      <c r="N470" s="458">
        <v>1750</v>
      </c>
      <c r="O470" s="288">
        <f>+N470*$X$1</f>
        <v>1750</v>
      </c>
      <c r="P470" s="105">
        <v>1745</v>
      </c>
      <c r="Q470" s="288">
        <f t="shared" si="1283"/>
        <v>1745</v>
      </c>
      <c r="R470" s="458">
        <v>1571</v>
      </c>
      <c r="S470" s="288">
        <f>+R470*$X$1</f>
        <v>1571</v>
      </c>
      <c r="T470" s="458">
        <v>1462</v>
      </c>
      <c r="U470" s="288">
        <f>+T470*$X$1</f>
        <v>1462</v>
      </c>
      <c r="V470" s="458">
        <v>1419</v>
      </c>
      <c r="W470" s="288">
        <f t="shared" si="1284"/>
        <v>1419</v>
      </c>
      <c r="X470" s="134"/>
      <c r="Y470" s="134"/>
      <c r="Z470" s="134"/>
      <c r="AA470" s="137"/>
      <c r="AB470" s="192"/>
      <c r="AG470" s="228"/>
    </row>
    <row r="471" spans="1:33" ht="12.6" customHeight="1" x14ac:dyDescent="0.2">
      <c r="A471" s="18"/>
      <c r="B471" s="1136" t="s">
        <v>257</v>
      </c>
      <c r="C471" s="1137"/>
      <c r="D471" s="1137"/>
      <c r="E471" s="1137"/>
      <c r="F471" s="379">
        <f>3.11*X2</f>
        <v>3371.24</v>
      </c>
      <c r="G471" s="287">
        <f t="shared" si="1280"/>
        <v>3371.24</v>
      </c>
      <c r="H471" s="281"/>
      <c r="I471" s="281"/>
      <c r="J471" s="540">
        <f>F471+200</f>
        <v>3571.24</v>
      </c>
      <c r="K471" s="287">
        <f>+J471*$X$1</f>
        <v>3571.24</v>
      </c>
      <c r="L471" s="540">
        <f>F471+140</f>
        <v>3511.24</v>
      </c>
      <c r="M471" s="287">
        <f>+L471*$X$1</f>
        <v>3511.24</v>
      </c>
      <c r="N471" s="540">
        <f>F471+70</f>
        <v>3441.24</v>
      </c>
      <c r="O471" s="287">
        <f>+N471*$X$1</f>
        <v>3441.24</v>
      </c>
      <c r="P471" s="540">
        <f>F471+60</f>
        <v>3431.24</v>
      </c>
      <c r="Q471" s="287">
        <f>+P471*$X$1</f>
        <v>3431.24</v>
      </c>
      <c r="R471" s="540">
        <f>F471+50</f>
        <v>3421.24</v>
      </c>
      <c r="S471" s="287">
        <f>+R471*$X$1</f>
        <v>3421.24</v>
      </c>
      <c r="T471" s="103">
        <f>F471+44</f>
        <v>3415.24</v>
      </c>
      <c r="U471" s="255">
        <f>+T471*$X$1</f>
        <v>3415.24</v>
      </c>
      <c r="V471" s="103">
        <f>F471+38</f>
        <v>3409.24</v>
      </c>
      <c r="W471" s="255">
        <f>+V471*$X$1</f>
        <v>3409.24</v>
      </c>
      <c r="X471" s="727"/>
      <c r="Y471" s="727"/>
      <c r="Z471" s="727"/>
      <c r="AA471" s="728"/>
      <c r="AB471" s="192" t="s">
        <v>258</v>
      </c>
    </row>
    <row r="472" spans="1:33" ht="12.6" customHeight="1" x14ac:dyDescent="0.2">
      <c r="A472" s="18"/>
      <c r="B472" s="692" t="s">
        <v>395</v>
      </c>
      <c r="C472" s="693"/>
      <c r="D472" s="693"/>
      <c r="E472" s="693"/>
      <c r="F472" s="380">
        <f>0.98*X2</f>
        <v>1062.32</v>
      </c>
      <c r="G472" s="288">
        <f t="shared" si="1280"/>
        <v>1062.32</v>
      </c>
      <c r="H472" s="280"/>
      <c r="I472" s="280"/>
      <c r="J472" s="458">
        <f>F472+200</f>
        <v>1262.32</v>
      </c>
      <c r="K472" s="288">
        <f>+J472*$X$1</f>
        <v>1262.32</v>
      </c>
      <c r="L472" s="458">
        <f>F472+140</f>
        <v>1202.32</v>
      </c>
      <c r="M472" s="288">
        <f>+L472*$X$1</f>
        <v>1202.32</v>
      </c>
      <c r="N472" s="458">
        <f>F472+70</f>
        <v>1132.32</v>
      </c>
      <c r="O472" s="288">
        <f>+N472*$X$1</f>
        <v>1132.32</v>
      </c>
      <c r="P472" s="458">
        <f>F472+60</f>
        <v>1122.32</v>
      </c>
      <c r="Q472" s="288">
        <f>+P472*$X$1</f>
        <v>1122.32</v>
      </c>
      <c r="R472" s="458">
        <f>F472+50</f>
        <v>1112.32</v>
      </c>
      <c r="S472" s="288">
        <f>+R472*$X$1</f>
        <v>1112.32</v>
      </c>
      <c r="T472" s="102">
        <f>F472+44</f>
        <v>1106.32</v>
      </c>
      <c r="U472" s="305">
        <f>+T472*$X$1</f>
        <v>1106.32</v>
      </c>
      <c r="V472" s="102">
        <f>F472+38</f>
        <v>1100.32</v>
      </c>
      <c r="W472" s="305">
        <f>+V472*$X$1</f>
        <v>1100.32</v>
      </c>
      <c r="X472" s="727"/>
      <c r="Y472" s="727"/>
      <c r="Z472" s="727"/>
      <c r="AA472" s="728"/>
      <c r="AB472" s="192" t="s">
        <v>429</v>
      </c>
    </row>
    <row r="473" spans="1:33" s="65" customFormat="1" ht="12.6" customHeight="1" x14ac:dyDescent="0.25">
      <c r="A473" s="97"/>
      <c r="B473" s="696" t="s">
        <v>339</v>
      </c>
      <c r="C473" s="1064"/>
      <c r="D473" s="1064"/>
      <c r="E473" s="1064"/>
      <c r="F473" s="287">
        <v>635</v>
      </c>
      <c r="G473" s="287">
        <f t="shared" si="1280"/>
        <v>635</v>
      </c>
      <c r="H473" s="279"/>
      <c r="I473" s="996" t="s">
        <v>495</v>
      </c>
      <c r="J473" s="997"/>
      <c r="K473" s="997"/>
      <c r="L473" s="998"/>
      <c r="M473" s="999"/>
      <c r="N473" s="538">
        <v>1243</v>
      </c>
      <c r="O473" s="287">
        <f t="shared" ref="O473:O478" si="1285">+N473*$X$1</f>
        <v>1243</v>
      </c>
      <c r="P473" s="296">
        <v>1238</v>
      </c>
      <c r="Q473" s="287">
        <f t="shared" ref="Q473:Q478" si="1286">+P473*$X$1</f>
        <v>1238</v>
      </c>
      <c r="R473" s="538">
        <v>1143</v>
      </c>
      <c r="S473" s="287">
        <f t="shared" ref="S473:S478" si="1287">+R473*$X$1</f>
        <v>1143</v>
      </c>
      <c r="T473" s="538">
        <v>1039</v>
      </c>
      <c r="U473" s="287">
        <f t="shared" ref="U473:U478" si="1288">+T473*$X$1</f>
        <v>1039</v>
      </c>
      <c r="V473" s="538">
        <v>989</v>
      </c>
      <c r="W473" s="287">
        <f t="shared" ref="W473:W478" si="1289">+V473*$X$1</f>
        <v>989</v>
      </c>
      <c r="X473" s="148"/>
      <c r="Y473" s="148"/>
      <c r="Z473" s="148"/>
      <c r="AA473" s="149"/>
      <c r="AB473" s="420" t="s">
        <v>259</v>
      </c>
    </row>
    <row r="474" spans="1:33" s="65" customFormat="1" ht="12.6" customHeight="1" x14ac:dyDescent="0.25">
      <c r="A474" s="97"/>
      <c r="B474" s="692" t="s">
        <v>340</v>
      </c>
      <c r="C474" s="693"/>
      <c r="D474" s="693"/>
      <c r="E474" s="693"/>
      <c r="F474" s="288">
        <v>635</v>
      </c>
      <c r="G474" s="288">
        <f t="shared" si="1280"/>
        <v>635</v>
      </c>
      <c r="H474" s="284"/>
      <c r="I474" s="1000"/>
      <c r="J474" s="1001"/>
      <c r="K474" s="1001"/>
      <c r="L474" s="1002"/>
      <c r="M474" s="1003"/>
      <c r="N474" s="458">
        <v>1562</v>
      </c>
      <c r="O474" s="288">
        <f t="shared" si="1285"/>
        <v>1562</v>
      </c>
      <c r="P474" s="295">
        <v>1557</v>
      </c>
      <c r="Q474" s="288">
        <f t="shared" si="1286"/>
        <v>1557</v>
      </c>
      <c r="R474" s="458">
        <v>1471</v>
      </c>
      <c r="S474" s="288">
        <f t="shared" si="1287"/>
        <v>1471</v>
      </c>
      <c r="T474" s="458">
        <v>1416</v>
      </c>
      <c r="U474" s="288">
        <f t="shared" si="1288"/>
        <v>1416</v>
      </c>
      <c r="V474" s="458">
        <v>1347</v>
      </c>
      <c r="W474" s="288">
        <f t="shared" si="1289"/>
        <v>1347</v>
      </c>
      <c r="X474" s="170"/>
      <c r="Y474" s="134"/>
      <c r="Z474" s="134"/>
      <c r="AA474" s="137"/>
      <c r="AB474" s="421"/>
    </row>
    <row r="475" spans="1:33" s="65" customFormat="1" ht="12.6" customHeight="1" x14ac:dyDescent="0.25">
      <c r="A475" s="97"/>
      <c r="B475" s="677" t="s">
        <v>355</v>
      </c>
      <c r="C475" s="678"/>
      <c r="D475" s="678"/>
      <c r="E475" s="678"/>
      <c r="F475" s="287">
        <v>635</v>
      </c>
      <c r="G475" s="287">
        <f t="shared" si="1280"/>
        <v>635</v>
      </c>
      <c r="H475" s="277"/>
      <c r="I475" s="1000"/>
      <c r="J475" s="1001"/>
      <c r="K475" s="1001"/>
      <c r="L475" s="1002"/>
      <c r="M475" s="1003"/>
      <c r="N475" s="538">
        <v>1243</v>
      </c>
      <c r="O475" s="287">
        <f t="shared" ref="O475:O476" si="1290">+N475*$X$1</f>
        <v>1243</v>
      </c>
      <c r="P475" s="296">
        <v>1238</v>
      </c>
      <c r="Q475" s="287">
        <f t="shared" ref="Q475:Q476" si="1291">+P475*$X$1</f>
        <v>1238</v>
      </c>
      <c r="R475" s="538">
        <v>1143</v>
      </c>
      <c r="S475" s="287">
        <f t="shared" ref="S475:S476" si="1292">+R475*$X$1</f>
        <v>1143</v>
      </c>
      <c r="T475" s="538">
        <v>1039</v>
      </c>
      <c r="U475" s="287">
        <f t="shared" ref="U475:U476" si="1293">+T475*$X$1</f>
        <v>1039</v>
      </c>
      <c r="V475" s="538">
        <v>989</v>
      </c>
      <c r="W475" s="287">
        <f t="shared" ref="W475:W476" si="1294">+V475*$X$1</f>
        <v>989</v>
      </c>
      <c r="X475" s="134"/>
      <c r="Y475" s="134"/>
      <c r="Z475" s="134"/>
      <c r="AA475" s="137"/>
      <c r="AB475" s="420" t="s">
        <v>260</v>
      </c>
    </row>
    <row r="476" spans="1:33" s="65" customFormat="1" ht="12" customHeight="1" x14ac:dyDescent="0.25">
      <c r="A476" s="97"/>
      <c r="B476" s="692" t="s">
        <v>356</v>
      </c>
      <c r="C476" s="693"/>
      <c r="D476" s="693"/>
      <c r="E476" s="693"/>
      <c r="F476" s="288">
        <v>635</v>
      </c>
      <c r="G476" s="288">
        <f t="shared" si="1280"/>
        <v>635</v>
      </c>
      <c r="H476" s="284"/>
      <c r="I476" s="1000"/>
      <c r="J476" s="1001"/>
      <c r="K476" s="1001"/>
      <c r="L476" s="1002"/>
      <c r="M476" s="1003"/>
      <c r="N476" s="458">
        <v>1562</v>
      </c>
      <c r="O476" s="288">
        <f t="shared" si="1290"/>
        <v>1562</v>
      </c>
      <c r="P476" s="295">
        <v>1557</v>
      </c>
      <c r="Q476" s="288">
        <f t="shared" si="1291"/>
        <v>1557</v>
      </c>
      <c r="R476" s="458">
        <v>1471</v>
      </c>
      <c r="S476" s="288">
        <f t="shared" si="1292"/>
        <v>1471</v>
      </c>
      <c r="T476" s="458">
        <v>1416</v>
      </c>
      <c r="U476" s="288">
        <f t="shared" si="1293"/>
        <v>1416</v>
      </c>
      <c r="V476" s="458">
        <v>1347</v>
      </c>
      <c r="W476" s="288">
        <f t="shared" si="1294"/>
        <v>1347</v>
      </c>
      <c r="X476" s="148"/>
      <c r="Y476" s="148"/>
      <c r="Z476" s="134"/>
      <c r="AA476" s="137"/>
      <c r="AB476" s="421"/>
    </row>
    <row r="477" spans="1:33" s="65" customFormat="1" ht="12.6" customHeight="1" x14ac:dyDescent="0.25">
      <c r="A477" s="97"/>
      <c r="B477" s="677" t="s">
        <v>261</v>
      </c>
      <c r="C477" s="678"/>
      <c r="D477" s="678"/>
      <c r="E477" s="678"/>
      <c r="F477" s="287">
        <v>635</v>
      </c>
      <c r="G477" s="287">
        <f t="shared" si="1280"/>
        <v>635</v>
      </c>
      <c r="H477" s="277"/>
      <c r="I477" s="1004"/>
      <c r="J477" s="1005"/>
      <c r="K477" s="1005"/>
      <c r="L477" s="1002"/>
      <c r="M477" s="1003"/>
      <c r="N477" s="538">
        <v>1407</v>
      </c>
      <c r="O477" s="287">
        <f t="shared" ref="O477" si="1295">+N477*$X$1</f>
        <v>1407</v>
      </c>
      <c r="P477" s="296">
        <v>1403</v>
      </c>
      <c r="Q477" s="287">
        <f t="shared" ref="Q477" si="1296">+P477*$X$1</f>
        <v>1403</v>
      </c>
      <c r="R477" s="538">
        <v>1254</v>
      </c>
      <c r="S477" s="287">
        <f t="shared" ref="S477" si="1297">+R477*$X$1</f>
        <v>1254</v>
      </c>
      <c r="T477" s="538">
        <v>1159</v>
      </c>
      <c r="U477" s="287">
        <f t="shared" ref="U477" si="1298">+T477*$X$1</f>
        <v>1159</v>
      </c>
      <c r="V477" s="538">
        <v>1095</v>
      </c>
      <c r="W477" s="287">
        <f t="shared" ref="W477" si="1299">+V477*$X$1</f>
        <v>1095</v>
      </c>
      <c r="X477" s="134"/>
      <c r="Y477" s="134"/>
      <c r="Z477" s="134"/>
      <c r="AA477" s="137"/>
      <c r="AB477" s="420" t="s">
        <v>262</v>
      </c>
      <c r="AE477" s="240"/>
    </row>
    <row r="478" spans="1:33" s="65" customFormat="1" ht="12.6" customHeight="1" x14ac:dyDescent="0.25">
      <c r="A478" s="97"/>
      <c r="B478" s="692" t="s">
        <v>263</v>
      </c>
      <c r="C478" s="693"/>
      <c r="D478" s="693"/>
      <c r="E478" s="693"/>
      <c r="F478" s="288">
        <v>635</v>
      </c>
      <c r="G478" s="288">
        <f t="shared" si="1280"/>
        <v>635</v>
      </c>
      <c r="H478" s="284"/>
      <c r="I478" s="1006"/>
      <c r="J478" s="1007"/>
      <c r="K478" s="1007"/>
      <c r="L478" s="1007"/>
      <c r="M478" s="1008"/>
      <c r="N478" s="458">
        <v>1710</v>
      </c>
      <c r="O478" s="288">
        <f t="shared" si="1285"/>
        <v>1710</v>
      </c>
      <c r="P478" s="295">
        <v>1706</v>
      </c>
      <c r="Q478" s="288">
        <f t="shared" si="1286"/>
        <v>1706</v>
      </c>
      <c r="R478" s="458">
        <v>1616</v>
      </c>
      <c r="S478" s="288">
        <f t="shared" si="1287"/>
        <v>1616</v>
      </c>
      <c r="T478" s="458">
        <v>1568</v>
      </c>
      <c r="U478" s="288">
        <f t="shared" si="1288"/>
        <v>1568</v>
      </c>
      <c r="V478" s="458">
        <v>1501</v>
      </c>
      <c r="W478" s="288">
        <f t="shared" si="1289"/>
        <v>1501</v>
      </c>
      <c r="X478" s="134"/>
      <c r="Y478" s="134"/>
      <c r="Z478" s="134"/>
      <c r="AA478" s="137"/>
      <c r="AB478" s="420" t="s">
        <v>264</v>
      </c>
    </row>
    <row r="479" spans="1:33" ht="12.6" customHeight="1" x14ac:dyDescent="0.2">
      <c r="A479" s="18"/>
      <c r="B479" s="593"/>
      <c r="C479" s="594"/>
      <c r="D479" s="594"/>
      <c r="E479" s="594"/>
      <c r="F479" s="427"/>
      <c r="G479" s="334"/>
      <c r="H479" s="117"/>
      <c r="I479" s="334"/>
      <c r="J479" s="117"/>
      <c r="K479" s="334"/>
      <c r="L479" s="117"/>
      <c r="M479" s="334"/>
      <c r="N479" s="117"/>
      <c r="O479" s="334"/>
      <c r="P479" s="117"/>
      <c r="Q479" s="334"/>
      <c r="R479" s="117"/>
      <c r="S479" s="334"/>
      <c r="T479" s="117"/>
      <c r="U479" s="334"/>
      <c r="V479" s="117"/>
      <c r="W479" s="334"/>
      <c r="X479" s="622"/>
      <c r="Y479" s="75"/>
      <c r="Z479" s="75"/>
      <c r="AA479" s="75"/>
      <c r="AB479" s="621"/>
    </row>
    <row r="480" spans="1:33" ht="12.6" customHeight="1" x14ac:dyDescent="0.2">
      <c r="A480" s="18"/>
      <c r="B480" s="593"/>
      <c r="C480" s="594"/>
      <c r="D480" s="594"/>
      <c r="E480" s="594"/>
      <c r="F480" s="427"/>
      <c r="G480" s="334"/>
      <c r="H480" s="117"/>
      <c r="I480" s="334"/>
      <c r="J480" s="117"/>
      <c r="K480" s="334"/>
      <c r="L480" s="117"/>
      <c r="M480" s="334"/>
      <c r="N480" s="117"/>
      <c r="O480" s="334"/>
      <c r="P480" s="117"/>
      <c r="Q480" s="334"/>
      <c r="R480" s="117"/>
      <c r="S480" s="334"/>
      <c r="T480" s="117"/>
      <c r="U480" s="334"/>
      <c r="V480" s="117"/>
      <c r="W480" s="334"/>
      <c r="X480" s="622"/>
      <c r="Y480" s="75"/>
      <c r="Z480" s="75"/>
      <c r="AA480" s="75"/>
      <c r="AB480" s="621"/>
    </row>
    <row r="481" spans="1:34" ht="12.6" customHeight="1" x14ac:dyDescent="0.2">
      <c r="A481" s="18"/>
      <c r="B481" s="593"/>
      <c r="C481" s="594"/>
      <c r="D481" s="594"/>
      <c r="E481" s="594"/>
      <c r="F481" s="427"/>
      <c r="G481" s="334"/>
      <c r="H481" s="117"/>
      <c r="I481" s="334"/>
      <c r="J481" s="117"/>
      <c r="K481" s="334"/>
      <c r="L481" s="117"/>
      <c r="M481" s="334"/>
      <c r="N481" s="117"/>
      <c r="O481" s="334"/>
      <c r="P481" s="117"/>
      <c r="Q481" s="334"/>
      <c r="R481" s="117"/>
      <c r="S481" s="334"/>
      <c r="T481" s="117"/>
      <c r="U481" s="334"/>
      <c r="V481" s="117"/>
      <c r="W481" s="334"/>
      <c r="X481" s="622"/>
      <c r="Y481" s="75"/>
      <c r="Z481" s="75"/>
      <c r="AA481" s="75"/>
      <c r="AB481" s="621"/>
    </row>
    <row r="482" spans="1:34" ht="15.75" customHeight="1" x14ac:dyDescent="0.2">
      <c r="A482" s="18"/>
      <c r="B482" s="798" t="s">
        <v>11</v>
      </c>
      <c r="C482" s="767" t="s">
        <v>12</v>
      </c>
      <c r="D482" s="768"/>
      <c r="E482" s="768"/>
      <c r="F482" s="754" t="s">
        <v>13</v>
      </c>
      <c r="G482" s="754" t="s">
        <v>13</v>
      </c>
      <c r="H482" s="738" t="s">
        <v>809</v>
      </c>
      <c r="I482" s="738"/>
      <c r="J482" s="739"/>
      <c r="K482" s="739"/>
      <c r="L482" s="739"/>
      <c r="M482" s="739"/>
      <c r="N482" s="739"/>
      <c r="O482" s="739"/>
      <c r="P482" s="739"/>
      <c r="Q482" s="739"/>
      <c r="R482" s="739"/>
      <c r="S482" s="739"/>
      <c r="T482" s="739"/>
      <c r="U482" s="739"/>
      <c r="V482" s="739"/>
      <c r="W482" s="739"/>
      <c r="X482" s="715" t="s">
        <v>14</v>
      </c>
      <c r="Y482" s="716"/>
      <c r="Z482" s="716"/>
      <c r="AA482" s="722"/>
      <c r="AB482" s="690" t="s">
        <v>15</v>
      </c>
      <c r="AE482" s="64"/>
      <c r="AF482" s="703" t="s">
        <v>3</v>
      </c>
      <c r="AG482" s="704"/>
      <c r="AH482" s="704"/>
    </row>
    <row r="483" spans="1:34" ht="12" customHeight="1" x14ac:dyDescent="0.2">
      <c r="A483" s="18"/>
      <c r="B483" s="798"/>
      <c r="C483" s="768"/>
      <c r="D483" s="768"/>
      <c r="E483" s="768"/>
      <c r="F483" s="755"/>
      <c r="G483" s="755"/>
      <c r="H483" s="480"/>
      <c r="I483" s="472" t="s">
        <v>289</v>
      </c>
      <c r="J483" s="474"/>
      <c r="K483" s="472" t="s">
        <v>17</v>
      </c>
      <c r="L483" s="475"/>
      <c r="M483" s="475" t="s">
        <v>18</v>
      </c>
      <c r="N483" s="475"/>
      <c r="O483" s="472" t="s">
        <v>19</v>
      </c>
      <c r="P483" s="475"/>
      <c r="Q483" s="475" t="s">
        <v>291</v>
      </c>
      <c r="R483" s="475"/>
      <c r="S483" s="475" t="s">
        <v>20</v>
      </c>
      <c r="T483" s="475"/>
      <c r="U483" s="475" t="s">
        <v>21</v>
      </c>
      <c r="V483" s="475"/>
      <c r="W483" s="475" t="s">
        <v>22</v>
      </c>
      <c r="X483" s="718"/>
      <c r="Y483" s="719"/>
      <c r="Z483" s="719"/>
      <c r="AA483" s="720"/>
      <c r="AB483" s="691"/>
    </row>
    <row r="484" spans="1:34" ht="12.6" customHeight="1" x14ac:dyDescent="0.2">
      <c r="A484" s="18"/>
      <c r="B484" s="732" t="s">
        <v>265</v>
      </c>
      <c r="C484" s="733"/>
      <c r="D484" s="733"/>
      <c r="E484" s="734"/>
      <c r="F484" s="379">
        <f>2.98*X2</f>
        <v>3230.32</v>
      </c>
      <c r="G484" s="287">
        <f t="shared" ref="G484" si="1300">+F484*$X$1</f>
        <v>3230.32</v>
      </c>
      <c r="H484" s="562">
        <f t="shared" ref="H484" si="1301">F484+500</f>
        <v>3730.32</v>
      </c>
      <c r="I484" s="287">
        <f t="shared" ref="I484" si="1302">+H484*$X$1</f>
        <v>3730.32</v>
      </c>
      <c r="J484" s="562">
        <f t="shared" ref="J484" si="1303">F484+200</f>
        <v>3430.32</v>
      </c>
      <c r="K484" s="287">
        <f t="shared" ref="K484" si="1304">+J484*$X$1</f>
        <v>3430.32</v>
      </c>
      <c r="L484" s="562">
        <f>F484+150</f>
        <v>3380.32</v>
      </c>
      <c r="M484" s="287">
        <f t="shared" ref="M484" si="1305">+L484*$X$1</f>
        <v>3380.32</v>
      </c>
      <c r="N484" s="562">
        <f>F484+110</f>
        <v>3340.32</v>
      </c>
      <c r="O484" s="287">
        <f>+N484*$X$1</f>
        <v>3340.32</v>
      </c>
      <c r="P484" s="562">
        <f>F484+85</f>
        <v>3315.32</v>
      </c>
      <c r="Q484" s="287">
        <f>+P484*$X$1</f>
        <v>3315.32</v>
      </c>
      <c r="R484" s="562">
        <f>F484+65</f>
        <v>3295.32</v>
      </c>
      <c r="S484" s="287">
        <f>+R484*$X$1</f>
        <v>3295.32</v>
      </c>
      <c r="T484" s="562">
        <f>F484+55</f>
        <v>3285.32</v>
      </c>
      <c r="U484" s="287">
        <f>+T484*$X$1</f>
        <v>3285.32</v>
      </c>
      <c r="V484" s="562">
        <f>F484+43</f>
        <v>3273.32</v>
      </c>
      <c r="W484" s="287">
        <f>+V484*$X$1</f>
        <v>3273.32</v>
      </c>
      <c r="X484" s="688"/>
      <c r="Y484" s="688"/>
      <c r="Z484" s="688"/>
      <c r="AA484" s="689"/>
      <c r="AB484" s="192" t="s">
        <v>266</v>
      </c>
    </row>
    <row r="485" spans="1:34" ht="12.6" customHeight="1" x14ac:dyDescent="0.2">
      <c r="A485" s="18"/>
      <c r="B485" s="699" t="s">
        <v>267</v>
      </c>
      <c r="C485" s="740"/>
      <c r="D485" s="740"/>
      <c r="E485" s="741"/>
      <c r="F485" s="380">
        <f>2.26*X2</f>
        <v>2449.8399999999997</v>
      </c>
      <c r="G485" s="288">
        <f>+F485*$X$1</f>
        <v>2449.8399999999997</v>
      </c>
      <c r="H485" s="458">
        <f>F485+500</f>
        <v>2949.8399999999997</v>
      </c>
      <c r="I485" s="288">
        <f>+H485*$X$1</f>
        <v>2949.8399999999997</v>
      </c>
      <c r="J485" s="458">
        <f>F485+200</f>
        <v>2649.8399999999997</v>
      </c>
      <c r="K485" s="288">
        <f>+J485*$X$1</f>
        <v>2649.8399999999997</v>
      </c>
      <c r="L485" s="458">
        <f>F485+150</f>
        <v>2599.8399999999997</v>
      </c>
      <c r="M485" s="288">
        <f>+L485*$X$1</f>
        <v>2599.8399999999997</v>
      </c>
      <c r="N485" s="458"/>
      <c r="O485" s="288"/>
      <c r="P485" s="458"/>
      <c r="Q485" s="288"/>
      <c r="R485" s="458"/>
      <c r="S485" s="288"/>
      <c r="T485" s="458"/>
      <c r="U485" s="288"/>
      <c r="V485" s="458"/>
      <c r="W485" s="288"/>
      <c r="X485" s="688"/>
      <c r="Y485" s="688"/>
      <c r="Z485" s="688"/>
      <c r="AA485" s="689"/>
      <c r="AB485" s="192" t="s">
        <v>422</v>
      </c>
    </row>
    <row r="486" spans="1:34" ht="12.6" customHeight="1" x14ac:dyDescent="0.2">
      <c r="A486" s="18"/>
      <c r="B486" s="732" t="s">
        <v>779</v>
      </c>
      <c r="C486" s="733"/>
      <c r="D486" s="733"/>
      <c r="E486" s="734"/>
      <c r="F486" s="330">
        <v>3545</v>
      </c>
      <c r="G486" s="287">
        <f t="shared" ref="G486" si="1306">+F486*$X$1</f>
        <v>3545</v>
      </c>
      <c r="H486" s="562"/>
      <c r="I486" s="287"/>
      <c r="J486" s="562">
        <f>F486+200</f>
        <v>3745</v>
      </c>
      <c r="K486" s="287">
        <f>+J486*$X$1</f>
        <v>3745</v>
      </c>
      <c r="L486" s="562">
        <f>F486+150</f>
        <v>3695</v>
      </c>
      <c r="M486" s="287">
        <f>+L486*$X$1</f>
        <v>3695</v>
      </c>
      <c r="N486" s="562">
        <f>F486+110</f>
        <v>3655</v>
      </c>
      <c r="O486" s="287">
        <f>+N486*$X$1</f>
        <v>3655</v>
      </c>
      <c r="P486" s="562">
        <f>F486+85</f>
        <v>3630</v>
      </c>
      <c r="Q486" s="287">
        <f>+P486*$X$1</f>
        <v>3630</v>
      </c>
      <c r="R486" s="562">
        <f>F486+65</f>
        <v>3610</v>
      </c>
      <c r="S486" s="287">
        <f>+R486*$X$1</f>
        <v>3610</v>
      </c>
      <c r="T486" s="562">
        <f>F486+55</f>
        <v>3600</v>
      </c>
      <c r="U486" s="287">
        <f>+T486*$X$1</f>
        <v>3600</v>
      </c>
      <c r="V486" s="562">
        <f>F486+43</f>
        <v>3588</v>
      </c>
      <c r="W486" s="287">
        <f>+V486*$X$1</f>
        <v>3588</v>
      </c>
      <c r="X486" s="688"/>
      <c r="Y486" s="688"/>
      <c r="Z486" s="688"/>
      <c r="AA486" s="689"/>
      <c r="AB486" s="192" t="s">
        <v>778</v>
      </c>
    </row>
    <row r="487" spans="1:34" ht="12.6" customHeight="1" x14ac:dyDescent="0.2">
      <c r="A487" s="18"/>
      <c r="B487" s="699" t="s">
        <v>382</v>
      </c>
      <c r="C487" s="740"/>
      <c r="D487" s="740"/>
      <c r="E487" s="741"/>
      <c r="F487" s="380">
        <f>1.2*X2</f>
        <v>1300.8</v>
      </c>
      <c r="G487" s="288">
        <f t="shared" ref="G487:G488" si="1307">+F487*$X$1</f>
        <v>1300.8</v>
      </c>
      <c r="H487" s="458">
        <f>F487+500</f>
        <v>1800.8</v>
      </c>
      <c r="I487" s="288">
        <f>+H487*$X$1</f>
        <v>1800.8</v>
      </c>
      <c r="J487" s="458">
        <f>F487+200</f>
        <v>1500.8</v>
      </c>
      <c r="K487" s="288">
        <f>+J487*$X$1</f>
        <v>1500.8</v>
      </c>
      <c r="L487" s="458">
        <f>F487+150</f>
        <v>1450.8</v>
      </c>
      <c r="M487" s="288">
        <f>+L487*$X$1</f>
        <v>1450.8</v>
      </c>
      <c r="N487" s="458">
        <f>F487+110</f>
        <v>1410.8</v>
      </c>
      <c r="O487" s="288">
        <f>+N487*$X$1</f>
        <v>1410.8</v>
      </c>
      <c r="P487" s="458">
        <f>F487+85</f>
        <v>1385.8</v>
      </c>
      <c r="Q487" s="288">
        <f>+P487*$X$1</f>
        <v>1385.8</v>
      </c>
      <c r="R487" s="458">
        <f>F487+65</f>
        <v>1365.8</v>
      </c>
      <c r="S487" s="288">
        <f>+R487*$X$1</f>
        <v>1365.8</v>
      </c>
      <c r="T487" s="458">
        <f>F487+55</f>
        <v>1355.8</v>
      </c>
      <c r="U487" s="288">
        <f>+T487*$X$1</f>
        <v>1355.8</v>
      </c>
      <c r="V487" s="458">
        <f>F487+43</f>
        <v>1343.8</v>
      </c>
      <c r="W487" s="288">
        <f>+V487*$X$1</f>
        <v>1343.8</v>
      </c>
      <c r="X487" s="688"/>
      <c r="Y487" s="867"/>
      <c r="Z487" s="867"/>
      <c r="AA487" s="689"/>
      <c r="AB487" s="192" t="s">
        <v>423</v>
      </c>
    </row>
    <row r="488" spans="1:34" ht="12.6" customHeight="1" x14ac:dyDescent="0.2">
      <c r="A488" s="18"/>
      <c r="B488" s="732" t="s">
        <v>900</v>
      </c>
      <c r="C488" s="733"/>
      <c r="D488" s="733"/>
      <c r="E488" s="734"/>
      <c r="F488" s="379">
        <f>3.99*X2</f>
        <v>4325.16</v>
      </c>
      <c r="G488" s="287">
        <f t="shared" si="1307"/>
        <v>4325.16</v>
      </c>
      <c r="H488" s="582">
        <f>F488+500</f>
        <v>4825.16</v>
      </c>
      <c r="I488" s="287">
        <f t="shared" ref="I488" si="1308">+H488*$X$1</f>
        <v>4825.16</v>
      </c>
      <c r="J488" s="582">
        <f>F488+200</f>
        <v>4525.16</v>
      </c>
      <c r="K488" s="287">
        <f t="shared" ref="K488" si="1309">+J488*$X$1</f>
        <v>4525.16</v>
      </c>
      <c r="L488" s="582">
        <f>F488+150</f>
        <v>4475.16</v>
      </c>
      <c r="M488" s="287">
        <f t="shared" ref="M488" si="1310">+L488*$X$1</f>
        <v>4475.16</v>
      </c>
      <c r="N488" s="582">
        <f>F488+110</f>
        <v>4435.16</v>
      </c>
      <c r="O488" s="287">
        <f t="shared" ref="O488" si="1311">+N488*$X$1</f>
        <v>4435.16</v>
      </c>
      <c r="P488" s="582">
        <f>F488+85</f>
        <v>4410.16</v>
      </c>
      <c r="Q488" s="287">
        <f t="shared" ref="Q488" si="1312">+P488*$X$1</f>
        <v>4410.16</v>
      </c>
      <c r="R488" s="582">
        <f>F488+65</f>
        <v>4390.16</v>
      </c>
      <c r="S488" s="287">
        <f t="shared" ref="S488" si="1313">+R488*$X$1</f>
        <v>4390.16</v>
      </c>
      <c r="T488" s="582">
        <f>F488+55</f>
        <v>4380.16</v>
      </c>
      <c r="U488" s="287">
        <f t="shared" ref="U488" si="1314">+T488*$X$1</f>
        <v>4380.16</v>
      </c>
      <c r="V488" s="582">
        <f>F488+43</f>
        <v>4368.16</v>
      </c>
      <c r="W488" s="287">
        <f t="shared" ref="W488" si="1315">+V488*$X$1</f>
        <v>4368.16</v>
      </c>
      <c r="X488" s="688"/>
      <c r="Y488" s="688"/>
      <c r="Z488" s="688"/>
      <c r="AA488" s="689"/>
      <c r="AB488" s="192" t="s">
        <v>811</v>
      </c>
    </row>
    <row r="489" spans="1:34" ht="12.6" customHeight="1" x14ac:dyDescent="0.2">
      <c r="A489" s="18"/>
      <c r="B489" s="765" t="s">
        <v>268</v>
      </c>
      <c r="C489" s="743"/>
      <c r="D489" s="743"/>
      <c r="E489" s="743"/>
      <c r="F489" s="319">
        <v>3820</v>
      </c>
      <c r="G489" s="288">
        <f t="shared" ref="G489:G492" si="1316">+F489*$X$1</f>
        <v>3820</v>
      </c>
      <c r="H489" s="280"/>
      <c r="I489" s="343"/>
      <c r="J489" s="458">
        <f>F489+66</f>
        <v>3886</v>
      </c>
      <c r="K489" s="288"/>
      <c r="L489" s="458">
        <f t="shared" ref="L489:L493" si="1317">F489+340</f>
        <v>4160</v>
      </c>
      <c r="M489" s="288">
        <f t="shared" ref="M489" si="1318">+L489*$X$1</f>
        <v>4160</v>
      </c>
      <c r="N489" s="458">
        <f t="shared" ref="N489:N493" si="1319">F489+310</f>
        <v>4130</v>
      </c>
      <c r="O489" s="288">
        <f t="shared" ref="O489" si="1320">+N489*$X$1</f>
        <v>4130</v>
      </c>
      <c r="P489" s="458">
        <f t="shared" ref="P489:P493" si="1321">F489+280</f>
        <v>4100</v>
      </c>
      <c r="Q489" s="288">
        <f t="shared" ref="Q489" si="1322">+P489*$X$1</f>
        <v>4100</v>
      </c>
      <c r="R489" s="458">
        <f t="shared" ref="R489:R493" si="1323">F489+250</f>
        <v>4070</v>
      </c>
      <c r="S489" s="288">
        <f t="shared" ref="S489" si="1324">+R489*$X$1</f>
        <v>4070</v>
      </c>
      <c r="T489" s="458">
        <f t="shared" ref="T489:T493" si="1325">F489+220</f>
        <v>4040</v>
      </c>
      <c r="U489" s="288">
        <f t="shared" ref="U489" si="1326">+T489*$X$1</f>
        <v>4040</v>
      </c>
      <c r="V489" s="458">
        <f t="shared" ref="V489:V493" si="1327">F489+200</f>
        <v>4020</v>
      </c>
      <c r="W489" s="288">
        <f t="shared" ref="W489" si="1328">+V489*$X$1</f>
        <v>4020</v>
      </c>
      <c r="X489" s="145"/>
      <c r="Y489" s="131"/>
      <c r="Z489" s="131"/>
      <c r="AA489" s="131"/>
      <c r="AB489" s="192" t="s">
        <v>269</v>
      </c>
    </row>
    <row r="490" spans="1:34" ht="12.6" customHeight="1" x14ac:dyDescent="0.2">
      <c r="A490" s="18"/>
      <c r="B490" s="677" t="s">
        <v>270</v>
      </c>
      <c r="C490" s="678"/>
      <c r="D490" s="678"/>
      <c r="E490" s="678"/>
      <c r="F490" s="287">
        <v>5325</v>
      </c>
      <c r="G490" s="287">
        <f t="shared" si="1316"/>
        <v>5325</v>
      </c>
      <c r="H490" s="281"/>
      <c r="I490" s="342"/>
      <c r="J490" s="582">
        <f>F490+66</f>
        <v>5391</v>
      </c>
      <c r="K490" s="287"/>
      <c r="L490" s="582">
        <f t="shared" si="1317"/>
        <v>5665</v>
      </c>
      <c r="M490" s="287">
        <f t="shared" ref="M490:M492" si="1329">+L490*$X$1</f>
        <v>5665</v>
      </c>
      <c r="N490" s="582">
        <f t="shared" si="1319"/>
        <v>5635</v>
      </c>
      <c r="O490" s="287">
        <f t="shared" ref="O490:O492" si="1330">+N490*$X$1</f>
        <v>5635</v>
      </c>
      <c r="P490" s="582">
        <f t="shared" si="1321"/>
        <v>5605</v>
      </c>
      <c r="Q490" s="287">
        <f t="shared" ref="Q490:Q492" si="1331">+P490*$X$1</f>
        <v>5605</v>
      </c>
      <c r="R490" s="582">
        <f t="shared" si="1323"/>
        <v>5575</v>
      </c>
      <c r="S490" s="287">
        <f t="shared" ref="S490:S492" si="1332">+R490*$X$1</f>
        <v>5575</v>
      </c>
      <c r="T490" s="582">
        <f t="shared" si="1325"/>
        <v>5545</v>
      </c>
      <c r="U490" s="287">
        <f t="shared" ref="U490:U492" si="1333">+T490*$X$1</f>
        <v>5545</v>
      </c>
      <c r="V490" s="582">
        <f t="shared" si="1327"/>
        <v>5525</v>
      </c>
      <c r="W490" s="287">
        <f t="shared" ref="W490:W492" si="1334">+V490*$X$1</f>
        <v>5525</v>
      </c>
      <c r="X490" s="145"/>
      <c r="Y490" s="131"/>
      <c r="Z490" s="131"/>
      <c r="AA490" s="131"/>
      <c r="AB490" s="419"/>
    </row>
    <row r="491" spans="1:34" ht="12.6" customHeight="1" x14ac:dyDescent="0.2">
      <c r="A491" s="18"/>
      <c r="B491" s="692" t="s">
        <v>271</v>
      </c>
      <c r="C491" s="693"/>
      <c r="D491" s="693"/>
      <c r="E491" s="693"/>
      <c r="F491" s="288">
        <v>4154</v>
      </c>
      <c r="G491" s="288">
        <f t="shared" si="1316"/>
        <v>4154</v>
      </c>
      <c r="H491" s="280"/>
      <c r="I491" s="343"/>
      <c r="J491" s="458">
        <f>F491+80</f>
        <v>4234</v>
      </c>
      <c r="K491" s="288"/>
      <c r="L491" s="458">
        <f t="shared" si="1317"/>
        <v>4494</v>
      </c>
      <c r="M491" s="288">
        <f t="shared" si="1329"/>
        <v>4494</v>
      </c>
      <c r="N491" s="458">
        <f t="shared" si="1319"/>
        <v>4464</v>
      </c>
      <c r="O491" s="288">
        <f t="shared" si="1330"/>
        <v>4464</v>
      </c>
      <c r="P491" s="458">
        <f t="shared" si="1321"/>
        <v>4434</v>
      </c>
      <c r="Q491" s="288">
        <f t="shared" si="1331"/>
        <v>4434</v>
      </c>
      <c r="R491" s="458">
        <f t="shared" si="1323"/>
        <v>4404</v>
      </c>
      <c r="S491" s="288">
        <f t="shared" si="1332"/>
        <v>4404</v>
      </c>
      <c r="T491" s="458">
        <f t="shared" si="1325"/>
        <v>4374</v>
      </c>
      <c r="U491" s="288">
        <f t="shared" si="1333"/>
        <v>4374</v>
      </c>
      <c r="V491" s="458">
        <f t="shared" si="1327"/>
        <v>4354</v>
      </c>
      <c r="W491" s="288">
        <f t="shared" si="1334"/>
        <v>4354</v>
      </c>
      <c r="X491" s="145"/>
      <c r="Y491" s="131"/>
      <c r="Z491" s="131"/>
      <c r="AA491" s="131"/>
      <c r="AB491" s="192" t="s">
        <v>272</v>
      </c>
    </row>
    <row r="492" spans="1:34" ht="12.6" customHeight="1" x14ac:dyDescent="0.2">
      <c r="A492" s="18"/>
      <c r="B492" s="677" t="s">
        <v>273</v>
      </c>
      <c r="C492" s="678"/>
      <c r="D492" s="678"/>
      <c r="E492" s="678"/>
      <c r="F492" s="287">
        <v>5860</v>
      </c>
      <c r="G492" s="287">
        <f t="shared" si="1316"/>
        <v>5860</v>
      </c>
      <c r="H492" s="281"/>
      <c r="I492" s="342"/>
      <c r="J492" s="582">
        <f>F492+80</f>
        <v>5940</v>
      </c>
      <c r="K492" s="287"/>
      <c r="L492" s="582">
        <f t="shared" si="1317"/>
        <v>6200</v>
      </c>
      <c r="M492" s="287">
        <f t="shared" si="1329"/>
        <v>6200</v>
      </c>
      <c r="N492" s="582">
        <f t="shared" si="1319"/>
        <v>6170</v>
      </c>
      <c r="O492" s="287">
        <f t="shared" si="1330"/>
        <v>6170</v>
      </c>
      <c r="P492" s="582">
        <f t="shared" si="1321"/>
        <v>6140</v>
      </c>
      <c r="Q492" s="287">
        <f t="shared" si="1331"/>
        <v>6140</v>
      </c>
      <c r="R492" s="582">
        <f t="shared" si="1323"/>
        <v>6110</v>
      </c>
      <c r="S492" s="287">
        <f t="shared" si="1332"/>
        <v>6110</v>
      </c>
      <c r="T492" s="582">
        <f t="shared" si="1325"/>
        <v>6080</v>
      </c>
      <c r="U492" s="287">
        <f t="shared" si="1333"/>
        <v>6080</v>
      </c>
      <c r="V492" s="582">
        <f t="shared" si="1327"/>
        <v>6060</v>
      </c>
      <c r="W492" s="287">
        <f t="shared" si="1334"/>
        <v>6060</v>
      </c>
      <c r="X492" s="145"/>
      <c r="Y492" s="131"/>
      <c r="Z492" s="131"/>
      <c r="AA492" s="131"/>
      <c r="AB492" s="419"/>
    </row>
    <row r="493" spans="1:34" ht="12.6" customHeight="1" x14ac:dyDescent="0.2">
      <c r="A493" s="18"/>
      <c r="B493" s="673" t="s">
        <v>906</v>
      </c>
      <c r="C493" s="674"/>
      <c r="D493" s="674"/>
      <c r="E493" s="674"/>
      <c r="F493" s="288">
        <v>9870</v>
      </c>
      <c r="G493" s="288">
        <f t="shared" ref="G493" si="1335">+F493*$X$1</f>
        <v>9870</v>
      </c>
      <c r="H493" s="280"/>
      <c r="I493" s="343"/>
      <c r="J493" s="458">
        <f>F493+390</f>
        <v>10260</v>
      </c>
      <c r="K493" s="288">
        <f t="shared" ref="K493" si="1336">+J493*$X$1</f>
        <v>10260</v>
      </c>
      <c r="L493" s="458">
        <f t="shared" si="1317"/>
        <v>10210</v>
      </c>
      <c r="M493" s="288">
        <f t="shared" ref="M493" si="1337">+L493*$X$1</f>
        <v>10210</v>
      </c>
      <c r="N493" s="458">
        <f t="shared" si="1319"/>
        <v>10180</v>
      </c>
      <c r="O493" s="288">
        <f t="shared" ref="O493" si="1338">+N493*$X$1</f>
        <v>10180</v>
      </c>
      <c r="P493" s="458">
        <f t="shared" si="1321"/>
        <v>10150</v>
      </c>
      <c r="Q493" s="288">
        <f t="shared" ref="Q493" si="1339">+P493*$X$1</f>
        <v>10150</v>
      </c>
      <c r="R493" s="458">
        <f t="shared" si="1323"/>
        <v>10120</v>
      </c>
      <c r="S493" s="288">
        <f t="shared" ref="S493" si="1340">+R493*$X$1</f>
        <v>10120</v>
      </c>
      <c r="T493" s="458">
        <f t="shared" si="1325"/>
        <v>10090</v>
      </c>
      <c r="U493" s="288">
        <f t="shared" ref="U493" si="1341">+T493*$X$1</f>
        <v>10090</v>
      </c>
      <c r="V493" s="458">
        <f t="shared" si="1327"/>
        <v>10070</v>
      </c>
      <c r="W493" s="288">
        <f t="shared" ref="W493" si="1342">+V493*$X$1</f>
        <v>10070</v>
      </c>
      <c r="X493" s="145"/>
      <c r="Y493" s="131"/>
      <c r="Z493" s="131"/>
      <c r="AA493" s="131"/>
      <c r="AB493" s="192" t="s">
        <v>907</v>
      </c>
    </row>
    <row r="494" spans="1:34" ht="12.6" customHeight="1" x14ac:dyDescent="0.2">
      <c r="A494" s="18"/>
      <c r="B494" s="677" t="s">
        <v>635</v>
      </c>
      <c r="C494" s="678"/>
      <c r="D494" s="678"/>
      <c r="E494" s="678"/>
      <c r="F494" s="287">
        <v>5430</v>
      </c>
      <c r="G494" s="287">
        <f>+F494*$X$1</f>
        <v>5430</v>
      </c>
      <c r="H494" s="281"/>
      <c r="I494" s="342"/>
      <c r="J494" s="582">
        <f>F494+66</f>
        <v>5496</v>
      </c>
      <c r="K494" s="287"/>
      <c r="L494" s="582">
        <f>F494+340</f>
        <v>5770</v>
      </c>
      <c r="M494" s="287">
        <f>+L494*$X$1</f>
        <v>5770</v>
      </c>
      <c r="N494" s="582">
        <f>F494+310</f>
        <v>5740</v>
      </c>
      <c r="O494" s="287">
        <f>+N494*$X$1</f>
        <v>5740</v>
      </c>
      <c r="P494" s="582">
        <f>F494+280</f>
        <v>5710</v>
      </c>
      <c r="Q494" s="287">
        <f>+P494*$X$1</f>
        <v>5710</v>
      </c>
      <c r="R494" s="582">
        <f>F494+250</f>
        <v>5680</v>
      </c>
      <c r="S494" s="287">
        <f>+R494*$X$1</f>
        <v>5680</v>
      </c>
      <c r="T494" s="582">
        <f>F494+220</f>
        <v>5650</v>
      </c>
      <c r="U494" s="287">
        <f>+T494*$X$1</f>
        <v>5650</v>
      </c>
      <c r="V494" s="582">
        <f>F494+200</f>
        <v>5630</v>
      </c>
      <c r="W494" s="287">
        <f>+V494*$X$1</f>
        <v>5630</v>
      </c>
      <c r="X494" s="145"/>
      <c r="Y494" s="131"/>
      <c r="Z494" s="131"/>
      <c r="AA494" s="131"/>
      <c r="AB494" s="192" t="s">
        <v>274</v>
      </c>
    </row>
    <row r="495" spans="1:34" ht="12.6" customHeight="1" x14ac:dyDescent="0.2">
      <c r="A495" s="18"/>
      <c r="B495" s="692" t="s">
        <v>636</v>
      </c>
      <c r="C495" s="693"/>
      <c r="D495" s="693"/>
      <c r="E495" s="693"/>
      <c r="F495" s="288">
        <v>5990</v>
      </c>
      <c r="G495" s="288">
        <f>+F495*$X$1</f>
        <v>5990</v>
      </c>
      <c r="H495" s="280"/>
      <c r="I495" s="343"/>
      <c r="J495" s="458">
        <f>F495+80</f>
        <v>6070</v>
      </c>
      <c r="K495" s="288"/>
      <c r="L495" s="458">
        <f>F495+340</f>
        <v>6330</v>
      </c>
      <c r="M495" s="288">
        <f>+L495*$X$1</f>
        <v>6330</v>
      </c>
      <c r="N495" s="458">
        <f>F495+310</f>
        <v>6300</v>
      </c>
      <c r="O495" s="288">
        <f>+N495*$X$1</f>
        <v>6300</v>
      </c>
      <c r="P495" s="458">
        <f>F495+280</f>
        <v>6270</v>
      </c>
      <c r="Q495" s="288">
        <f>+P495*$X$1</f>
        <v>6270</v>
      </c>
      <c r="R495" s="458">
        <f>F495+250</f>
        <v>6240</v>
      </c>
      <c r="S495" s="288">
        <f>+R495*$X$1</f>
        <v>6240</v>
      </c>
      <c r="T495" s="458">
        <f>F495+220</f>
        <v>6210</v>
      </c>
      <c r="U495" s="288">
        <f>+T495*$X$1</f>
        <v>6210</v>
      </c>
      <c r="V495" s="458">
        <f>F495+200</f>
        <v>6190</v>
      </c>
      <c r="W495" s="288">
        <f>+V495*$X$1</f>
        <v>6190</v>
      </c>
      <c r="X495" s="145"/>
      <c r="Y495" s="131"/>
      <c r="Z495" s="131"/>
      <c r="AA495" s="131"/>
      <c r="AB495" s="192" t="s">
        <v>275</v>
      </c>
    </row>
    <row r="496" spans="1:34" ht="12.6" customHeight="1" x14ac:dyDescent="0.25">
      <c r="A496" s="18"/>
      <c r="B496" s="677" t="s">
        <v>327</v>
      </c>
      <c r="C496" s="678"/>
      <c r="D496" s="678"/>
      <c r="E496" s="678"/>
      <c r="F496" s="287">
        <v>7523</v>
      </c>
      <c r="G496" s="287">
        <f>+F496*$X$1</f>
        <v>7523</v>
      </c>
      <c r="H496" s="582">
        <f t="shared" ref="H496:H501" si="1343">F496+500</f>
        <v>8023</v>
      </c>
      <c r="I496" s="287">
        <f t="shared" ref="I496:I502" si="1344">+H496*$X$1</f>
        <v>8023</v>
      </c>
      <c r="J496" s="582">
        <f t="shared" ref="J496:J501" si="1345">F496+360</f>
        <v>7883</v>
      </c>
      <c r="K496" s="287">
        <f t="shared" ref="K496:K502" si="1346">+J496*$X$1</f>
        <v>7883</v>
      </c>
      <c r="L496" s="582">
        <f t="shared" ref="L496:L501" si="1347">F496+310</f>
        <v>7833</v>
      </c>
      <c r="M496" s="287">
        <f>+L496*$X$1</f>
        <v>7833</v>
      </c>
      <c r="N496" s="582">
        <f t="shared" ref="N496:N501" si="1348">F496+280</f>
        <v>7803</v>
      </c>
      <c r="O496" s="287">
        <f t="shared" ref="O496" si="1349">+N496*$X$1</f>
        <v>7803</v>
      </c>
      <c r="P496" s="582">
        <f t="shared" ref="P496:P501" si="1350">F496+250</f>
        <v>7773</v>
      </c>
      <c r="Q496" s="287">
        <f t="shared" ref="Q496" si="1351">+P496*$X$1</f>
        <v>7773</v>
      </c>
      <c r="R496" s="582">
        <f t="shared" ref="R496:R501" si="1352">F496+230</f>
        <v>7753</v>
      </c>
      <c r="S496" s="287">
        <f t="shared" ref="S496" si="1353">+R496*$X$1</f>
        <v>7753</v>
      </c>
      <c r="T496" s="582">
        <f t="shared" ref="T496:T501" si="1354">F496+210</f>
        <v>7733</v>
      </c>
      <c r="U496" s="287">
        <f t="shared" ref="U496" si="1355">+T496*$X$1</f>
        <v>7733</v>
      </c>
      <c r="V496" s="582">
        <f t="shared" ref="V496:V501" si="1356">F496+190</f>
        <v>7713</v>
      </c>
      <c r="W496" s="287">
        <f t="shared" ref="W496" si="1357">+V496*$X$1</f>
        <v>7713</v>
      </c>
      <c r="X496" s="835"/>
      <c r="Y496" s="1135"/>
      <c r="Z496" s="1135"/>
      <c r="AA496" s="1135"/>
      <c r="AB496" s="192" t="s">
        <v>276</v>
      </c>
    </row>
    <row r="497" spans="1:28" ht="12.6" customHeight="1" x14ac:dyDescent="0.25">
      <c r="A497" s="18"/>
      <c r="B497" s="744" t="s">
        <v>503</v>
      </c>
      <c r="C497" s="740"/>
      <c r="D497" s="740"/>
      <c r="E497" s="741"/>
      <c r="F497" s="288">
        <v>3510</v>
      </c>
      <c r="G497" s="288">
        <f t="shared" ref="G497" si="1358">+F497*$X$1</f>
        <v>3510</v>
      </c>
      <c r="H497" s="458">
        <f t="shared" si="1343"/>
        <v>4010</v>
      </c>
      <c r="I497" s="288">
        <f t="shared" ref="I497:I501" si="1359">+H497*$X$1</f>
        <v>4010</v>
      </c>
      <c r="J497" s="458">
        <f t="shared" si="1345"/>
        <v>3870</v>
      </c>
      <c r="K497" s="288">
        <f t="shared" ref="K497:K501" si="1360">+J497*$X$1</f>
        <v>3870</v>
      </c>
      <c r="L497" s="458">
        <f t="shared" si="1347"/>
        <v>3820</v>
      </c>
      <c r="M497" s="288">
        <f t="shared" ref="M497:M502" si="1361">+L497*$X$1</f>
        <v>3820</v>
      </c>
      <c r="N497" s="458">
        <f t="shared" si="1348"/>
        <v>3790</v>
      </c>
      <c r="O497" s="288">
        <f t="shared" ref="O497:O502" si="1362">+N497*$X$1</f>
        <v>3790</v>
      </c>
      <c r="P497" s="458">
        <f t="shared" si="1350"/>
        <v>3760</v>
      </c>
      <c r="Q497" s="288">
        <f t="shared" ref="Q497:Q502" si="1363">+P497*$X$1</f>
        <v>3760</v>
      </c>
      <c r="R497" s="458">
        <f t="shared" si="1352"/>
        <v>3740</v>
      </c>
      <c r="S497" s="288">
        <f t="shared" ref="S497:S502" si="1364">+R497*$X$1</f>
        <v>3740</v>
      </c>
      <c r="T497" s="458">
        <f t="shared" si="1354"/>
        <v>3720</v>
      </c>
      <c r="U497" s="288">
        <f t="shared" ref="U497:U502" si="1365">+T497*$X$1</f>
        <v>3720</v>
      </c>
      <c r="V497" s="458">
        <f t="shared" si="1356"/>
        <v>3700</v>
      </c>
      <c r="W497" s="288">
        <f t="shared" ref="W497:W502" si="1366">+V497*$X$1</f>
        <v>3700</v>
      </c>
      <c r="X497" s="835"/>
      <c r="Y497" s="1135"/>
      <c r="Z497" s="1135"/>
      <c r="AA497" s="1135"/>
      <c r="AB497" s="192" t="s">
        <v>437</v>
      </c>
    </row>
    <row r="498" spans="1:28" ht="12.6" customHeight="1" x14ac:dyDescent="0.2">
      <c r="A498" s="18"/>
      <c r="B498" s="677" t="s">
        <v>379</v>
      </c>
      <c r="C498" s="678"/>
      <c r="D498" s="678"/>
      <c r="E498" s="678"/>
      <c r="F498" s="287">
        <v>4124</v>
      </c>
      <c r="G498" s="287">
        <f>+F498*$X$1</f>
        <v>4124</v>
      </c>
      <c r="H498" s="582">
        <f t="shared" si="1343"/>
        <v>4624</v>
      </c>
      <c r="I498" s="287">
        <f t="shared" si="1359"/>
        <v>4624</v>
      </c>
      <c r="J498" s="582">
        <f t="shared" si="1345"/>
        <v>4484</v>
      </c>
      <c r="K498" s="287">
        <f t="shared" si="1360"/>
        <v>4484</v>
      </c>
      <c r="L498" s="582">
        <f t="shared" si="1347"/>
        <v>4434</v>
      </c>
      <c r="M498" s="287">
        <f t="shared" si="1361"/>
        <v>4434</v>
      </c>
      <c r="N498" s="582">
        <f t="shared" si="1348"/>
        <v>4404</v>
      </c>
      <c r="O498" s="287">
        <f t="shared" si="1362"/>
        <v>4404</v>
      </c>
      <c r="P498" s="582">
        <f t="shared" si="1350"/>
        <v>4374</v>
      </c>
      <c r="Q498" s="287">
        <f t="shared" si="1363"/>
        <v>4374</v>
      </c>
      <c r="R498" s="582">
        <f t="shared" si="1352"/>
        <v>4354</v>
      </c>
      <c r="S498" s="287">
        <f t="shared" si="1364"/>
        <v>4354</v>
      </c>
      <c r="T498" s="582">
        <f t="shared" si="1354"/>
        <v>4334</v>
      </c>
      <c r="U498" s="287">
        <f t="shared" si="1365"/>
        <v>4334</v>
      </c>
      <c r="V498" s="582">
        <f t="shared" si="1356"/>
        <v>4314</v>
      </c>
      <c r="W498" s="287">
        <f t="shared" si="1366"/>
        <v>4314</v>
      </c>
      <c r="X498" s="1130"/>
      <c r="Y498" s="1131"/>
      <c r="Z498" s="1131"/>
      <c r="AA498" s="1132"/>
      <c r="AB498" s="192" t="s">
        <v>277</v>
      </c>
    </row>
    <row r="499" spans="1:28" ht="12.6" customHeight="1" x14ac:dyDescent="0.25">
      <c r="A499" s="18"/>
      <c r="B499" s="962" t="s">
        <v>833</v>
      </c>
      <c r="C499" s="1203"/>
      <c r="D499" s="1203"/>
      <c r="E499" s="1203"/>
      <c r="F499" s="288">
        <v>4124</v>
      </c>
      <c r="G499" s="288">
        <f t="shared" ref="G499:G501" si="1367">+F499*$X$1</f>
        <v>4124</v>
      </c>
      <c r="H499" s="458">
        <f t="shared" si="1343"/>
        <v>4624</v>
      </c>
      <c r="I499" s="288">
        <f t="shared" si="1359"/>
        <v>4624</v>
      </c>
      <c r="J499" s="458">
        <f t="shared" si="1345"/>
        <v>4484</v>
      </c>
      <c r="K499" s="288">
        <f t="shared" si="1360"/>
        <v>4484</v>
      </c>
      <c r="L499" s="458">
        <f t="shared" si="1347"/>
        <v>4434</v>
      </c>
      <c r="M499" s="288">
        <f t="shared" si="1361"/>
        <v>4434</v>
      </c>
      <c r="N499" s="458">
        <f t="shared" si="1348"/>
        <v>4404</v>
      </c>
      <c r="O499" s="288">
        <f t="shared" si="1362"/>
        <v>4404</v>
      </c>
      <c r="P499" s="458">
        <f t="shared" si="1350"/>
        <v>4374</v>
      </c>
      <c r="Q499" s="288">
        <f t="shared" si="1363"/>
        <v>4374</v>
      </c>
      <c r="R499" s="458">
        <f t="shared" si="1352"/>
        <v>4354</v>
      </c>
      <c r="S499" s="288">
        <f t="shared" si="1364"/>
        <v>4354</v>
      </c>
      <c r="T499" s="458">
        <f t="shared" si="1354"/>
        <v>4334</v>
      </c>
      <c r="U499" s="288">
        <f t="shared" si="1365"/>
        <v>4334</v>
      </c>
      <c r="V499" s="458">
        <f t="shared" si="1356"/>
        <v>4314</v>
      </c>
      <c r="W499" s="288">
        <f t="shared" si="1366"/>
        <v>4314</v>
      </c>
      <c r="X499" s="835"/>
      <c r="Y499" s="1135"/>
      <c r="Z499" s="1135"/>
      <c r="AA499" s="1135"/>
      <c r="AB499" s="192" t="s">
        <v>278</v>
      </c>
    </row>
    <row r="500" spans="1:28" ht="12.6" customHeight="1" x14ac:dyDescent="0.25">
      <c r="A500" s="18"/>
      <c r="B500" s="1138" t="s">
        <v>535</v>
      </c>
      <c r="C500" s="733"/>
      <c r="D500" s="733"/>
      <c r="E500" s="734"/>
      <c r="F500" s="289">
        <v>3510</v>
      </c>
      <c r="G500" s="287">
        <f>+F500*$X$1</f>
        <v>3510</v>
      </c>
      <c r="H500" s="582">
        <f t="shared" si="1343"/>
        <v>4010</v>
      </c>
      <c r="I500" s="287">
        <f t="shared" si="1359"/>
        <v>4010</v>
      </c>
      <c r="J500" s="582">
        <f t="shared" si="1345"/>
        <v>3870</v>
      </c>
      <c r="K500" s="287">
        <f t="shared" si="1360"/>
        <v>3870</v>
      </c>
      <c r="L500" s="582">
        <f t="shared" si="1347"/>
        <v>3820</v>
      </c>
      <c r="M500" s="287">
        <f t="shared" si="1361"/>
        <v>3820</v>
      </c>
      <c r="N500" s="582">
        <f t="shared" si="1348"/>
        <v>3790</v>
      </c>
      <c r="O500" s="287">
        <f t="shared" si="1362"/>
        <v>3790</v>
      </c>
      <c r="P500" s="582">
        <f t="shared" si="1350"/>
        <v>3760</v>
      </c>
      <c r="Q500" s="287">
        <f t="shared" si="1363"/>
        <v>3760</v>
      </c>
      <c r="R500" s="582">
        <f t="shared" si="1352"/>
        <v>3740</v>
      </c>
      <c r="S500" s="287">
        <f t="shared" si="1364"/>
        <v>3740</v>
      </c>
      <c r="T500" s="582">
        <f t="shared" si="1354"/>
        <v>3720</v>
      </c>
      <c r="U500" s="287">
        <f t="shared" si="1365"/>
        <v>3720</v>
      </c>
      <c r="V500" s="582">
        <f t="shared" si="1356"/>
        <v>3700</v>
      </c>
      <c r="W500" s="287">
        <f t="shared" si="1366"/>
        <v>3700</v>
      </c>
      <c r="X500" s="835"/>
      <c r="Y500" s="1135"/>
      <c r="Z500" s="1135"/>
      <c r="AA500" s="1135"/>
      <c r="AB500" s="29"/>
    </row>
    <row r="501" spans="1:28" ht="12.6" customHeight="1" x14ac:dyDescent="0.25">
      <c r="A501" s="18"/>
      <c r="B501" s="692" t="s">
        <v>326</v>
      </c>
      <c r="C501" s="693"/>
      <c r="D501" s="693"/>
      <c r="E501" s="693"/>
      <c r="F501" s="288">
        <v>6990</v>
      </c>
      <c r="G501" s="288">
        <f t="shared" si="1367"/>
        <v>6990</v>
      </c>
      <c r="H501" s="458">
        <f t="shared" si="1343"/>
        <v>7490</v>
      </c>
      <c r="I501" s="288">
        <f t="shared" si="1359"/>
        <v>7490</v>
      </c>
      <c r="J501" s="458">
        <f t="shared" si="1345"/>
        <v>7350</v>
      </c>
      <c r="K501" s="288">
        <f t="shared" si="1360"/>
        <v>7350</v>
      </c>
      <c r="L501" s="458">
        <f t="shared" si="1347"/>
        <v>7300</v>
      </c>
      <c r="M501" s="288">
        <f t="shared" si="1361"/>
        <v>7300</v>
      </c>
      <c r="N501" s="458">
        <f t="shared" si="1348"/>
        <v>7270</v>
      </c>
      <c r="O501" s="288">
        <f t="shared" si="1362"/>
        <v>7270</v>
      </c>
      <c r="P501" s="458">
        <f t="shared" si="1350"/>
        <v>7240</v>
      </c>
      <c r="Q501" s="288">
        <f t="shared" si="1363"/>
        <v>7240</v>
      </c>
      <c r="R501" s="458">
        <f t="shared" si="1352"/>
        <v>7220</v>
      </c>
      <c r="S501" s="288">
        <f t="shared" si="1364"/>
        <v>7220</v>
      </c>
      <c r="T501" s="458">
        <f t="shared" si="1354"/>
        <v>7200</v>
      </c>
      <c r="U501" s="288">
        <f t="shared" si="1365"/>
        <v>7200</v>
      </c>
      <c r="V501" s="458">
        <f t="shared" si="1356"/>
        <v>7180</v>
      </c>
      <c r="W501" s="288">
        <f t="shared" si="1366"/>
        <v>7180</v>
      </c>
      <c r="X501" s="835"/>
      <c r="Y501" s="1135"/>
      <c r="Z501" s="1135"/>
      <c r="AA501" s="1135"/>
      <c r="AB501" s="192" t="s">
        <v>279</v>
      </c>
    </row>
    <row r="502" spans="1:28" ht="12.6" customHeight="1" x14ac:dyDescent="0.2">
      <c r="A502" s="18"/>
      <c r="B502" s="677" t="s">
        <v>759</v>
      </c>
      <c r="C502" s="1059"/>
      <c r="D502" s="1059"/>
      <c r="E502" s="1059"/>
      <c r="F502" s="287">
        <v>12023</v>
      </c>
      <c r="G502" s="287">
        <f>+F502*$X$1</f>
        <v>12023</v>
      </c>
      <c r="H502" s="582">
        <f t="shared" ref="H502:H507" si="1368">F502+550</f>
        <v>12573</v>
      </c>
      <c r="I502" s="287">
        <f t="shared" si="1344"/>
        <v>12573</v>
      </c>
      <c r="J502" s="582">
        <f>F502+390</f>
        <v>12413</v>
      </c>
      <c r="K502" s="287">
        <f t="shared" si="1346"/>
        <v>12413</v>
      </c>
      <c r="L502" s="582">
        <f t="shared" ref="L502:L507" si="1369">F502+340</f>
        <v>12363</v>
      </c>
      <c r="M502" s="287">
        <f t="shared" si="1361"/>
        <v>12363</v>
      </c>
      <c r="N502" s="582">
        <f t="shared" ref="N502:N507" si="1370">F502+310</f>
        <v>12333</v>
      </c>
      <c r="O502" s="287">
        <f t="shared" si="1362"/>
        <v>12333</v>
      </c>
      <c r="P502" s="582">
        <f t="shared" ref="P502:P507" si="1371">F502+280</f>
        <v>12303</v>
      </c>
      <c r="Q502" s="287">
        <f t="shared" si="1363"/>
        <v>12303</v>
      </c>
      <c r="R502" s="582">
        <f t="shared" ref="R502:R507" si="1372">F502+250</f>
        <v>12273</v>
      </c>
      <c r="S502" s="287">
        <f t="shared" si="1364"/>
        <v>12273</v>
      </c>
      <c r="T502" s="582">
        <f t="shared" ref="T502:T507" si="1373">F502+220</f>
        <v>12243</v>
      </c>
      <c r="U502" s="287">
        <f t="shared" si="1365"/>
        <v>12243</v>
      </c>
      <c r="V502" s="582">
        <f t="shared" ref="V502:V507" si="1374">F502+200</f>
        <v>12223</v>
      </c>
      <c r="W502" s="287">
        <f t="shared" si="1366"/>
        <v>12223</v>
      </c>
      <c r="X502" s="146"/>
      <c r="Y502" s="134"/>
      <c r="Z502" s="134"/>
      <c r="AA502" s="137"/>
      <c r="AB502" s="192" t="s">
        <v>280</v>
      </c>
    </row>
    <row r="503" spans="1:28" ht="12.6" customHeight="1" x14ac:dyDescent="0.2">
      <c r="A503" s="18"/>
      <c r="B503" s="692" t="s">
        <v>760</v>
      </c>
      <c r="C503" s="1058"/>
      <c r="D503" s="1058"/>
      <c r="E503" s="1058"/>
      <c r="F503" s="288">
        <v>12076</v>
      </c>
      <c r="G503" s="288">
        <f t="shared" ref="G503" si="1375">+F503*$X$1</f>
        <v>12076</v>
      </c>
      <c r="H503" s="458">
        <f t="shared" si="1368"/>
        <v>12626</v>
      </c>
      <c r="I503" s="288">
        <f>+H503*$X$1</f>
        <v>12626</v>
      </c>
      <c r="J503" s="458">
        <f t="shared" ref="J503:J508" si="1376">F503+390</f>
        <v>12466</v>
      </c>
      <c r="K503" s="288">
        <f>+J503*$X$1</f>
        <v>12466</v>
      </c>
      <c r="L503" s="458">
        <f t="shared" si="1369"/>
        <v>12416</v>
      </c>
      <c r="M503" s="288">
        <f>+L503*$X$1</f>
        <v>12416</v>
      </c>
      <c r="N503" s="458">
        <f t="shared" si="1370"/>
        <v>12386</v>
      </c>
      <c r="O503" s="288">
        <f>+N503*$X$1</f>
        <v>12386</v>
      </c>
      <c r="P503" s="458">
        <f t="shared" si="1371"/>
        <v>12356</v>
      </c>
      <c r="Q503" s="288">
        <f>+P503*$X$1</f>
        <v>12356</v>
      </c>
      <c r="R503" s="458">
        <f t="shared" si="1372"/>
        <v>12326</v>
      </c>
      <c r="S503" s="288">
        <f>+R503*$X$1</f>
        <v>12326</v>
      </c>
      <c r="T503" s="458">
        <f t="shared" si="1373"/>
        <v>12296</v>
      </c>
      <c r="U503" s="288">
        <f>+T503*$X$1</f>
        <v>12296</v>
      </c>
      <c r="V503" s="458">
        <f t="shared" si="1374"/>
        <v>12276</v>
      </c>
      <c r="W503" s="288">
        <f>+V503*$X$1</f>
        <v>12276</v>
      </c>
      <c r="X503" s="146"/>
      <c r="Y503" s="134"/>
      <c r="Z503" s="134"/>
      <c r="AA503" s="137"/>
      <c r="AB503" s="192" t="s">
        <v>281</v>
      </c>
    </row>
    <row r="504" spans="1:28" ht="12.6" customHeight="1" x14ac:dyDescent="0.2">
      <c r="A504" s="18"/>
      <c r="B504" s="673" t="s">
        <v>927</v>
      </c>
      <c r="C504" s="762"/>
      <c r="D504" s="762"/>
      <c r="E504" s="762"/>
      <c r="F504" s="379">
        <f>9.18*X2</f>
        <v>9951.119999999999</v>
      </c>
      <c r="G504" s="287">
        <f t="shared" ref="G504" si="1377">+F504*$X$1</f>
        <v>9951.119999999999</v>
      </c>
      <c r="H504" s="584">
        <f t="shared" si="1368"/>
        <v>10501.119999999999</v>
      </c>
      <c r="I504" s="287">
        <f>+H504*$X$1</f>
        <v>10501.119999999999</v>
      </c>
      <c r="J504" s="584">
        <f t="shared" si="1376"/>
        <v>10341.119999999999</v>
      </c>
      <c r="K504" s="287">
        <f>+J504*$X$1</f>
        <v>10341.119999999999</v>
      </c>
      <c r="L504" s="584">
        <f t="shared" si="1369"/>
        <v>10291.119999999999</v>
      </c>
      <c r="M504" s="287">
        <f>+L504*$X$1</f>
        <v>10291.119999999999</v>
      </c>
      <c r="N504" s="584">
        <f t="shared" si="1370"/>
        <v>10261.119999999999</v>
      </c>
      <c r="O504" s="287">
        <f>+N504*$X$1</f>
        <v>10261.119999999999</v>
      </c>
      <c r="P504" s="584">
        <f t="shared" si="1371"/>
        <v>10231.119999999999</v>
      </c>
      <c r="Q504" s="287">
        <f>+P504*$X$1</f>
        <v>10231.119999999999</v>
      </c>
      <c r="R504" s="584">
        <f t="shared" si="1372"/>
        <v>10201.119999999999</v>
      </c>
      <c r="S504" s="287">
        <f>+R504*$X$1</f>
        <v>10201.119999999999</v>
      </c>
      <c r="T504" s="584">
        <f t="shared" si="1373"/>
        <v>10171.119999999999</v>
      </c>
      <c r="U504" s="287">
        <f>+T504*$X$1</f>
        <v>10171.119999999999</v>
      </c>
      <c r="V504" s="584">
        <f t="shared" si="1374"/>
        <v>10151.119999999999</v>
      </c>
      <c r="W504" s="287">
        <f>+V504*$X$1</f>
        <v>10151.119999999999</v>
      </c>
      <c r="X504" s="146"/>
      <c r="Y504" s="134"/>
      <c r="Z504" s="134"/>
      <c r="AA504" s="137"/>
      <c r="AB504" s="192" t="s">
        <v>928</v>
      </c>
    </row>
    <row r="505" spans="1:28" ht="12.6" customHeight="1" x14ac:dyDescent="0.2">
      <c r="A505" s="18"/>
      <c r="B505" s="673" t="s">
        <v>929</v>
      </c>
      <c r="C505" s="762"/>
      <c r="D505" s="762"/>
      <c r="E505" s="762"/>
      <c r="F505" s="380">
        <f>9.4*X2</f>
        <v>10189.6</v>
      </c>
      <c r="G505" s="288">
        <f t="shared" ref="G505" si="1378">+F505*$X$1</f>
        <v>10189.6</v>
      </c>
      <c r="H505" s="458">
        <f t="shared" si="1368"/>
        <v>10739.6</v>
      </c>
      <c r="I505" s="288">
        <f t="shared" ref="I505" si="1379">+H505*$X$1</f>
        <v>10739.6</v>
      </c>
      <c r="J505" s="458">
        <f t="shared" si="1376"/>
        <v>10579.6</v>
      </c>
      <c r="K505" s="288">
        <f t="shared" ref="K505" si="1380">+J505*$X$1</f>
        <v>10579.6</v>
      </c>
      <c r="L505" s="458">
        <f t="shared" si="1369"/>
        <v>10529.6</v>
      </c>
      <c r="M505" s="288">
        <f t="shared" ref="M505" si="1381">+L505*$X$1</f>
        <v>10529.6</v>
      </c>
      <c r="N505" s="458">
        <f t="shared" si="1370"/>
        <v>10499.6</v>
      </c>
      <c r="O505" s="288">
        <f t="shared" ref="O505" si="1382">+N505*$X$1</f>
        <v>10499.6</v>
      </c>
      <c r="P505" s="458">
        <f t="shared" si="1371"/>
        <v>10469.6</v>
      </c>
      <c r="Q505" s="288">
        <f t="shared" ref="Q505" si="1383">+P505*$X$1</f>
        <v>10469.6</v>
      </c>
      <c r="R505" s="458">
        <f t="shared" si="1372"/>
        <v>10439.6</v>
      </c>
      <c r="S505" s="288">
        <f t="shared" ref="S505" si="1384">+R505*$X$1</f>
        <v>10439.6</v>
      </c>
      <c r="T505" s="458">
        <f t="shared" si="1373"/>
        <v>10409.6</v>
      </c>
      <c r="U505" s="288">
        <f t="shared" ref="U505" si="1385">+T505*$X$1</f>
        <v>10409.6</v>
      </c>
      <c r="V505" s="458">
        <f t="shared" si="1374"/>
        <v>10389.6</v>
      </c>
      <c r="W505" s="288">
        <f t="shared" ref="W505" si="1386">+V505*$X$1</f>
        <v>10389.6</v>
      </c>
      <c r="X505" s="146"/>
      <c r="Y505" s="134"/>
      <c r="Z505" s="134"/>
      <c r="AA505" s="137"/>
      <c r="AB505" s="192" t="s">
        <v>930</v>
      </c>
    </row>
    <row r="506" spans="1:28" ht="12.6" customHeight="1" x14ac:dyDescent="0.2">
      <c r="A506" s="18"/>
      <c r="B506" s="677" t="s">
        <v>282</v>
      </c>
      <c r="C506" s="678"/>
      <c r="D506" s="678"/>
      <c r="E506" s="678"/>
      <c r="F506" s="287">
        <v>8316</v>
      </c>
      <c r="G506" s="287">
        <f>+F506*$X$1</f>
        <v>8316</v>
      </c>
      <c r="H506" s="584">
        <f t="shared" si="1368"/>
        <v>8866</v>
      </c>
      <c r="I506" s="287">
        <f>+H506*$X$1</f>
        <v>8866</v>
      </c>
      <c r="J506" s="584">
        <f t="shared" si="1376"/>
        <v>8706</v>
      </c>
      <c r="K506" s="287">
        <f>+J506*$X$1</f>
        <v>8706</v>
      </c>
      <c r="L506" s="584">
        <f t="shared" si="1369"/>
        <v>8656</v>
      </c>
      <c r="M506" s="287">
        <f>+L506*$X$1</f>
        <v>8656</v>
      </c>
      <c r="N506" s="584">
        <f t="shared" si="1370"/>
        <v>8626</v>
      </c>
      <c r="O506" s="287">
        <f>+N506*$X$1</f>
        <v>8626</v>
      </c>
      <c r="P506" s="584">
        <f t="shared" si="1371"/>
        <v>8596</v>
      </c>
      <c r="Q506" s="287">
        <f>+P506*$X$1</f>
        <v>8596</v>
      </c>
      <c r="R506" s="584">
        <f t="shared" si="1372"/>
        <v>8566</v>
      </c>
      <c r="S506" s="287">
        <f>+R506*$X$1</f>
        <v>8566</v>
      </c>
      <c r="T506" s="584">
        <f t="shared" si="1373"/>
        <v>8536</v>
      </c>
      <c r="U506" s="287">
        <f>+T506*$X$1</f>
        <v>8536</v>
      </c>
      <c r="V506" s="584">
        <f t="shared" si="1374"/>
        <v>8516</v>
      </c>
      <c r="W506" s="287">
        <f>+V506*$X$1</f>
        <v>8516</v>
      </c>
      <c r="X506" s="146"/>
      <c r="Y506" s="134"/>
      <c r="Z506" s="134"/>
      <c r="AA506" s="137"/>
      <c r="AB506" s="192" t="s">
        <v>283</v>
      </c>
    </row>
    <row r="507" spans="1:28" ht="12.6" customHeight="1" x14ac:dyDescent="0.2">
      <c r="A507" s="18"/>
      <c r="B507" s="692" t="s">
        <v>284</v>
      </c>
      <c r="C507" s="693"/>
      <c r="D507" s="693"/>
      <c r="E507" s="693"/>
      <c r="F507" s="288">
        <v>9240</v>
      </c>
      <c r="G507" s="288">
        <f>+F507*$X$1</f>
        <v>9240</v>
      </c>
      <c r="H507" s="458">
        <f t="shared" si="1368"/>
        <v>9790</v>
      </c>
      <c r="I507" s="288">
        <f t="shared" ref="I507" si="1387">+H507*$X$1</f>
        <v>9790</v>
      </c>
      <c r="J507" s="458">
        <f t="shared" si="1376"/>
        <v>9630</v>
      </c>
      <c r="K507" s="288">
        <f t="shared" ref="K507:K508" si="1388">+J507*$X$1</f>
        <v>9630</v>
      </c>
      <c r="L507" s="458">
        <f t="shared" si="1369"/>
        <v>9580</v>
      </c>
      <c r="M507" s="288">
        <f t="shared" ref="M507:M508" si="1389">+L507*$X$1</f>
        <v>9580</v>
      </c>
      <c r="N507" s="458">
        <f t="shared" si="1370"/>
        <v>9550</v>
      </c>
      <c r="O507" s="288">
        <f t="shared" ref="O507:O508" si="1390">+N507*$X$1</f>
        <v>9550</v>
      </c>
      <c r="P507" s="458">
        <f t="shared" si="1371"/>
        <v>9520</v>
      </c>
      <c r="Q507" s="288">
        <f t="shared" ref="Q507:Q508" si="1391">+P507*$X$1</f>
        <v>9520</v>
      </c>
      <c r="R507" s="458">
        <f t="shared" si="1372"/>
        <v>9490</v>
      </c>
      <c r="S507" s="288">
        <f t="shared" ref="S507:S508" si="1392">+R507*$X$1</f>
        <v>9490</v>
      </c>
      <c r="T507" s="458">
        <f t="shared" si="1373"/>
        <v>9460</v>
      </c>
      <c r="U507" s="288">
        <f t="shared" ref="U507:U508" si="1393">+T507*$X$1</f>
        <v>9460</v>
      </c>
      <c r="V507" s="458">
        <f t="shared" si="1374"/>
        <v>9440</v>
      </c>
      <c r="W507" s="288">
        <f t="shared" ref="W507:W509" si="1394">+V507*$X$1</f>
        <v>9440</v>
      </c>
      <c r="X507" s="146"/>
      <c r="Y507" s="134"/>
      <c r="Z507" s="134"/>
      <c r="AA507" s="137"/>
      <c r="AB507" s="192" t="s">
        <v>285</v>
      </c>
    </row>
    <row r="508" spans="1:28" ht="12.6" customHeight="1" x14ac:dyDescent="0.2">
      <c r="A508" s="18"/>
      <c r="B508" s="673" t="s">
        <v>932</v>
      </c>
      <c r="C508" s="762"/>
      <c r="D508" s="762"/>
      <c r="E508" s="762"/>
      <c r="F508" s="287">
        <v>11390</v>
      </c>
      <c r="G508" s="287">
        <f t="shared" ref="G508:G510" si="1395">+F508*$X$1</f>
        <v>11390</v>
      </c>
      <c r="H508" s="584"/>
      <c r="I508" s="287"/>
      <c r="J508" s="584">
        <f t="shared" si="1376"/>
        <v>11780</v>
      </c>
      <c r="K508" s="287">
        <f t="shared" si="1388"/>
        <v>11780</v>
      </c>
      <c r="L508" s="584">
        <f t="shared" ref="L508:L509" si="1396">F508+340</f>
        <v>11730</v>
      </c>
      <c r="M508" s="287">
        <f t="shared" si="1389"/>
        <v>11730</v>
      </c>
      <c r="N508" s="584">
        <f t="shared" ref="N508:N509" si="1397">F508+310</f>
        <v>11700</v>
      </c>
      <c r="O508" s="287">
        <f t="shared" si="1390"/>
        <v>11700</v>
      </c>
      <c r="P508" s="584">
        <f t="shared" ref="P508:P509" si="1398">F508+280</f>
        <v>11670</v>
      </c>
      <c r="Q508" s="287">
        <f t="shared" si="1391"/>
        <v>11670</v>
      </c>
      <c r="R508" s="584">
        <f t="shared" ref="R508:R509" si="1399">F508+250</f>
        <v>11640</v>
      </c>
      <c r="S508" s="287">
        <f t="shared" si="1392"/>
        <v>11640</v>
      </c>
      <c r="T508" s="584">
        <f t="shared" ref="T508:T509" si="1400">F508+220</f>
        <v>11610</v>
      </c>
      <c r="U508" s="287">
        <f t="shared" si="1393"/>
        <v>11610</v>
      </c>
      <c r="V508" s="584">
        <f t="shared" ref="V508:V509" si="1401">F508+200</f>
        <v>11590</v>
      </c>
      <c r="W508" s="287">
        <f t="shared" si="1394"/>
        <v>11590</v>
      </c>
      <c r="X508" s="146"/>
      <c r="Y508" s="134"/>
      <c r="Z508" s="134"/>
      <c r="AA508" s="137"/>
      <c r="AB508" s="192" t="s">
        <v>931</v>
      </c>
    </row>
    <row r="509" spans="1:28" ht="12.6" customHeight="1" x14ac:dyDescent="0.2">
      <c r="A509" s="18"/>
      <c r="B509" s="673" t="s">
        <v>977</v>
      </c>
      <c r="C509" s="674"/>
      <c r="D509" s="674"/>
      <c r="E509" s="674"/>
      <c r="F509" s="380">
        <f>4.65*X2</f>
        <v>5040.6000000000004</v>
      </c>
      <c r="G509" s="288">
        <f t="shared" si="1395"/>
        <v>5040.6000000000004</v>
      </c>
      <c r="H509" s="458">
        <f t="shared" ref="H509" si="1402">F509+550</f>
        <v>5590.6</v>
      </c>
      <c r="I509" s="288">
        <f t="shared" ref="I509" si="1403">+H509*$X$1</f>
        <v>5590.6</v>
      </c>
      <c r="J509" s="458">
        <f t="shared" ref="J509" si="1404">F509+390</f>
        <v>5430.6</v>
      </c>
      <c r="K509" s="288">
        <f t="shared" ref="K509" si="1405">+J509*$X$1</f>
        <v>5430.6</v>
      </c>
      <c r="L509" s="458">
        <f t="shared" si="1396"/>
        <v>5380.6</v>
      </c>
      <c r="M509" s="288">
        <f t="shared" ref="M509" si="1406">+L509*$X$1</f>
        <v>5380.6</v>
      </c>
      <c r="N509" s="458">
        <f t="shared" si="1397"/>
        <v>5350.6</v>
      </c>
      <c r="O509" s="288">
        <f t="shared" ref="O509" si="1407">+N509*$X$1</f>
        <v>5350.6</v>
      </c>
      <c r="P509" s="458">
        <f t="shared" si="1398"/>
        <v>5320.6</v>
      </c>
      <c r="Q509" s="288">
        <f t="shared" ref="Q509" si="1408">+P509*$X$1</f>
        <v>5320.6</v>
      </c>
      <c r="R509" s="458">
        <f t="shared" si="1399"/>
        <v>5290.6</v>
      </c>
      <c r="S509" s="288">
        <f t="shared" ref="S509" si="1409">+R509*$X$1</f>
        <v>5290.6</v>
      </c>
      <c r="T509" s="458">
        <f t="shared" si="1400"/>
        <v>5260.6</v>
      </c>
      <c r="U509" s="288">
        <f t="shared" ref="U509" si="1410">+T509*$X$1</f>
        <v>5260.6</v>
      </c>
      <c r="V509" s="458">
        <f t="shared" si="1401"/>
        <v>5240.6000000000004</v>
      </c>
      <c r="W509" s="288">
        <f t="shared" si="1394"/>
        <v>5240.6000000000004</v>
      </c>
      <c r="X509" s="1130"/>
      <c r="Y509" s="1131"/>
      <c r="Z509" s="1131"/>
      <c r="AA509" s="1132"/>
      <c r="AB509" s="192" t="s">
        <v>978</v>
      </c>
    </row>
    <row r="510" spans="1:28" ht="12.6" customHeight="1" x14ac:dyDescent="0.2">
      <c r="A510" s="18"/>
      <c r="B510" s="673" t="s">
        <v>979</v>
      </c>
      <c r="C510" s="674"/>
      <c r="D510" s="674"/>
      <c r="E510" s="674"/>
      <c r="F510" s="379">
        <f>3.61*X2</f>
        <v>3913.24</v>
      </c>
      <c r="G510" s="287">
        <f t="shared" si="1395"/>
        <v>3913.24</v>
      </c>
      <c r="H510" s="668">
        <f t="shared" ref="H510" si="1411">F510+550</f>
        <v>4463.24</v>
      </c>
      <c r="I510" s="287">
        <f t="shared" ref="I510" si="1412">+H510*$X$1</f>
        <v>4463.24</v>
      </c>
      <c r="J510" s="668">
        <f t="shared" ref="J510" si="1413">F510+390</f>
        <v>4303.24</v>
      </c>
      <c r="K510" s="287">
        <f t="shared" ref="K510" si="1414">+J510*$X$1</f>
        <v>4303.24</v>
      </c>
      <c r="L510" s="668">
        <f t="shared" ref="L510" si="1415">F510+340</f>
        <v>4253.24</v>
      </c>
      <c r="M510" s="287">
        <f t="shared" ref="M510" si="1416">+L510*$X$1</f>
        <v>4253.24</v>
      </c>
      <c r="N510" s="668">
        <f t="shared" ref="N510" si="1417">F510+310</f>
        <v>4223.24</v>
      </c>
      <c r="O510" s="287">
        <f t="shared" ref="O510" si="1418">+N510*$X$1</f>
        <v>4223.24</v>
      </c>
      <c r="P510" s="668">
        <f t="shared" ref="P510" si="1419">F510+280</f>
        <v>4193.24</v>
      </c>
      <c r="Q510" s="287">
        <f t="shared" ref="Q510" si="1420">+P510*$X$1</f>
        <v>4193.24</v>
      </c>
      <c r="R510" s="668">
        <f t="shared" ref="R510" si="1421">F510+250</f>
        <v>4163.24</v>
      </c>
      <c r="S510" s="287">
        <f t="shared" ref="S510" si="1422">+R510*$X$1</f>
        <v>4163.24</v>
      </c>
      <c r="T510" s="668">
        <f t="shared" ref="T510" si="1423">F510+220</f>
        <v>4133.24</v>
      </c>
      <c r="U510" s="287">
        <f t="shared" ref="U510" si="1424">+T510*$X$1</f>
        <v>4133.24</v>
      </c>
      <c r="V510" s="668">
        <f t="shared" ref="V510" si="1425">F510+200</f>
        <v>4113.24</v>
      </c>
      <c r="W510" s="287">
        <f t="shared" ref="W510" si="1426">+V510*$X$1</f>
        <v>4113.24</v>
      </c>
      <c r="X510" s="1130"/>
      <c r="Y510" s="1131"/>
      <c r="Z510" s="1131"/>
      <c r="AA510" s="1132"/>
      <c r="AB510" s="192" t="s">
        <v>980</v>
      </c>
    </row>
    <row r="511" spans="1:28" ht="12.6" customHeight="1" x14ac:dyDescent="0.2">
      <c r="A511" s="18"/>
      <c r="B511" s="692" t="s">
        <v>564</v>
      </c>
      <c r="C511" s="693"/>
      <c r="D511" s="693"/>
      <c r="E511" s="693"/>
      <c r="F511" s="380">
        <f>3.82*X2</f>
        <v>4140.88</v>
      </c>
      <c r="G511" s="288">
        <f t="shared" ref="G511" si="1427">+F511*$X$1</f>
        <v>4140.88</v>
      </c>
      <c r="H511" s="458">
        <f>F511+500</f>
        <v>4640.88</v>
      </c>
      <c r="I511" s="288">
        <f t="shared" ref="I511:I514" si="1428">+H511*$X$1</f>
        <v>4640.88</v>
      </c>
      <c r="J511" s="458">
        <f>F511+300</f>
        <v>4440.88</v>
      </c>
      <c r="K511" s="288">
        <f t="shared" ref="K511:K514" si="1429">+J511*$X$1</f>
        <v>4440.88</v>
      </c>
      <c r="L511" s="458">
        <f>F511+210</f>
        <v>4350.88</v>
      </c>
      <c r="M511" s="288">
        <f t="shared" ref="M511:M514" si="1430">+L511*$X$1</f>
        <v>4350.88</v>
      </c>
      <c r="N511" s="458">
        <f>F511+180</f>
        <v>4320.88</v>
      </c>
      <c r="O511" s="288">
        <f>+N511*$X$1</f>
        <v>4320.88</v>
      </c>
      <c r="P511" s="458">
        <f>F511+160</f>
        <v>4300.88</v>
      </c>
      <c r="Q511" s="288">
        <f t="shared" ref="Q511:Q514" si="1431">+P511*$X$1</f>
        <v>4300.88</v>
      </c>
      <c r="R511" s="458">
        <f>F511+140</f>
        <v>4280.88</v>
      </c>
      <c r="S511" s="288">
        <f t="shared" ref="S511:S514" si="1432">+R511*$X$1</f>
        <v>4280.88</v>
      </c>
      <c r="T511" s="458">
        <f>F511+120</f>
        <v>4260.88</v>
      </c>
      <c r="U511" s="288">
        <f t="shared" ref="U511:U514" si="1433">+T511*$X$1</f>
        <v>4260.88</v>
      </c>
      <c r="V511" s="458">
        <f>F511+90</f>
        <v>4230.88</v>
      </c>
      <c r="W511" s="288">
        <f t="shared" ref="W511:W514" si="1434">+V511*$X$1</f>
        <v>4230.88</v>
      </c>
      <c r="X511" s="1130"/>
      <c r="Y511" s="1131"/>
      <c r="Z511" s="1131"/>
      <c r="AA511" s="1132"/>
      <c r="AB511" s="192" t="s">
        <v>286</v>
      </c>
    </row>
    <row r="512" spans="1:28" ht="12.6" customHeight="1" x14ac:dyDescent="0.2">
      <c r="A512" s="18"/>
      <c r="B512" s="677" t="s">
        <v>642</v>
      </c>
      <c r="C512" s="678"/>
      <c r="D512" s="678"/>
      <c r="E512" s="678"/>
      <c r="F512" s="379">
        <f>3.82*X2</f>
        <v>4140.88</v>
      </c>
      <c r="G512" s="287">
        <f t="shared" ref="G512" si="1435">+F512*$X$1</f>
        <v>4140.88</v>
      </c>
      <c r="H512" s="668">
        <f>F512+500</f>
        <v>4640.88</v>
      </c>
      <c r="I512" s="287">
        <f t="shared" si="1428"/>
        <v>4640.88</v>
      </c>
      <c r="J512" s="668">
        <f>F512+360</f>
        <v>4500.88</v>
      </c>
      <c r="K512" s="287">
        <f t="shared" si="1429"/>
        <v>4500.88</v>
      </c>
      <c r="L512" s="668">
        <f>F512+310</f>
        <v>4450.88</v>
      </c>
      <c r="M512" s="287">
        <f t="shared" si="1430"/>
        <v>4450.88</v>
      </c>
      <c r="N512" s="668">
        <f>F512+280</f>
        <v>4420.88</v>
      </c>
      <c r="O512" s="287">
        <f t="shared" ref="O512:O514" si="1436">+N512*$X$1</f>
        <v>4420.88</v>
      </c>
      <c r="P512" s="668">
        <f>F512+250</f>
        <v>4390.88</v>
      </c>
      <c r="Q512" s="287">
        <f t="shared" si="1431"/>
        <v>4390.88</v>
      </c>
      <c r="R512" s="668">
        <f>F512+230</f>
        <v>4370.88</v>
      </c>
      <c r="S512" s="287">
        <f t="shared" si="1432"/>
        <v>4370.88</v>
      </c>
      <c r="T512" s="668">
        <f>F512+210</f>
        <v>4350.88</v>
      </c>
      <c r="U512" s="287">
        <f t="shared" si="1433"/>
        <v>4350.88</v>
      </c>
      <c r="V512" s="668">
        <f>F512+190</f>
        <v>4330.88</v>
      </c>
      <c r="W512" s="287">
        <f t="shared" si="1434"/>
        <v>4330.88</v>
      </c>
      <c r="X512" s="1130"/>
      <c r="Y512" s="1131"/>
      <c r="Z512" s="1131"/>
      <c r="AA512" s="1132"/>
      <c r="AB512" s="192" t="s">
        <v>643</v>
      </c>
    </row>
    <row r="513" spans="1:34" ht="12.6" customHeight="1" x14ac:dyDescent="0.2">
      <c r="A513" s="18"/>
      <c r="B513" s="692" t="s">
        <v>392</v>
      </c>
      <c r="C513" s="967"/>
      <c r="D513" s="967"/>
      <c r="E513" s="967"/>
      <c r="F513" s="380">
        <f>3.116*X2</f>
        <v>3377.7440000000001</v>
      </c>
      <c r="G513" s="288">
        <f t="shared" ref="G513" si="1437">+F513*$X$1</f>
        <v>3377.7440000000001</v>
      </c>
      <c r="H513" s="458">
        <f>F513+500</f>
        <v>3877.7440000000001</v>
      </c>
      <c r="I513" s="288">
        <f t="shared" si="1428"/>
        <v>3877.7440000000001</v>
      </c>
      <c r="J513" s="458">
        <f>F513+360</f>
        <v>3737.7440000000001</v>
      </c>
      <c r="K513" s="288">
        <f t="shared" si="1429"/>
        <v>3737.7440000000001</v>
      </c>
      <c r="L513" s="458">
        <f>F513+310</f>
        <v>3687.7440000000001</v>
      </c>
      <c r="M513" s="288">
        <f t="shared" si="1430"/>
        <v>3687.7440000000001</v>
      </c>
      <c r="N513" s="458">
        <f>F513+280</f>
        <v>3657.7440000000001</v>
      </c>
      <c r="O513" s="288">
        <f t="shared" si="1436"/>
        <v>3657.7440000000001</v>
      </c>
      <c r="P513" s="458">
        <f>F513+250</f>
        <v>3627.7440000000001</v>
      </c>
      <c r="Q513" s="288">
        <f t="shared" si="1431"/>
        <v>3627.7440000000001</v>
      </c>
      <c r="R513" s="458">
        <f>F513+230</f>
        <v>3607.7440000000001</v>
      </c>
      <c r="S513" s="288">
        <f t="shared" si="1432"/>
        <v>3607.7440000000001</v>
      </c>
      <c r="T513" s="458">
        <f>F513+210</f>
        <v>3587.7440000000001</v>
      </c>
      <c r="U513" s="288">
        <f t="shared" si="1433"/>
        <v>3587.7440000000001</v>
      </c>
      <c r="V513" s="458">
        <f>F513+190</f>
        <v>3567.7440000000001</v>
      </c>
      <c r="W513" s="288">
        <f t="shared" si="1434"/>
        <v>3567.7440000000001</v>
      </c>
      <c r="X513" s="1130"/>
      <c r="Y513" s="1131"/>
      <c r="Z513" s="1131"/>
      <c r="AA513" s="1132"/>
      <c r="AB513" s="192" t="s">
        <v>462</v>
      </c>
    </row>
    <row r="514" spans="1:34" ht="12.6" customHeight="1" x14ac:dyDescent="0.2">
      <c r="A514" s="18"/>
      <c r="B514" s="677" t="s">
        <v>688</v>
      </c>
      <c r="C514" s="737"/>
      <c r="D514" s="737"/>
      <c r="E514" s="737"/>
      <c r="F514" s="379">
        <f>5*X2</f>
        <v>5420</v>
      </c>
      <c r="G514" s="287">
        <f t="shared" ref="G514" si="1438">+F514*$X$1</f>
        <v>5420</v>
      </c>
      <c r="H514" s="668">
        <f>F514+500</f>
        <v>5920</v>
      </c>
      <c r="I514" s="287">
        <f t="shared" si="1428"/>
        <v>5920</v>
      </c>
      <c r="J514" s="668">
        <f>F514+360</f>
        <v>5780</v>
      </c>
      <c r="K514" s="287">
        <f t="shared" si="1429"/>
        <v>5780</v>
      </c>
      <c r="L514" s="668">
        <f>F514+310</f>
        <v>5730</v>
      </c>
      <c r="M514" s="287">
        <f t="shared" si="1430"/>
        <v>5730</v>
      </c>
      <c r="N514" s="668">
        <f>F514+280</f>
        <v>5700</v>
      </c>
      <c r="O514" s="287">
        <f t="shared" si="1436"/>
        <v>5700</v>
      </c>
      <c r="P514" s="668">
        <f>F514+250</f>
        <v>5670</v>
      </c>
      <c r="Q514" s="287">
        <f t="shared" si="1431"/>
        <v>5670</v>
      </c>
      <c r="R514" s="668">
        <f>F514+230</f>
        <v>5650</v>
      </c>
      <c r="S514" s="287">
        <f t="shared" si="1432"/>
        <v>5650</v>
      </c>
      <c r="T514" s="668">
        <f>F514+210</f>
        <v>5630</v>
      </c>
      <c r="U514" s="287">
        <f t="shared" si="1433"/>
        <v>5630</v>
      </c>
      <c r="V514" s="668">
        <f>F514+190</f>
        <v>5610</v>
      </c>
      <c r="W514" s="287">
        <f t="shared" si="1434"/>
        <v>5610</v>
      </c>
      <c r="X514" s="1130"/>
      <c r="Y514" s="1131"/>
      <c r="Z514" s="1131"/>
      <c r="AA514" s="1132"/>
      <c r="AB514" s="192" t="s">
        <v>689</v>
      </c>
    </row>
    <row r="515" spans="1:34" ht="17.25" customHeight="1" x14ac:dyDescent="0.2">
      <c r="A515" s="104"/>
      <c r="B515" s="229"/>
      <c r="C515" s="62"/>
      <c r="D515" s="62"/>
      <c r="E515" s="62"/>
      <c r="F515" s="129"/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7"/>
      <c r="V515" s="117"/>
      <c r="W515" s="117"/>
      <c r="X515" s="230"/>
      <c r="Y515" s="231"/>
      <c r="Z515" s="231"/>
      <c r="AA515" s="230"/>
      <c r="AB515" s="39"/>
      <c r="AC515" s="65"/>
    </row>
    <row r="516" spans="1:34" ht="14.25" customHeight="1" x14ac:dyDescent="0.2">
      <c r="B516" s="1146" t="s">
        <v>493</v>
      </c>
      <c r="C516" s="1147"/>
      <c r="D516" s="1147"/>
      <c r="E516" s="1147"/>
      <c r="F516" s="1147"/>
      <c r="G516" s="1147"/>
      <c r="H516" s="1147"/>
      <c r="I516" s="1147"/>
      <c r="J516" s="1147"/>
      <c r="K516" s="1147"/>
      <c r="L516" s="1147"/>
      <c r="M516" s="1147"/>
      <c r="N516" s="1147"/>
      <c r="O516" s="1147"/>
      <c r="P516" s="1147"/>
      <c r="Q516" s="1147"/>
      <c r="R516" s="1147"/>
      <c r="S516" s="1147"/>
      <c r="T516" s="1147"/>
      <c r="U516" s="1147"/>
      <c r="V516" s="1147"/>
      <c r="W516" s="1147"/>
      <c r="AB516" s="4"/>
      <c r="AF516" s="703"/>
      <c r="AG516" s="704"/>
      <c r="AH516" s="704"/>
    </row>
    <row r="517" spans="1:34" ht="13.5" customHeight="1" x14ac:dyDescent="0.2">
      <c r="B517" s="745" t="s">
        <v>11</v>
      </c>
      <c r="C517" s="745" t="s">
        <v>12</v>
      </c>
      <c r="D517" s="746"/>
      <c r="E517" s="746"/>
      <c r="F517" s="754" t="s">
        <v>287</v>
      </c>
      <c r="G517" s="754" t="s">
        <v>13</v>
      </c>
      <c r="H517" s="738" t="s">
        <v>918</v>
      </c>
      <c r="I517" s="738"/>
      <c r="J517" s="739"/>
      <c r="K517" s="739"/>
      <c r="L517" s="739"/>
      <c r="M517" s="739"/>
      <c r="N517" s="739"/>
      <c r="O517" s="739"/>
      <c r="P517" s="739"/>
      <c r="Q517" s="739"/>
      <c r="R517" s="739"/>
      <c r="S517" s="739"/>
      <c r="T517" s="739"/>
      <c r="U517" s="739"/>
      <c r="V517" s="739"/>
      <c r="W517" s="739"/>
      <c r="X517" s="715" t="s">
        <v>14</v>
      </c>
      <c r="Y517" s="716"/>
      <c r="Z517" s="716"/>
      <c r="AA517" s="717"/>
      <c r="AB517" s="721" t="s">
        <v>15</v>
      </c>
      <c r="AF517" s="703" t="s">
        <v>3</v>
      </c>
      <c r="AG517" s="704"/>
      <c r="AH517" s="704"/>
    </row>
    <row r="518" spans="1:34" ht="9.75" customHeight="1" x14ac:dyDescent="0.2">
      <c r="B518" s="746"/>
      <c r="C518" s="746"/>
      <c r="D518" s="746"/>
      <c r="E518" s="746"/>
      <c r="F518" s="755"/>
      <c r="G518" s="755"/>
      <c r="H518" s="473"/>
      <c r="I518" s="472" t="s">
        <v>559</v>
      </c>
      <c r="J518" s="473"/>
      <c r="K518" s="472" t="s">
        <v>288</v>
      </c>
      <c r="L518" s="473"/>
      <c r="M518" s="472" t="s">
        <v>289</v>
      </c>
      <c r="N518" s="473"/>
      <c r="O518" s="472" t="s">
        <v>561</v>
      </c>
      <c r="P518" s="473"/>
      <c r="Q518" s="472" t="s">
        <v>17</v>
      </c>
      <c r="R518" s="473"/>
      <c r="S518" s="472" t="s">
        <v>18</v>
      </c>
      <c r="T518" s="473"/>
      <c r="U518" s="472" t="s">
        <v>19</v>
      </c>
      <c r="V518" s="473"/>
      <c r="W518" s="472" t="s">
        <v>562</v>
      </c>
      <c r="X518" s="718"/>
      <c r="Y518" s="719"/>
      <c r="Z518" s="719"/>
      <c r="AA518" s="720"/>
      <c r="AB518" s="691"/>
    </row>
    <row r="519" spans="1:34" ht="12" customHeight="1" x14ac:dyDescent="0.2">
      <c r="A519" s="4"/>
      <c r="B519" s="742" t="s">
        <v>752</v>
      </c>
      <c r="C519" s="743"/>
      <c r="D519" s="743"/>
      <c r="E519" s="743"/>
      <c r="F519" s="383">
        <f>8.8*X2</f>
        <v>9539.2000000000007</v>
      </c>
      <c r="G519" s="319">
        <f t="shared" ref="G519" si="1439">+F519*$X$1</f>
        <v>9539.2000000000007</v>
      </c>
      <c r="H519" s="102">
        <f>F519+5000</f>
        <v>14539.2</v>
      </c>
      <c r="I519" s="319">
        <f t="shared" ref="I519" si="1440">+H519*$X$1</f>
        <v>14539.2</v>
      </c>
      <c r="J519" s="102">
        <f>F519+1100</f>
        <v>10639.2</v>
      </c>
      <c r="K519" s="319">
        <f t="shared" ref="K519" si="1441">+J519*$X$1</f>
        <v>10639.2</v>
      </c>
      <c r="L519" s="102">
        <f>F519+990</f>
        <v>10529.2</v>
      </c>
      <c r="M519" s="319">
        <f t="shared" ref="M519" si="1442">+L519*$X$1</f>
        <v>10529.2</v>
      </c>
      <c r="N519" s="102">
        <f>F519+920</f>
        <v>10459.200000000001</v>
      </c>
      <c r="O519" s="319">
        <f t="shared" ref="O519" si="1443">+N519*$X$1</f>
        <v>10459.200000000001</v>
      </c>
      <c r="P519" s="102">
        <f>F519+860</f>
        <v>10399.200000000001</v>
      </c>
      <c r="Q519" s="319">
        <f t="shared" ref="Q519" si="1444">+P519*$X$1</f>
        <v>10399.200000000001</v>
      </c>
      <c r="R519" s="102">
        <f>F519+800</f>
        <v>10339.200000000001</v>
      </c>
      <c r="S519" s="319">
        <f t="shared" ref="S519" si="1445">+R519*$X$1</f>
        <v>10339.200000000001</v>
      </c>
      <c r="T519" s="102">
        <f>F519+750</f>
        <v>10289.200000000001</v>
      </c>
      <c r="U519" s="319">
        <f t="shared" ref="U519" si="1446">+T519*$X$1</f>
        <v>10289.200000000001</v>
      </c>
      <c r="V519" s="102">
        <f>F519+710</f>
        <v>10249.200000000001</v>
      </c>
      <c r="W519" s="319">
        <f t="shared" ref="W519" si="1447">+V519*$X$1</f>
        <v>10249.200000000001</v>
      </c>
      <c r="X519" s="139"/>
      <c r="Y519" s="134"/>
      <c r="Z519" s="140"/>
      <c r="AA519" s="141"/>
      <c r="AB519" s="417" t="s">
        <v>756</v>
      </c>
    </row>
    <row r="520" spans="1:34" ht="12" customHeight="1" x14ac:dyDescent="0.2">
      <c r="A520" s="4"/>
      <c r="B520" s="866" t="s">
        <v>751</v>
      </c>
      <c r="C520" s="807"/>
      <c r="D520" s="807"/>
      <c r="E520" s="807"/>
      <c r="F520" s="384">
        <f>8.8*X2</f>
        <v>9539.2000000000007</v>
      </c>
      <c r="G520" s="306">
        <f t="shared" ref="G520" si="1448">+F520*$X$1</f>
        <v>9539.2000000000007</v>
      </c>
      <c r="H520" s="103">
        <f>F520+4000</f>
        <v>13539.2</v>
      </c>
      <c r="I520" s="306">
        <f t="shared" ref="I520" si="1449">+H520*$X$1</f>
        <v>13539.2</v>
      </c>
      <c r="J520" s="103">
        <f>F520+800</f>
        <v>10339.200000000001</v>
      </c>
      <c r="K520" s="306">
        <f t="shared" ref="K520" si="1450">+J520*$X$1</f>
        <v>10339.200000000001</v>
      </c>
      <c r="L520" s="103">
        <f>F520+600</f>
        <v>10139.200000000001</v>
      </c>
      <c r="M520" s="306">
        <f t="shared" ref="M520" si="1451">+L520*$X$1</f>
        <v>10139.200000000001</v>
      </c>
      <c r="N520" s="103">
        <f>F520+500</f>
        <v>10039.200000000001</v>
      </c>
      <c r="O520" s="306">
        <f t="shared" ref="O520" si="1452">+N520*$X$1</f>
        <v>10039.200000000001</v>
      </c>
      <c r="P520" s="103">
        <f>F520+460</f>
        <v>9999.2000000000007</v>
      </c>
      <c r="Q520" s="306">
        <f t="shared" ref="Q520" si="1453">+P520*$X$1</f>
        <v>9999.2000000000007</v>
      </c>
      <c r="R520" s="103">
        <f>F520+440</f>
        <v>9979.2000000000007</v>
      </c>
      <c r="S520" s="306">
        <f t="shared" ref="S520" si="1454">+R520*$X$1</f>
        <v>9979.2000000000007</v>
      </c>
      <c r="T520" s="103">
        <f>F520+400</f>
        <v>9939.2000000000007</v>
      </c>
      <c r="U520" s="306">
        <f t="shared" ref="U520" si="1455">+T520*$X$1</f>
        <v>9939.2000000000007</v>
      </c>
      <c r="V520" s="103">
        <f>F520+370</f>
        <v>9909.2000000000007</v>
      </c>
      <c r="W520" s="306">
        <f t="shared" ref="W520" si="1456">+V520*$X$1</f>
        <v>9909.2000000000007</v>
      </c>
      <c r="X520" s="139"/>
      <c r="Y520" s="134"/>
      <c r="Z520" s="140"/>
      <c r="AA520" s="141"/>
      <c r="AB520" s="403">
        <v>873</v>
      </c>
    </row>
    <row r="521" spans="1:34" ht="12" customHeight="1" x14ac:dyDescent="0.2">
      <c r="A521" s="4"/>
      <c r="B521" s="742" t="s">
        <v>705</v>
      </c>
      <c r="C521" s="743"/>
      <c r="D521" s="743"/>
      <c r="E521" s="743"/>
      <c r="F521" s="383">
        <f>17.6*X2</f>
        <v>19078.400000000001</v>
      </c>
      <c r="G521" s="319">
        <f t="shared" ref="G521" si="1457">+F521*$X$1</f>
        <v>19078.400000000001</v>
      </c>
      <c r="H521" s="102">
        <f>F521+4000</f>
        <v>23078.400000000001</v>
      </c>
      <c r="I521" s="319">
        <f t="shared" ref="I521:I522" si="1458">+H521*$X$1</f>
        <v>23078.400000000001</v>
      </c>
      <c r="J521" s="102">
        <f>F521+800</f>
        <v>19878.400000000001</v>
      </c>
      <c r="K521" s="319">
        <f t="shared" ref="K521" si="1459">+J521*$X$1</f>
        <v>19878.400000000001</v>
      </c>
      <c r="L521" s="102">
        <f>F521+600</f>
        <v>19678.400000000001</v>
      </c>
      <c r="M521" s="319">
        <f t="shared" ref="M521" si="1460">+L521*$X$1</f>
        <v>19678.400000000001</v>
      </c>
      <c r="N521" s="102">
        <f>F521+500</f>
        <v>19578.400000000001</v>
      </c>
      <c r="O521" s="319">
        <f t="shared" ref="O521:O522" si="1461">+N521*$X$1</f>
        <v>19578.400000000001</v>
      </c>
      <c r="P521" s="102">
        <f>F521+460</f>
        <v>19538.400000000001</v>
      </c>
      <c r="Q521" s="319">
        <f t="shared" ref="Q521:Q522" si="1462">+P521*$X$1</f>
        <v>19538.400000000001</v>
      </c>
      <c r="R521" s="102">
        <f>F521+440</f>
        <v>19518.400000000001</v>
      </c>
      <c r="S521" s="319">
        <f t="shared" ref="S521:S522" si="1463">+R521*$X$1</f>
        <v>19518.400000000001</v>
      </c>
      <c r="T521" s="102">
        <f>F521+400</f>
        <v>19478.400000000001</v>
      </c>
      <c r="U521" s="319">
        <f t="shared" ref="U521:U522" si="1464">+T521*$X$1</f>
        <v>19478.400000000001</v>
      </c>
      <c r="V521" s="102">
        <f>F521+370</f>
        <v>19448.400000000001</v>
      </c>
      <c r="W521" s="319">
        <f t="shared" ref="W521:W522" si="1465">+V521*$X$1</f>
        <v>19448.400000000001</v>
      </c>
      <c r="X521" s="139"/>
      <c r="Y521" s="134"/>
      <c r="Z521" s="140"/>
      <c r="AA521" s="141"/>
      <c r="AB521" s="403">
        <v>874</v>
      </c>
    </row>
    <row r="522" spans="1:34" ht="12.6" customHeight="1" x14ac:dyDescent="0.2">
      <c r="A522" s="4"/>
      <c r="B522" s="866" t="s">
        <v>672</v>
      </c>
      <c r="C522" s="807"/>
      <c r="D522" s="807"/>
      <c r="E522" s="807"/>
      <c r="F522" s="384">
        <f>11*X2</f>
        <v>11924</v>
      </c>
      <c r="G522" s="306">
        <f t="shared" ref="G522:G523" si="1466">+F522*$X$1</f>
        <v>11924</v>
      </c>
      <c r="H522" s="103">
        <f>F522+5000</f>
        <v>16924</v>
      </c>
      <c r="I522" s="306">
        <f t="shared" si="1458"/>
        <v>16924</v>
      </c>
      <c r="J522" s="103">
        <f>F522+1100</f>
        <v>13024</v>
      </c>
      <c r="K522" s="306">
        <f t="shared" ref="K522:K524" si="1467">+J522*$X$1</f>
        <v>13024</v>
      </c>
      <c r="L522" s="103">
        <f>F522+990</f>
        <v>12914</v>
      </c>
      <c r="M522" s="306">
        <f t="shared" ref="M522:M524" si="1468">+L522*$X$1</f>
        <v>12914</v>
      </c>
      <c r="N522" s="103">
        <f>F522+920</f>
        <v>12844</v>
      </c>
      <c r="O522" s="306">
        <f t="shared" si="1461"/>
        <v>12844</v>
      </c>
      <c r="P522" s="103">
        <f>F522+860</f>
        <v>12784</v>
      </c>
      <c r="Q522" s="306">
        <f t="shared" si="1462"/>
        <v>12784</v>
      </c>
      <c r="R522" s="103">
        <f>F522+800</f>
        <v>12724</v>
      </c>
      <c r="S522" s="306">
        <f t="shared" si="1463"/>
        <v>12724</v>
      </c>
      <c r="T522" s="103">
        <f>F522+750</f>
        <v>12674</v>
      </c>
      <c r="U522" s="306">
        <f t="shared" si="1464"/>
        <v>12674</v>
      </c>
      <c r="V522" s="103">
        <f>F522+710</f>
        <v>12634</v>
      </c>
      <c r="W522" s="306">
        <f t="shared" si="1465"/>
        <v>12634</v>
      </c>
      <c r="X522" s="139"/>
      <c r="Y522" s="134"/>
      <c r="Z522" s="140"/>
      <c r="AA522" s="141"/>
      <c r="AB522" s="403" t="s">
        <v>682</v>
      </c>
    </row>
    <row r="523" spans="1:34" ht="12" customHeight="1" x14ac:dyDescent="0.2">
      <c r="A523" s="4"/>
      <c r="B523" s="748" t="s">
        <v>673</v>
      </c>
      <c r="C523" s="693"/>
      <c r="D523" s="693"/>
      <c r="E523" s="693"/>
      <c r="F523" s="383">
        <f>11*X2</f>
        <v>11924</v>
      </c>
      <c r="G523" s="319">
        <f t="shared" si="1466"/>
        <v>11924</v>
      </c>
      <c r="H523" s="102">
        <f>F523+4000</f>
        <v>15924</v>
      </c>
      <c r="I523" s="319">
        <f t="shared" ref="I523:I525" si="1469">+H523*$X$1</f>
        <v>15924</v>
      </c>
      <c r="J523" s="102">
        <f>F523+800</f>
        <v>12724</v>
      </c>
      <c r="K523" s="319">
        <f t="shared" si="1467"/>
        <v>12724</v>
      </c>
      <c r="L523" s="102">
        <f>F523+600</f>
        <v>12524</v>
      </c>
      <c r="M523" s="319">
        <f t="shared" si="1468"/>
        <v>12524</v>
      </c>
      <c r="N523" s="102">
        <f>F523+500</f>
        <v>12424</v>
      </c>
      <c r="O523" s="319">
        <f t="shared" ref="O523:O525" si="1470">+N523*$X$1</f>
        <v>12424</v>
      </c>
      <c r="P523" s="102">
        <f>F523+460</f>
        <v>12384</v>
      </c>
      <c r="Q523" s="319">
        <f t="shared" ref="Q523:Q525" si="1471">+P523*$X$1</f>
        <v>12384</v>
      </c>
      <c r="R523" s="102">
        <f>F523+440</f>
        <v>12364</v>
      </c>
      <c r="S523" s="319">
        <f t="shared" ref="S523:S525" si="1472">+R523*$X$1</f>
        <v>12364</v>
      </c>
      <c r="T523" s="102">
        <f>F523+400</f>
        <v>12324</v>
      </c>
      <c r="U523" s="319">
        <f t="shared" ref="U523:U525" si="1473">+T523*$X$1</f>
        <v>12324</v>
      </c>
      <c r="V523" s="102">
        <f>F523+370</f>
        <v>12294</v>
      </c>
      <c r="W523" s="319">
        <f t="shared" ref="W523:W525" si="1474">+V523*$X$1</f>
        <v>12294</v>
      </c>
      <c r="X523" s="139"/>
      <c r="Y523" s="134"/>
      <c r="Z523" s="140"/>
      <c r="AA523" s="141"/>
      <c r="AB523" s="403">
        <v>875</v>
      </c>
    </row>
    <row r="524" spans="1:34" ht="12.6" customHeight="1" x14ac:dyDescent="0.2">
      <c r="A524" s="4"/>
      <c r="B524" s="866" t="s">
        <v>753</v>
      </c>
      <c r="C524" s="807"/>
      <c r="D524" s="807"/>
      <c r="E524" s="807"/>
      <c r="F524" s="384">
        <f>18.1*X2</f>
        <v>19620.400000000001</v>
      </c>
      <c r="G524" s="306">
        <f t="shared" ref="G524" si="1475">+F524*$X$1</f>
        <v>19620.400000000001</v>
      </c>
      <c r="H524" s="103">
        <f>F524+4000</f>
        <v>23620.400000000001</v>
      </c>
      <c r="I524" s="306">
        <f t="shared" si="1469"/>
        <v>23620.400000000001</v>
      </c>
      <c r="J524" s="103">
        <f>F524+800</f>
        <v>20420.400000000001</v>
      </c>
      <c r="K524" s="306">
        <f t="shared" si="1467"/>
        <v>20420.400000000001</v>
      </c>
      <c r="L524" s="103">
        <f>F524+600</f>
        <v>20220.400000000001</v>
      </c>
      <c r="M524" s="306">
        <f t="shared" si="1468"/>
        <v>20220.400000000001</v>
      </c>
      <c r="N524" s="103">
        <f>F524+500</f>
        <v>20120.400000000001</v>
      </c>
      <c r="O524" s="306">
        <f t="shared" si="1470"/>
        <v>20120.400000000001</v>
      </c>
      <c r="P524" s="103">
        <f>F524+460</f>
        <v>20080.400000000001</v>
      </c>
      <c r="Q524" s="306">
        <f t="shared" si="1471"/>
        <v>20080.400000000001</v>
      </c>
      <c r="R524" s="103">
        <f>F524+440</f>
        <v>20060.400000000001</v>
      </c>
      <c r="S524" s="306">
        <f t="shared" si="1472"/>
        <v>20060.400000000001</v>
      </c>
      <c r="T524" s="103">
        <f>F524+400</f>
        <v>20020.400000000001</v>
      </c>
      <c r="U524" s="306">
        <f t="shared" si="1473"/>
        <v>20020.400000000001</v>
      </c>
      <c r="V524" s="103">
        <f>F524+370</f>
        <v>19990.400000000001</v>
      </c>
      <c r="W524" s="306">
        <f t="shared" si="1474"/>
        <v>19990.400000000001</v>
      </c>
      <c r="X524" s="139"/>
      <c r="Y524" s="134"/>
      <c r="Z524" s="140"/>
      <c r="AA524" s="141"/>
      <c r="AB524" s="403">
        <v>876</v>
      </c>
    </row>
    <row r="525" spans="1:34" ht="12.6" customHeight="1" x14ac:dyDescent="0.2">
      <c r="A525" s="4"/>
      <c r="B525" s="742" t="s">
        <v>706</v>
      </c>
      <c r="C525" s="743"/>
      <c r="D525" s="743"/>
      <c r="E525" s="743"/>
      <c r="F525" s="383">
        <f>15.37*X2</f>
        <v>16661.079999999998</v>
      </c>
      <c r="G525" s="319">
        <f t="shared" ref="G525" si="1476">+F525*$X$1</f>
        <v>16661.079999999998</v>
      </c>
      <c r="H525" s="102">
        <f>F525+5000</f>
        <v>21661.079999999998</v>
      </c>
      <c r="I525" s="319">
        <f t="shared" si="1469"/>
        <v>21661.079999999998</v>
      </c>
      <c r="J525" s="102">
        <f>F525+1100</f>
        <v>17761.079999999998</v>
      </c>
      <c r="K525" s="319">
        <f t="shared" ref="K525:K526" si="1477">+J525*$X$1</f>
        <v>17761.079999999998</v>
      </c>
      <c r="L525" s="102">
        <f>F525+990</f>
        <v>17651.079999999998</v>
      </c>
      <c r="M525" s="319">
        <f t="shared" ref="M525:M526" si="1478">+L525*$X$1</f>
        <v>17651.079999999998</v>
      </c>
      <c r="N525" s="102">
        <f>F525+920</f>
        <v>17581.079999999998</v>
      </c>
      <c r="O525" s="319">
        <f t="shared" si="1470"/>
        <v>17581.079999999998</v>
      </c>
      <c r="P525" s="102">
        <f>F525+860</f>
        <v>17521.079999999998</v>
      </c>
      <c r="Q525" s="319">
        <f t="shared" si="1471"/>
        <v>17521.079999999998</v>
      </c>
      <c r="R525" s="102">
        <f>F525+800</f>
        <v>17461.079999999998</v>
      </c>
      <c r="S525" s="319">
        <f t="shared" si="1472"/>
        <v>17461.079999999998</v>
      </c>
      <c r="T525" s="102">
        <f>F525+750</f>
        <v>17411.079999999998</v>
      </c>
      <c r="U525" s="319">
        <f t="shared" si="1473"/>
        <v>17411.079999999998</v>
      </c>
      <c r="V525" s="102">
        <f>F525+710</f>
        <v>17371.079999999998</v>
      </c>
      <c r="W525" s="319">
        <f t="shared" si="1474"/>
        <v>17371.079999999998</v>
      </c>
      <c r="X525" s="139"/>
      <c r="Y525" s="134"/>
      <c r="Z525" s="140"/>
      <c r="AA525" s="141"/>
      <c r="AB525" s="403" t="s">
        <v>629</v>
      </c>
    </row>
    <row r="526" spans="1:34" ht="12.6" customHeight="1" x14ac:dyDescent="0.2">
      <c r="A526" s="4"/>
      <c r="B526" s="866" t="s">
        <v>707</v>
      </c>
      <c r="C526" s="807"/>
      <c r="D526" s="807"/>
      <c r="E526" s="807"/>
      <c r="F526" s="384">
        <f>15.37*X2</f>
        <v>16661.079999999998</v>
      </c>
      <c r="G526" s="306">
        <f t="shared" ref="G526" si="1479">+F526*$X$1</f>
        <v>16661.079999999998</v>
      </c>
      <c r="H526" s="103">
        <f>F526+4000</f>
        <v>20661.079999999998</v>
      </c>
      <c r="I526" s="306">
        <f t="shared" ref="I526:I527" si="1480">+H526*$X$1</f>
        <v>20661.079999999998</v>
      </c>
      <c r="J526" s="103">
        <f>F526+800</f>
        <v>17461.079999999998</v>
      </c>
      <c r="K526" s="306">
        <f t="shared" si="1477"/>
        <v>17461.079999999998</v>
      </c>
      <c r="L526" s="103">
        <f>F526+600</f>
        <v>17261.079999999998</v>
      </c>
      <c r="M526" s="306">
        <f t="shared" si="1478"/>
        <v>17261.079999999998</v>
      </c>
      <c r="N526" s="103">
        <f>F526+500</f>
        <v>17161.079999999998</v>
      </c>
      <c r="O526" s="306">
        <f t="shared" ref="O526:O527" si="1481">+N526*$X$1</f>
        <v>17161.079999999998</v>
      </c>
      <c r="P526" s="103">
        <f>F526+460</f>
        <v>17121.079999999998</v>
      </c>
      <c r="Q526" s="306">
        <f t="shared" ref="Q526:Q527" si="1482">+P526*$X$1</f>
        <v>17121.079999999998</v>
      </c>
      <c r="R526" s="103">
        <f>F526+440</f>
        <v>17101.079999999998</v>
      </c>
      <c r="S526" s="306">
        <f t="shared" ref="S526:S527" si="1483">+R526*$X$1</f>
        <v>17101.079999999998</v>
      </c>
      <c r="T526" s="103">
        <f>F526+400</f>
        <v>17061.079999999998</v>
      </c>
      <c r="U526" s="306">
        <f t="shared" ref="U526:U527" si="1484">+T526*$X$1</f>
        <v>17061.079999999998</v>
      </c>
      <c r="V526" s="103">
        <f>F526+370</f>
        <v>17031.079999999998</v>
      </c>
      <c r="W526" s="306">
        <f t="shared" ref="W526:W527" si="1485">+V526*$X$1</f>
        <v>17031.079999999998</v>
      </c>
      <c r="X526" s="139"/>
      <c r="Y526" s="134"/>
      <c r="Z526" s="140"/>
      <c r="AA526" s="141"/>
      <c r="AB526" s="403">
        <v>878</v>
      </c>
    </row>
    <row r="527" spans="1:34" ht="12.6" customHeight="1" x14ac:dyDescent="0.2">
      <c r="A527" s="4"/>
      <c r="B527" s="742" t="s">
        <v>674</v>
      </c>
      <c r="C527" s="743"/>
      <c r="D527" s="743"/>
      <c r="E527" s="743"/>
      <c r="F527" s="383">
        <f>22.75*X2</f>
        <v>24661</v>
      </c>
      <c r="G527" s="319">
        <f t="shared" ref="G527" si="1486">+F527*$X$1</f>
        <v>24661</v>
      </c>
      <c r="H527" s="102">
        <f>F527+5000</f>
        <v>29661</v>
      </c>
      <c r="I527" s="319">
        <f t="shared" si="1480"/>
        <v>29661</v>
      </c>
      <c r="J527" s="102">
        <f>F527+1100</f>
        <v>25761</v>
      </c>
      <c r="K527" s="319">
        <f t="shared" ref="K527:K528" si="1487">+J527*$X$1</f>
        <v>25761</v>
      </c>
      <c r="L527" s="102">
        <f>F527+990</f>
        <v>25651</v>
      </c>
      <c r="M527" s="319">
        <f t="shared" ref="M527:M528" si="1488">+L527*$X$1</f>
        <v>25651</v>
      </c>
      <c r="N527" s="102">
        <f>F527+920</f>
        <v>25581</v>
      </c>
      <c r="O527" s="319">
        <f t="shared" si="1481"/>
        <v>25581</v>
      </c>
      <c r="P527" s="102">
        <f>F527+860</f>
        <v>25521</v>
      </c>
      <c r="Q527" s="319">
        <f t="shared" si="1482"/>
        <v>25521</v>
      </c>
      <c r="R527" s="102">
        <f>F527+800</f>
        <v>25461</v>
      </c>
      <c r="S527" s="319">
        <f t="shared" si="1483"/>
        <v>25461</v>
      </c>
      <c r="T527" s="102">
        <f>F527+750</f>
        <v>25411</v>
      </c>
      <c r="U527" s="319">
        <f t="shared" si="1484"/>
        <v>25411</v>
      </c>
      <c r="V527" s="102">
        <f>F527+710</f>
        <v>25371</v>
      </c>
      <c r="W527" s="319">
        <f t="shared" si="1485"/>
        <v>25371</v>
      </c>
      <c r="X527" s="139"/>
      <c r="Y527" s="134"/>
      <c r="Z527" s="140"/>
      <c r="AA527" s="141"/>
      <c r="AB527" s="403" t="s">
        <v>591</v>
      </c>
    </row>
    <row r="528" spans="1:34" ht="12.6" customHeight="1" x14ac:dyDescent="0.2">
      <c r="A528" s="4"/>
      <c r="B528" s="736" t="s">
        <v>675</v>
      </c>
      <c r="C528" s="737"/>
      <c r="D528" s="737"/>
      <c r="E528" s="737"/>
      <c r="F528" s="384">
        <f>22.75*X2</f>
        <v>24661</v>
      </c>
      <c r="G528" s="306">
        <f t="shared" ref="G528:G529" si="1489">+F528*$X$1</f>
        <v>24661</v>
      </c>
      <c r="H528" s="103">
        <f>F528+4000</f>
        <v>28661</v>
      </c>
      <c r="I528" s="306">
        <f t="shared" ref="I528:I529" si="1490">+H528*$X$1</f>
        <v>28661</v>
      </c>
      <c r="J528" s="103">
        <f>F528+800</f>
        <v>25461</v>
      </c>
      <c r="K528" s="306">
        <f t="shared" si="1487"/>
        <v>25461</v>
      </c>
      <c r="L528" s="103">
        <f>F528+600</f>
        <v>25261</v>
      </c>
      <c r="M528" s="306">
        <f t="shared" si="1488"/>
        <v>25261</v>
      </c>
      <c r="N528" s="103">
        <f>F528+500</f>
        <v>25161</v>
      </c>
      <c r="O528" s="306">
        <f t="shared" ref="O528:O529" si="1491">+N528*$X$1</f>
        <v>25161</v>
      </c>
      <c r="P528" s="103">
        <f>F528+460</f>
        <v>25121</v>
      </c>
      <c r="Q528" s="306">
        <f t="shared" ref="Q528:Q529" si="1492">+P528*$X$1</f>
        <v>25121</v>
      </c>
      <c r="R528" s="103">
        <f>F528+440</f>
        <v>25101</v>
      </c>
      <c r="S528" s="306">
        <f t="shared" ref="S528:S529" si="1493">+R528*$X$1</f>
        <v>25101</v>
      </c>
      <c r="T528" s="103">
        <f>F528+400</f>
        <v>25061</v>
      </c>
      <c r="U528" s="306">
        <f t="shared" ref="U528:U529" si="1494">+T528*$X$1</f>
        <v>25061</v>
      </c>
      <c r="V528" s="103">
        <f>F528+370</f>
        <v>25031</v>
      </c>
      <c r="W528" s="306">
        <f t="shared" ref="W528:W529" si="1495">+V528*$X$1</f>
        <v>25031</v>
      </c>
      <c r="X528" s="139"/>
      <c r="Y528" s="134"/>
      <c r="Z528" s="140"/>
      <c r="AA528" s="141"/>
      <c r="AB528" s="403">
        <v>880</v>
      </c>
    </row>
    <row r="529" spans="1:28" ht="12.6" customHeight="1" x14ac:dyDescent="0.2">
      <c r="A529" s="4"/>
      <c r="B529" s="742" t="s">
        <v>676</v>
      </c>
      <c r="C529" s="743"/>
      <c r="D529" s="743"/>
      <c r="E529" s="743"/>
      <c r="F529" s="383">
        <f>31.386*X2</f>
        <v>34022.423999999999</v>
      </c>
      <c r="G529" s="319">
        <f t="shared" si="1489"/>
        <v>34022.423999999999</v>
      </c>
      <c r="H529" s="102">
        <f>F529+5000</f>
        <v>39022.423999999999</v>
      </c>
      <c r="I529" s="319">
        <f t="shared" si="1490"/>
        <v>39022.423999999999</v>
      </c>
      <c r="J529" s="102">
        <f>F529+1100</f>
        <v>35122.423999999999</v>
      </c>
      <c r="K529" s="319">
        <f t="shared" ref="K529:K530" si="1496">+J529*$X$1</f>
        <v>35122.423999999999</v>
      </c>
      <c r="L529" s="102">
        <f>F529+990</f>
        <v>35012.423999999999</v>
      </c>
      <c r="M529" s="319">
        <f t="shared" ref="M529:M530" si="1497">+L529*$X$1</f>
        <v>35012.423999999999</v>
      </c>
      <c r="N529" s="102">
        <f>F529+920</f>
        <v>34942.423999999999</v>
      </c>
      <c r="O529" s="319">
        <f t="shared" si="1491"/>
        <v>34942.423999999999</v>
      </c>
      <c r="P529" s="102">
        <f>F529+860</f>
        <v>34882.423999999999</v>
      </c>
      <c r="Q529" s="319">
        <f t="shared" si="1492"/>
        <v>34882.423999999999</v>
      </c>
      <c r="R529" s="102">
        <f>F529+800</f>
        <v>34822.423999999999</v>
      </c>
      <c r="S529" s="319">
        <f t="shared" si="1493"/>
        <v>34822.423999999999</v>
      </c>
      <c r="T529" s="102">
        <f>F529+750</f>
        <v>34772.423999999999</v>
      </c>
      <c r="U529" s="319">
        <f t="shared" si="1494"/>
        <v>34772.423999999999</v>
      </c>
      <c r="V529" s="102">
        <f>F529+710</f>
        <v>34732.423999999999</v>
      </c>
      <c r="W529" s="319">
        <f t="shared" si="1495"/>
        <v>34732.423999999999</v>
      </c>
      <c r="X529" s="139"/>
      <c r="Y529" s="134"/>
      <c r="Z529" s="140"/>
      <c r="AA529" s="141"/>
      <c r="AB529" s="403" t="s">
        <v>592</v>
      </c>
    </row>
    <row r="530" spans="1:28" ht="12.6" customHeight="1" x14ac:dyDescent="0.2">
      <c r="A530" s="4"/>
      <c r="B530" s="736" t="s">
        <v>677</v>
      </c>
      <c r="C530" s="678"/>
      <c r="D530" s="678"/>
      <c r="E530" s="678"/>
      <c r="F530" s="384">
        <f>31.386*X2</f>
        <v>34022.423999999999</v>
      </c>
      <c r="G530" s="306">
        <f t="shared" ref="G530:G531" si="1498">+F530*$X$1</f>
        <v>34022.423999999999</v>
      </c>
      <c r="H530" s="103">
        <f>F530+4000</f>
        <v>38022.423999999999</v>
      </c>
      <c r="I530" s="306">
        <f t="shared" ref="I530:I533" si="1499">+H530*$X$1</f>
        <v>38022.423999999999</v>
      </c>
      <c r="J530" s="103">
        <f>F530+800</f>
        <v>34822.423999999999</v>
      </c>
      <c r="K530" s="306">
        <f t="shared" si="1496"/>
        <v>34822.423999999999</v>
      </c>
      <c r="L530" s="103">
        <f>F530+600</f>
        <v>34622.423999999999</v>
      </c>
      <c r="M530" s="306">
        <f t="shared" si="1497"/>
        <v>34622.423999999999</v>
      </c>
      <c r="N530" s="103">
        <f>F530+500</f>
        <v>34522.423999999999</v>
      </c>
      <c r="O530" s="306">
        <f t="shared" ref="O530:O533" si="1500">+N530*$X$1</f>
        <v>34522.423999999999</v>
      </c>
      <c r="P530" s="103">
        <f>F530+460</f>
        <v>34482.423999999999</v>
      </c>
      <c r="Q530" s="306">
        <f t="shared" ref="Q530:Q533" si="1501">+P530*$X$1</f>
        <v>34482.423999999999</v>
      </c>
      <c r="R530" s="103">
        <f>F530+440</f>
        <v>34462.423999999999</v>
      </c>
      <c r="S530" s="306">
        <f t="shared" ref="S530:S533" si="1502">+R530*$X$1</f>
        <v>34462.423999999999</v>
      </c>
      <c r="T530" s="103">
        <f>F530+400</f>
        <v>34422.423999999999</v>
      </c>
      <c r="U530" s="306">
        <f t="shared" ref="U530:U533" si="1503">+T530*$X$1</f>
        <v>34422.423999999999</v>
      </c>
      <c r="V530" s="103">
        <f>F530+370</f>
        <v>34392.423999999999</v>
      </c>
      <c r="W530" s="306">
        <f t="shared" ref="W530:W533" si="1504">+V530*$X$1</f>
        <v>34392.423999999999</v>
      </c>
      <c r="X530" s="139"/>
      <c r="Y530" s="134"/>
      <c r="Z530" s="140"/>
      <c r="AA530" s="141"/>
      <c r="AB530" s="403">
        <v>881</v>
      </c>
    </row>
    <row r="531" spans="1:28" ht="12.6" customHeight="1" x14ac:dyDescent="0.2">
      <c r="A531" s="4"/>
      <c r="B531" s="742" t="s">
        <v>678</v>
      </c>
      <c r="C531" s="743"/>
      <c r="D531" s="743"/>
      <c r="E531" s="743"/>
      <c r="F531" s="383">
        <f>19.4*X2</f>
        <v>21029.599999999999</v>
      </c>
      <c r="G531" s="319">
        <f t="shared" si="1498"/>
        <v>21029.599999999999</v>
      </c>
      <c r="H531" s="102">
        <f>F531+4000</f>
        <v>25029.599999999999</v>
      </c>
      <c r="I531" s="319">
        <f t="shared" si="1499"/>
        <v>25029.599999999999</v>
      </c>
      <c r="J531" s="102">
        <f t="shared" ref="J531:J532" si="1505">F531+800</f>
        <v>21829.599999999999</v>
      </c>
      <c r="K531" s="319">
        <f t="shared" ref="K531:K532" si="1506">+J531*$X$1</f>
        <v>21829.599999999999</v>
      </c>
      <c r="L531" s="102">
        <f t="shared" ref="L531:L532" si="1507">F531+600</f>
        <v>21629.599999999999</v>
      </c>
      <c r="M531" s="319">
        <f t="shared" ref="M531:M532" si="1508">+L531*$X$1</f>
        <v>21629.599999999999</v>
      </c>
      <c r="N531" s="102">
        <f>F531+500</f>
        <v>21529.599999999999</v>
      </c>
      <c r="O531" s="319">
        <f t="shared" si="1500"/>
        <v>21529.599999999999</v>
      </c>
      <c r="P531" s="102">
        <f>F531+460</f>
        <v>21489.599999999999</v>
      </c>
      <c r="Q531" s="319">
        <f t="shared" si="1501"/>
        <v>21489.599999999999</v>
      </c>
      <c r="R531" s="102">
        <f>F531+440</f>
        <v>21469.599999999999</v>
      </c>
      <c r="S531" s="319">
        <f t="shared" si="1502"/>
        <v>21469.599999999999</v>
      </c>
      <c r="T531" s="102">
        <f>F531+400</f>
        <v>21429.599999999999</v>
      </c>
      <c r="U531" s="319">
        <f t="shared" si="1503"/>
        <v>21429.599999999999</v>
      </c>
      <c r="V531" s="102">
        <f>F531+370</f>
        <v>21399.599999999999</v>
      </c>
      <c r="W531" s="319">
        <f t="shared" si="1504"/>
        <v>21399.599999999999</v>
      </c>
      <c r="X531" s="139"/>
      <c r="Y531" s="134"/>
      <c r="Z531" s="140"/>
      <c r="AA531" s="141"/>
      <c r="AB531" s="403">
        <v>882</v>
      </c>
    </row>
    <row r="532" spans="1:28" ht="12.6" customHeight="1" x14ac:dyDescent="0.2">
      <c r="A532" s="4"/>
      <c r="B532" s="866" t="s">
        <v>461</v>
      </c>
      <c r="C532" s="807"/>
      <c r="D532" s="807"/>
      <c r="E532" s="807"/>
      <c r="F532" s="384">
        <f>24*X2</f>
        <v>26016</v>
      </c>
      <c r="G532" s="306">
        <f t="shared" ref="G532:G534" si="1509">+F532*$X$1</f>
        <v>26016</v>
      </c>
      <c r="H532" s="103">
        <f>F532+4000</f>
        <v>30016</v>
      </c>
      <c r="I532" s="306">
        <f t="shared" si="1499"/>
        <v>30016</v>
      </c>
      <c r="J532" s="103">
        <f t="shared" si="1505"/>
        <v>26816</v>
      </c>
      <c r="K532" s="306">
        <f t="shared" si="1506"/>
        <v>26816</v>
      </c>
      <c r="L532" s="103">
        <f t="shared" si="1507"/>
        <v>26616</v>
      </c>
      <c r="M532" s="306">
        <f t="shared" si="1508"/>
        <v>26616</v>
      </c>
      <c r="N532" s="103">
        <f>F532+500</f>
        <v>26516</v>
      </c>
      <c r="O532" s="306">
        <f t="shared" si="1500"/>
        <v>26516</v>
      </c>
      <c r="P532" s="103">
        <f>F532+460</f>
        <v>26476</v>
      </c>
      <c r="Q532" s="306">
        <f t="shared" si="1501"/>
        <v>26476</v>
      </c>
      <c r="R532" s="103">
        <f>F532+440</f>
        <v>26456</v>
      </c>
      <c r="S532" s="306">
        <f t="shared" si="1502"/>
        <v>26456</v>
      </c>
      <c r="T532" s="103">
        <f>F532+400</f>
        <v>26416</v>
      </c>
      <c r="U532" s="306">
        <f t="shared" si="1503"/>
        <v>26416</v>
      </c>
      <c r="V532" s="103">
        <f>F532+370</f>
        <v>26386</v>
      </c>
      <c r="W532" s="306">
        <f t="shared" si="1504"/>
        <v>26386</v>
      </c>
      <c r="X532" s="139"/>
      <c r="Y532" s="134"/>
      <c r="Z532" s="140"/>
      <c r="AA532" s="141"/>
      <c r="AB532" s="403">
        <v>883</v>
      </c>
    </row>
    <row r="533" spans="1:28" ht="12.6" customHeight="1" x14ac:dyDescent="0.2">
      <c r="A533" s="4"/>
      <c r="B533" s="756" t="s">
        <v>763</v>
      </c>
      <c r="C533" s="740"/>
      <c r="D533" s="740"/>
      <c r="E533" s="741"/>
      <c r="F533" s="383">
        <f>16.15*X2</f>
        <v>17506.599999999999</v>
      </c>
      <c r="G533" s="319">
        <f t="shared" si="1509"/>
        <v>17506.599999999999</v>
      </c>
      <c r="H533" s="102">
        <f>F533+5000</f>
        <v>22506.6</v>
      </c>
      <c r="I533" s="319">
        <f t="shared" si="1499"/>
        <v>22506.6</v>
      </c>
      <c r="J533" s="102">
        <f>F533+1100</f>
        <v>18606.599999999999</v>
      </c>
      <c r="K533" s="319">
        <f t="shared" ref="K533:K534" si="1510">+J533*$X$1</f>
        <v>18606.599999999999</v>
      </c>
      <c r="L533" s="102">
        <f>F533+990</f>
        <v>18496.599999999999</v>
      </c>
      <c r="M533" s="319">
        <f t="shared" ref="M533:M534" si="1511">+L533*$X$1</f>
        <v>18496.599999999999</v>
      </c>
      <c r="N533" s="102">
        <f>F533+920</f>
        <v>18426.599999999999</v>
      </c>
      <c r="O533" s="319">
        <f t="shared" si="1500"/>
        <v>18426.599999999999</v>
      </c>
      <c r="P533" s="102">
        <f>F533+860</f>
        <v>18366.599999999999</v>
      </c>
      <c r="Q533" s="319">
        <f t="shared" si="1501"/>
        <v>18366.599999999999</v>
      </c>
      <c r="R533" s="102">
        <f>F533+800</f>
        <v>18306.599999999999</v>
      </c>
      <c r="S533" s="319">
        <f t="shared" si="1502"/>
        <v>18306.599999999999</v>
      </c>
      <c r="T533" s="102">
        <f>F533+750</f>
        <v>18256.599999999999</v>
      </c>
      <c r="U533" s="319">
        <f t="shared" si="1503"/>
        <v>18256.599999999999</v>
      </c>
      <c r="V533" s="102">
        <f>F533+710</f>
        <v>18216.599999999999</v>
      </c>
      <c r="W533" s="319">
        <f t="shared" si="1504"/>
        <v>18216.599999999999</v>
      </c>
      <c r="X533" s="139"/>
      <c r="Y533" s="134"/>
      <c r="Z533" s="140"/>
      <c r="AA533" s="141"/>
      <c r="AB533" s="403" t="s">
        <v>762</v>
      </c>
    </row>
    <row r="534" spans="1:28" ht="12.6" customHeight="1" x14ac:dyDescent="0.2">
      <c r="A534" s="4"/>
      <c r="B534" s="749" t="s">
        <v>764</v>
      </c>
      <c r="C534" s="750"/>
      <c r="D534" s="750"/>
      <c r="E534" s="751"/>
      <c r="F534" s="384">
        <f>16.15*X2</f>
        <v>17506.599999999999</v>
      </c>
      <c r="G534" s="306">
        <f t="shared" si="1509"/>
        <v>17506.599999999999</v>
      </c>
      <c r="H534" s="103">
        <f>F534+4000</f>
        <v>21506.6</v>
      </c>
      <c r="I534" s="306">
        <f t="shared" ref="I534:I535" si="1512">+H534*$X$1</f>
        <v>21506.6</v>
      </c>
      <c r="J534" s="103">
        <f t="shared" ref="J534" si="1513">F534+800</f>
        <v>18306.599999999999</v>
      </c>
      <c r="K534" s="306">
        <f t="shared" si="1510"/>
        <v>18306.599999999999</v>
      </c>
      <c r="L534" s="103">
        <f t="shared" ref="L534" si="1514">F534+600</f>
        <v>18106.599999999999</v>
      </c>
      <c r="M534" s="306">
        <f t="shared" si="1511"/>
        <v>18106.599999999999</v>
      </c>
      <c r="N534" s="103">
        <f>F534+500</f>
        <v>18006.599999999999</v>
      </c>
      <c r="O534" s="306">
        <f t="shared" ref="O534:O535" si="1515">+N534*$X$1</f>
        <v>18006.599999999999</v>
      </c>
      <c r="P534" s="103">
        <f>F534+460</f>
        <v>17966.599999999999</v>
      </c>
      <c r="Q534" s="306">
        <f t="shared" ref="Q534:Q535" si="1516">+P534*$X$1</f>
        <v>17966.599999999999</v>
      </c>
      <c r="R534" s="103">
        <f>F534+440</f>
        <v>17946.599999999999</v>
      </c>
      <c r="S534" s="306">
        <f t="shared" ref="S534:S535" si="1517">+R534*$X$1</f>
        <v>17946.599999999999</v>
      </c>
      <c r="T534" s="103">
        <f>F534+400</f>
        <v>17906.599999999999</v>
      </c>
      <c r="U534" s="306">
        <f t="shared" ref="U534:U535" si="1518">+T534*$X$1</f>
        <v>17906.599999999999</v>
      </c>
      <c r="V534" s="103">
        <f>F534+370</f>
        <v>17876.599999999999</v>
      </c>
      <c r="W534" s="306">
        <f t="shared" ref="W534:W535" si="1519">+V534*$X$1</f>
        <v>17876.599999999999</v>
      </c>
      <c r="X534" s="139"/>
      <c r="Y534" s="134"/>
      <c r="Z534" s="140"/>
      <c r="AA534" s="141"/>
      <c r="AB534" s="403">
        <v>886</v>
      </c>
    </row>
    <row r="535" spans="1:28" ht="12.6" customHeight="1" x14ac:dyDescent="0.2">
      <c r="A535" s="4"/>
      <c r="B535" s="742" t="s">
        <v>709</v>
      </c>
      <c r="C535" s="743"/>
      <c r="D535" s="743"/>
      <c r="E535" s="743"/>
      <c r="F535" s="380">
        <f>22.33*X2</f>
        <v>24205.719999999998</v>
      </c>
      <c r="G535" s="288">
        <f t="shared" ref="G535" si="1520">+F535*$X$1</f>
        <v>24205.719999999998</v>
      </c>
      <c r="H535" s="102">
        <f>F535+5000</f>
        <v>29205.719999999998</v>
      </c>
      <c r="I535" s="319">
        <f t="shared" si="1512"/>
        <v>29205.719999999998</v>
      </c>
      <c r="J535" s="102">
        <f>F535+1100</f>
        <v>25305.719999999998</v>
      </c>
      <c r="K535" s="319">
        <f t="shared" ref="K535:K538" si="1521">+J535*$X$1</f>
        <v>25305.719999999998</v>
      </c>
      <c r="L535" s="102">
        <f>F535+990</f>
        <v>25195.719999999998</v>
      </c>
      <c r="M535" s="319">
        <f t="shared" ref="M535:M538" si="1522">+L535*$X$1</f>
        <v>25195.719999999998</v>
      </c>
      <c r="N535" s="102">
        <f>F535+920</f>
        <v>25125.719999999998</v>
      </c>
      <c r="O535" s="319">
        <f t="shared" si="1515"/>
        <v>25125.719999999998</v>
      </c>
      <c r="P535" s="102">
        <f>F535+860</f>
        <v>25065.719999999998</v>
      </c>
      <c r="Q535" s="319">
        <f t="shared" si="1516"/>
        <v>25065.719999999998</v>
      </c>
      <c r="R535" s="102">
        <f>F535+800</f>
        <v>25005.719999999998</v>
      </c>
      <c r="S535" s="319">
        <f t="shared" si="1517"/>
        <v>25005.719999999998</v>
      </c>
      <c r="T535" s="102">
        <f>F535+750</f>
        <v>24955.719999999998</v>
      </c>
      <c r="U535" s="319">
        <f t="shared" si="1518"/>
        <v>24955.719999999998</v>
      </c>
      <c r="V535" s="102">
        <f>F535+710</f>
        <v>24915.719999999998</v>
      </c>
      <c r="W535" s="319">
        <f t="shared" si="1519"/>
        <v>24915.719999999998</v>
      </c>
      <c r="X535" s="139"/>
      <c r="Y535" s="134"/>
      <c r="Z535" s="140"/>
      <c r="AA535" s="141"/>
      <c r="AB535" s="403" t="s">
        <v>692</v>
      </c>
    </row>
    <row r="536" spans="1:28" ht="12.6" customHeight="1" x14ac:dyDescent="0.2">
      <c r="A536" s="4"/>
      <c r="B536" s="866" t="s">
        <v>708</v>
      </c>
      <c r="C536" s="807"/>
      <c r="D536" s="807"/>
      <c r="E536" s="807"/>
      <c r="F536" s="379">
        <f>22.33*X2</f>
        <v>24205.719999999998</v>
      </c>
      <c r="G536" s="287">
        <f t="shared" ref="G536" si="1523">+F536*$X$1</f>
        <v>24205.719999999998</v>
      </c>
      <c r="H536" s="103">
        <f>F536+4000</f>
        <v>28205.719999999998</v>
      </c>
      <c r="I536" s="306">
        <f t="shared" ref="I536:I539" si="1524">+H536*$X$1</f>
        <v>28205.719999999998</v>
      </c>
      <c r="J536" s="103">
        <f t="shared" ref="J536:J538" si="1525">F536+800</f>
        <v>25005.719999999998</v>
      </c>
      <c r="K536" s="306">
        <f t="shared" si="1521"/>
        <v>25005.719999999998</v>
      </c>
      <c r="L536" s="103">
        <f t="shared" ref="L536:L538" si="1526">F536+600</f>
        <v>24805.719999999998</v>
      </c>
      <c r="M536" s="306">
        <f t="shared" si="1522"/>
        <v>24805.719999999998</v>
      </c>
      <c r="N536" s="103">
        <f>F536+500</f>
        <v>24705.719999999998</v>
      </c>
      <c r="O536" s="306">
        <f t="shared" ref="O536:O539" si="1527">+N536*$X$1</f>
        <v>24705.719999999998</v>
      </c>
      <c r="P536" s="103">
        <f>F536+460</f>
        <v>24665.719999999998</v>
      </c>
      <c r="Q536" s="306">
        <f t="shared" ref="Q536:Q539" si="1528">+P536*$X$1</f>
        <v>24665.719999999998</v>
      </c>
      <c r="R536" s="103">
        <f>F536+440</f>
        <v>24645.719999999998</v>
      </c>
      <c r="S536" s="306">
        <f t="shared" ref="S536:S539" si="1529">+R536*$X$1</f>
        <v>24645.719999999998</v>
      </c>
      <c r="T536" s="103">
        <f>F536+400</f>
        <v>24605.719999999998</v>
      </c>
      <c r="U536" s="306">
        <f t="shared" ref="U536:U539" si="1530">+T536*$X$1</f>
        <v>24605.719999999998</v>
      </c>
      <c r="V536" s="103">
        <f>F536+370</f>
        <v>24575.719999999998</v>
      </c>
      <c r="W536" s="306">
        <f t="shared" ref="W536:W539" si="1531">+V536*$X$1</f>
        <v>24575.719999999998</v>
      </c>
      <c r="X536" s="139"/>
      <c r="Y536" s="134"/>
      <c r="Z536" s="140"/>
      <c r="AA536" s="141"/>
      <c r="AB536" s="403">
        <v>887</v>
      </c>
    </row>
    <row r="537" spans="1:28" ht="12.6" customHeight="1" x14ac:dyDescent="0.2">
      <c r="A537" s="4"/>
      <c r="B537" s="748" t="s">
        <v>628</v>
      </c>
      <c r="C537" s="693"/>
      <c r="D537" s="693"/>
      <c r="E537" s="693"/>
      <c r="F537" s="380">
        <f>14.7*X2</f>
        <v>15934.8</v>
      </c>
      <c r="G537" s="288">
        <f t="shared" ref="G537" si="1532">+F537*$X$1</f>
        <v>15934.8</v>
      </c>
      <c r="H537" s="102">
        <f>F537+4000</f>
        <v>19934.8</v>
      </c>
      <c r="I537" s="319">
        <f t="shared" si="1524"/>
        <v>19934.8</v>
      </c>
      <c r="J537" s="102">
        <f t="shared" si="1525"/>
        <v>16734.8</v>
      </c>
      <c r="K537" s="319">
        <f t="shared" si="1521"/>
        <v>16734.8</v>
      </c>
      <c r="L537" s="102">
        <f t="shared" si="1526"/>
        <v>16534.8</v>
      </c>
      <c r="M537" s="319">
        <f t="shared" si="1522"/>
        <v>16534.8</v>
      </c>
      <c r="N537" s="102">
        <f>F537+500</f>
        <v>16434.8</v>
      </c>
      <c r="O537" s="319">
        <f t="shared" si="1527"/>
        <v>16434.8</v>
      </c>
      <c r="P537" s="102">
        <f>F537+460</f>
        <v>16394.8</v>
      </c>
      <c r="Q537" s="319">
        <f t="shared" si="1528"/>
        <v>16394.8</v>
      </c>
      <c r="R537" s="102">
        <f>F537+440</f>
        <v>16374.8</v>
      </c>
      <c r="S537" s="319">
        <f t="shared" si="1529"/>
        <v>16374.8</v>
      </c>
      <c r="T537" s="102">
        <f>F537+400</f>
        <v>16334.8</v>
      </c>
      <c r="U537" s="319">
        <f t="shared" si="1530"/>
        <v>16334.8</v>
      </c>
      <c r="V537" s="102">
        <f>F537+370</f>
        <v>16304.8</v>
      </c>
      <c r="W537" s="319">
        <f t="shared" si="1531"/>
        <v>16304.8</v>
      </c>
      <c r="X537" s="139"/>
      <c r="Y537" s="134"/>
      <c r="Z537" s="140"/>
      <c r="AA537" s="141"/>
      <c r="AB537" s="403">
        <v>888</v>
      </c>
    </row>
    <row r="538" spans="1:28" ht="12.6" customHeight="1" x14ac:dyDescent="0.2">
      <c r="A538" s="4"/>
      <c r="B538" s="736" t="s">
        <v>421</v>
      </c>
      <c r="C538" s="702"/>
      <c r="D538" s="702"/>
      <c r="E538" s="702"/>
      <c r="F538" s="379">
        <f>16.75*X2</f>
        <v>18157</v>
      </c>
      <c r="G538" s="287">
        <f t="shared" ref="G538" si="1533">+F538*$X$1</f>
        <v>18157</v>
      </c>
      <c r="H538" s="103">
        <f>F538+4000</f>
        <v>22157</v>
      </c>
      <c r="I538" s="306">
        <f t="shared" si="1524"/>
        <v>22157</v>
      </c>
      <c r="J538" s="103">
        <f t="shared" si="1525"/>
        <v>18957</v>
      </c>
      <c r="K538" s="306">
        <f t="shared" si="1521"/>
        <v>18957</v>
      </c>
      <c r="L538" s="103">
        <f t="shared" si="1526"/>
        <v>18757</v>
      </c>
      <c r="M538" s="306">
        <f t="shared" si="1522"/>
        <v>18757</v>
      </c>
      <c r="N538" s="103">
        <f>F538+500</f>
        <v>18657</v>
      </c>
      <c r="O538" s="306">
        <f t="shared" si="1527"/>
        <v>18657</v>
      </c>
      <c r="P538" s="103">
        <f>F538+460</f>
        <v>18617</v>
      </c>
      <c r="Q538" s="306">
        <f t="shared" si="1528"/>
        <v>18617</v>
      </c>
      <c r="R538" s="103">
        <f>F538+440</f>
        <v>18597</v>
      </c>
      <c r="S538" s="306">
        <f t="shared" si="1529"/>
        <v>18597</v>
      </c>
      <c r="T538" s="103">
        <f>F538+400</f>
        <v>18557</v>
      </c>
      <c r="U538" s="306">
        <f t="shared" si="1530"/>
        <v>18557</v>
      </c>
      <c r="V538" s="103">
        <f>F538+370</f>
        <v>18527</v>
      </c>
      <c r="W538" s="306">
        <f t="shared" si="1531"/>
        <v>18527</v>
      </c>
      <c r="X538" s="139"/>
      <c r="Y538" s="134"/>
      <c r="Z538" s="140"/>
      <c r="AA538" s="141"/>
      <c r="AB538" s="403">
        <v>894</v>
      </c>
    </row>
    <row r="539" spans="1:28" ht="12.6" customHeight="1" x14ac:dyDescent="0.2">
      <c r="A539" s="4"/>
      <c r="B539" s="748" t="s">
        <v>670</v>
      </c>
      <c r="C539" s="693"/>
      <c r="D539" s="693"/>
      <c r="E539" s="693"/>
      <c r="F539" s="380">
        <f>15.8*X2</f>
        <v>17127.2</v>
      </c>
      <c r="G539" s="288">
        <f t="shared" ref="G539:G543" si="1534">+F539*$X$1</f>
        <v>17127.2</v>
      </c>
      <c r="H539" s="102">
        <f>F539+5000</f>
        <v>22127.200000000001</v>
      </c>
      <c r="I539" s="319">
        <f t="shared" si="1524"/>
        <v>22127.200000000001</v>
      </c>
      <c r="J539" s="102">
        <f>F539+1100</f>
        <v>18227.2</v>
      </c>
      <c r="K539" s="319">
        <f t="shared" ref="K539:K541" si="1535">+J539*$X$1</f>
        <v>18227.2</v>
      </c>
      <c r="L539" s="102">
        <f>F539+990</f>
        <v>18117.2</v>
      </c>
      <c r="M539" s="319">
        <f t="shared" ref="M539:M541" si="1536">+L539*$X$1</f>
        <v>18117.2</v>
      </c>
      <c r="N539" s="102">
        <f>F539+920</f>
        <v>18047.2</v>
      </c>
      <c r="O539" s="319">
        <f t="shared" si="1527"/>
        <v>18047.2</v>
      </c>
      <c r="P539" s="102">
        <f>F539+860</f>
        <v>17987.2</v>
      </c>
      <c r="Q539" s="319">
        <f t="shared" si="1528"/>
        <v>17987.2</v>
      </c>
      <c r="R539" s="102">
        <f>F539+800</f>
        <v>17927.2</v>
      </c>
      <c r="S539" s="319">
        <f t="shared" si="1529"/>
        <v>17927.2</v>
      </c>
      <c r="T539" s="102">
        <f>F539+750</f>
        <v>17877.2</v>
      </c>
      <c r="U539" s="319">
        <f t="shared" si="1530"/>
        <v>17877.2</v>
      </c>
      <c r="V539" s="102">
        <f>F539+710</f>
        <v>17837.2</v>
      </c>
      <c r="W539" s="319">
        <f t="shared" si="1531"/>
        <v>17837.2</v>
      </c>
      <c r="X539" s="139"/>
      <c r="Y539" s="134"/>
      <c r="Z539" s="140"/>
      <c r="AA539" s="141"/>
      <c r="AB539" s="403">
        <v>896</v>
      </c>
    </row>
    <row r="540" spans="1:28" ht="12.6" customHeight="1" x14ac:dyDescent="0.2">
      <c r="A540" s="4"/>
      <c r="B540" s="736" t="s">
        <v>627</v>
      </c>
      <c r="C540" s="678"/>
      <c r="D540" s="678"/>
      <c r="E540" s="678"/>
      <c r="F540" s="379">
        <f>15.8*X2</f>
        <v>17127.2</v>
      </c>
      <c r="G540" s="287">
        <f t="shared" si="1534"/>
        <v>17127.2</v>
      </c>
      <c r="H540" s="103">
        <f>F540+4000</f>
        <v>21127.200000000001</v>
      </c>
      <c r="I540" s="306">
        <f t="shared" ref="I540:I542" si="1537">+H540*$X$1</f>
        <v>21127.200000000001</v>
      </c>
      <c r="J540" s="103">
        <f t="shared" ref="J540" si="1538">F540+800</f>
        <v>17927.2</v>
      </c>
      <c r="K540" s="306">
        <f t="shared" si="1535"/>
        <v>17927.2</v>
      </c>
      <c r="L540" s="103">
        <f t="shared" ref="L540" si="1539">F540+600</f>
        <v>17727.2</v>
      </c>
      <c r="M540" s="306">
        <f t="shared" si="1536"/>
        <v>17727.2</v>
      </c>
      <c r="N540" s="103">
        <f>F540+500</f>
        <v>17627.2</v>
      </c>
      <c r="O540" s="306">
        <f t="shared" ref="O540:O545" si="1540">+N540*$X$1</f>
        <v>17627.2</v>
      </c>
      <c r="P540" s="103">
        <f>F540+460</f>
        <v>17587.2</v>
      </c>
      <c r="Q540" s="306">
        <f t="shared" ref="Q540:Q544" si="1541">+P540*$X$1</f>
        <v>17587.2</v>
      </c>
      <c r="R540" s="103">
        <f>F540+440</f>
        <v>17567.2</v>
      </c>
      <c r="S540" s="306">
        <f t="shared" ref="S540:S544" si="1542">+R540*$X$1</f>
        <v>17567.2</v>
      </c>
      <c r="T540" s="103">
        <f>F540+400</f>
        <v>17527.2</v>
      </c>
      <c r="U540" s="306">
        <f t="shared" ref="U540:U544" si="1543">+T540*$X$1</f>
        <v>17527.2</v>
      </c>
      <c r="V540" s="103">
        <f>F540+370</f>
        <v>17497.2</v>
      </c>
      <c r="W540" s="306">
        <f t="shared" ref="W540:W544" si="1544">+V540*$X$1</f>
        <v>17497.2</v>
      </c>
      <c r="X540" s="139"/>
      <c r="Y540" s="134"/>
      <c r="Z540" s="140"/>
      <c r="AA540" s="141"/>
      <c r="AB540" s="403">
        <v>896</v>
      </c>
    </row>
    <row r="541" spans="1:28" ht="12.6" customHeight="1" x14ac:dyDescent="0.2">
      <c r="A541" s="4"/>
      <c r="B541" s="748" t="s">
        <v>915</v>
      </c>
      <c r="C541" s="967"/>
      <c r="D541" s="967"/>
      <c r="E541" s="967"/>
      <c r="F541" s="329">
        <v>20475</v>
      </c>
      <c r="G541" s="288">
        <f t="shared" ref="G541" si="1545">+F541*$X$1</f>
        <v>20475</v>
      </c>
      <c r="H541" s="102">
        <f>F541+5000</f>
        <v>25475</v>
      </c>
      <c r="I541" s="319">
        <f t="shared" ref="I541" si="1546">+H541*$X$1</f>
        <v>25475</v>
      </c>
      <c r="J541" s="102">
        <f>F541+1100</f>
        <v>21575</v>
      </c>
      <c r="K541" s="319">
        <f t="shared" si="1535"/>
        <v>21575</v>
      </c>
      <c r="L541" s="102">
        <f>F541+990</f>
        <v>21465</v>
      </c>
      <c r="M541" s="319">
        <f t="shared" si="1536"/>
        <v>21465</v>
      </c>
      <c r="N541" s="102">
        <f>F541+920</f>
        <v>21395</v>
      </c>
      <c r="O541" s="319">
        <f t="shared" ref="O541" si="1547">+N541*$X$1</f>
        <v>21395</v>
      </c>
      <c r="P541" s="102">
        <f>F541+860</f>
        <v>21335</v>
      </c>
      <c r="Q541" s="319">
        <f t="shared" ref="Q541" si="1548">+P541*$X$1</f>
        <v>21335</v>
      </c>
      <c r="R541" s="102">
        <f>F541+800</f>
        <v>21275</v>
      </c>
      <c r="S541" s="319">
        <f t="shared" ref="S541" si="1549">+R541*$X$1</f>
        <v>21275</v>
      </c>
      <c r="T541" s="102">
        <f>F541+750</f>
        <v>21225</v>
      </c>
      <c r="U541" s="319">
        <f t="shared" ref="U541" si="1550">+T541*$X$1</f>
        <v>21225</v>
      </c>
      <c r="V541" s="102">
        <f>F541+710</f>
        <v>21185</v>
      </c>
      <c r="W541" s="319">
        <f t="shared" ref="W541" si="1551">+V541*$X$1</f>
        <v>21185</v>
      </c>
      <c r="X541" s="139"/>
      <c r="Y541" s="134"/>
      <c r="Z541" s="140"/>
      <c r="AA541" s="141"/>
      <c r="AB541" s="403"/>
    </row>
    <row r="542" spans="1:28" ht="12.6" customHeight="1" x14ac:dyDescent="0.2">
      <c r="A542" s="4"/>
      <c r="B542" s="736" t="s">
        <v>630</v>
      </c>
      <c r="C542" s="737"/>
      <c r="D542" s="737"/>
      <c r="E542" s="737"/>
      <c r="F542" s="379">
        <f>19*X2</f>
        <v>20596</v>
      </c>
      <c r="G542" s="287">
        <f t="shared" si="1534"/>
        <v>20596</v>
      </c>
      <c r="H542" s="103">
        <f>F542+5000</f>
        <v>25596</v>
      </c>
      <c r="I542" s="306">
        <f t="shared" si="1537"/>
        <v>25596</v>
      </c>
      <c r="J542" s="103">
        <f>F542+1100</f>
        <v>21696</v>
      </c>
      <c r="K542" s="306">
        <f t="shared" ref="K542:K546" si="1552">+J542*$X$1</f>
        <v>21696</v>
      </c>
      <c r="L542" s="103">
        <f>F542+990</f>
        <v>21586</v>
      </c>
      <c r="M542" s="306">
        <f t="shared" ref="M542:M546" si="1553">+L542*$X$1</f>
        <v>21586</v>
      </c>
      <c r="N542" s="103">
        <f>F542+920</f>
        <v>21516</v>
      </c>
      <c r="O542" s="306">
        <f t="shared" si="1540"/>
        <v>21516</v>
      </c>
      <c r="P542" s="103">
        <f>F542+860</f>
        <v>21456</v>
      </c>
      <c r="Q542" s="306">
        <f t="shared" si="1541"/>
        <v>21456</v>
      </c>
      <c r="R542" s="103">
        <f>F542+800</f>
        <v>21396</v>
      </c>
      <c r="S542" s="306">
        <f t="shared" si="1542"/>
        <v>21396</v>
      </c>
      <c r="T542" s="103">
        <f>F542+750</f>
        <v>21346</v>
      </c>
      <c r="U542" s="306">
        <f t="shared" si="1543"/>
        <v>21346</v>
      </c>
      <c r="V542" s="103">
        <f>F542+710</f>
        <v>21306</v>
      </c>
      <c r="W542" s="306">
        <f t="shared" si="1544"/>
        <v>21306</v>
      </c>
      <c r="X542" s="139"/>
      <c r="Y542" s="134"/>
      <c r="Z542" s="140"/>
      <c r="AA542" s="141"/>
      <c r="AB542" s="403">
        <v>899</v>
      </c>
    </row>
    <row r="543" spans="1:28" ht="12.6" customHeight="1" x14ac:dyDescent="0.2">
      <c r="A543" s="4"/>
      <c r="B543" s="748" t="s">
        <v>638</v>
      </c>
      <c r="C543" s="967"/>
      <c r="D543" s="967"/>
      <c r="E543" s="967"/>
      <c r="F543" s="380">
        <f>19*X2</f>
        <v>20596</v>
      </c>
      <c r="G543" s="288">
        <f t="shared" si="1534"/>
        <v>20596</v>
      </c>
      <c r="H543" s="102">
        <f>F543+4000</f>
        <v>24596</v>
      </c>
      <c r="I543" s="319">
        <f t="shared" ref="I543:I545" si="1554">+H543*$X$1</f>
        <v>24596</v>
      </c>
      <c r="J543" s="102">
        <f t="shared" ref="J543" si="1555">F543+800</f>
        <v>21396</v>
      </c>
      <c r="K543" s="319">
        <f t="shared" si="1552"/>
        <v>21396</v>
      </c>
      <c r="L543" s="102">
        <f t="shared" ref="L543" si="1556">F543+600</f>
        <v>21196</v>
      </c>
      <c r="M543" s="319">
        <f t="shared" si="1553"/>
        <v>21196</v>
      </c>
      <c r="N543" s="102">
        <f>F543+500</f>
        <v>21096</v>
      </c>
      <c r="O543" s="319">
        <f t="shared" si="1540"/>
        <v>21096</v>
      </c>
      <c r="P543" s="102">
        <f>F543+460</f>
        <v>21056</v>
      </c>
      <c r="Q543" s="319">
        <f t="shared" si="1541"/>
        <v>21056</v>
      </c>
      <c r="R543" s="102">
        <f>F543+440</f>
        <v>21036</v>
      </c>
      <c r="S543" s="319">
        <f t="shared" si="1542"/>
        <v>21036</v>
      </c>
      <c r="T543" s="102">
        <f>F543+400</f>
        <v>20996</v>
      </c>
      <c r="U543" s="319">
        <f t="shared" si="1543"/>
        <v>20996</v>
      </c>
      <c r="V543" s="102">
        <f>F543+370</f>
        <v>20966</v>
      </c>
      <c r="W543" s="319">
        <f t="shared" si="1544"/>
        <v>20966</v>
      </c>
      <c r="X543" s="139"/>
      <c r="Y543" s="134"/>
      <c r="Z543" s="140"/>
      <c r="AA543" s="141"/>
      <c r="AB543" s="403" t="s">
        <v>639</v>
      </c>
    </row>
    <row r="544" spans="1:28" ht="12.6" customHeight="1" x14ac:dyDescent="0.2">
      <c r="A544" s="4"/>
      <c r="B544" s="736" t="s">
        <v>492</v>
      </c>
      <c r="C544" s="702"/>
      <c r="D544" s="702"/>
      <c r="E544" s="702"/>
      <c r="F544" s="379">
        <f>20*X2</f>
        <v>21680</v>
      </c>
      <c r="G544" s="287">
        <f t="shared" ref="G544" si="1557">+F544*$X$1</f>
        <v>21680</v>
      </c>
      <c r="H544" s="103">
        <f>F544+5000</f>
        <v>26680</v>
      </c>
      <c r="I544" s="306">
        <f t="shared" si="1554"/>
        <v>26680</v>
      </c>
      <c r="J544" s="103">
        <f>F544+1100</f>
        <v>22780</v>
      </c>
      <c r="K544" s="306">
        <f t="shared" si="1552"/>
        <v>22780</v>
      </c>
      <c r="L544" s="103">
        <f>F544+990</f>
        <v>22670</v>
      </c>
      <c r="M544" s="306">
        <f t="shared" si="1553"/>
        <v>22670</v>
      </c>
      <c r="N544" s="103">
        <f>F544+920</f>
        <v>22600</v>
      </c>
      <c r="O544" s="306">
        <f t="shared" si="1540"/>
        <v>22600</v>
      </c>
      <c r="P544" s="103">
        <f>F544+860</f>
        <v>22540</v>
      </c>
      <c r="Q544" s="306">
        <f t="shared" si="1541"/>
        <v>22540</v>
      </c>
      <c r="R544" s="103">
        <f>F544+800</f>
        <v>22480</v>
      </c>
      <c r="S544" s="306">
        <f t="shared" si="1542"/>
        <v>22480</v>
      </c>
      <c r="T544" s="103">
        <f>F544+750</f>
        <v>22430</v>
      </c>
      <c r="U544" s="306">
        <f t="shared" si="1543"/>
        <v>22430</v>
      </c>
      <c r="V544" s="103">
        <f>F544+710</f>
        <v>22390</v>
      </c>
      <c r="W544" s="306">
        <f t="shared" si="1544"/>
        <v>22390</v>
      </c>
      <c r="X544" s="139"/>
      <c r="Y544" s="134"/>
      <c r="Z544" s="140"/>
      <c r="AA544" s="141"/>
      <c r="AB544" s="403">
        <v>900</v>
      </c>
    </row>
    <row r="545" spans="1:28" ht="12.6" customHeight="1" x14ac:dyDescent="0.2">
      <c r="A545" s="4"/>
      <c r="B545" s="756" t="s">
        <v>420</v>
      </c>
      <c r="C545" s="1021"/>
      <c r="D545" s="1021"/>
      <c r="E545" s="1022"/>
      <c r="F545" s="534">
        <v>15372</v>
      </c>
      <c r="G545" s="288">
        <f>+F545*$X$1</f>
        <v>15372</v>
      </c>
      <c r="H545" s="102">
        <f>F545+5000</f>
        <v>20372</v>
      </c>
      <c r="I545" s="319">
        <f t="shared" si="1554"/>
        <v>20372</v>
      </c>
      <c r="J545" s="102">
        <f>F545+1100</f>
        <v>16472</v>
      </c>
      <c r="K545" s="319">
        <f t="shared" si="1552"/>
        <v>16472</v>
      </c>
      <c r="L545" s="102">
        <f>F545+990</f>
        <v>16362</v>
      </c>
      <c r="M545" s="319">
        <f t="shared" si="1553"/>
        <v>16362</v>
      </c>
      <c r="N545" s="102">
        <f>F545+920</f>
        <v>16292</v>
      </c>
      <c r="O545" s="319">
        <f t="shared" si="1540"/>
        <v>16292</v>
      </c>
      <c r="P545" s="102"/>
      <c r="Q545" s="319"/>
      <c r="R545" s="102"/>
      <c r="S545" s="319"/>
      <c r="T545" s="102"/>
      <c r="U545" s="319"/>
      <c r="V545" s="102"/>
      <c r="W545" s="319"/>
      <c r="X545" s="139"/>
      <c r="Y545" s="134"/>
      <c r="Z545" s="140"/>
      <c r="AA545" s="141"/>
      <c r="AB545" s="403">
        <v>902</v>
      </c>
    </row>
    <row r="546" spans="1:28" ht="12.6" customHeight="1" x14ac:dyDescent="0.2">
      <c r="A546" s="4"/>
      <c r="B546" s="736" t="s">
        <v>419</v>
      </c>
      <c r="C546" s="702"/>
      <c r="D546" s="702"/>
      <c r="E546" s="702"/>
      <c r="F546" s="330">
        <v>21380</v>
      </c>
      <c r="G546" s="287">
        <f>+F546*$X$1</f>
        <v>21380</v>
      </c>
      <c r="H546" s="103">
        <f>F546+4000</f>
        <v>25380</v>
      </c>
      <c r="I546" s="306">
        <f t="shared" ref="I546:I547" si="1558">+H546*$X$1</f>
        <v>25380</v>
      </c>
      <c r="J546" s="103">
        <f t="shared" ref="J546" si="1559">F546+800</f>
        <v>22180</v>
      </c>
      <c r="K546" s="306">
        <f t="shared" si="1552"/>
        <v>22180</v>
      </c>
      <c r="L546" s="103">
        <f t="shared" ref="L546" si="1560">F546+600</f>
        <v>21980</v>
      </c>
      <c r="M546" s="306">
        <f t="shared" si="1553"/>
        <v>21980</v>
      </c>
      <c r="N546" s="103">
        <f>F546+500</f>
        <v>21880</v>
      </c>
      <c r="O546" s="306">
        <f t="shared" ref="O546:O547" si="1561">+N546*$X$1</f>
        <v>21880</v>
      </c>
      <c r="P546" s="103">
        <f>F546+460</f>
        <v>21840</v>
      </c>
      <c r="Q546" s="306">
        <f t="shared" ref="Q546:Q547" si="1562">+P546*$X$1</f>
        <v>21840</v>
      </c>
      <c r="R546" s="103">
        <f>F546+440</f>
        <v>21820</v>
      </c>
      <c r="S546" s="306">
        <f t="shared" ref="S546:S547" si="1563">+R546*$X$1</f>
        <v>21820</v>
      </c>
      <c r="T546" s="103">
        <f>F546+400</f>
        <v>21780</v>
      </c>
      <c r="U546" s="306">
        <f t="shared" ref="U546:U547" si="1564">+T546*$X$1</f>
        <v>21780</v>
      </c>
      <c r="V546" s="103">
        <f>F546+370</f>
        <v>21750</v>
      </c>
      <c r="W546" s="306">
        <f t="shared" ref="W546:W547" si="1565">+V546*$X$1</f>
        <v>21750</v>
      </c>
      <c r="X546" s="139"/>
      <c r="Y546" s="134"/>
      <c r="Z546" s="140"/>
      <c r="AA546" s="141"/>
      <c r="AB546" s="403">
        <v>905</v>
      </c>
    </row>
    <row r="547" spans="1:28" ht="12.6" customHeight="1" x14ac:dyDescent="0.2">
      <c r="A547" s="4"/>
      <c r="B547" s="748" t="s">
        <v>680</v>
      </c>
      <c r="C547" s="747"/>
      <c r="D547" s="747"/>
      <c r="E547" s="747"/>
      <c r="F547" s="380">
        <f>21.3*X2</f>
        <v>23089.200000000001</v>
      </c>
      <c r="G547" s="288">
        <f>+F547*$X$1</f>
        <v>23089.200000000001</v>
      </c>
      <c r="H547" s="102">
        <f>F547+5000</f>
        <v>28089.200000000001</v>
      </c>
      <c r="I547" s="319">
        <f t="shared" si="1558"/>
        <v>28089.200000000001</v>
      </c>
      <c r="J547" s="102">
        <f>F547+1100</f>
        <v>24189.200000000001</v>
      </c>
      <c r="K547" s="319">
        <f t="shared" ref="K547:K548" si="1566">+J547*$X$1</f>
        <v>24189.200000000001</v>
      </c>
      <c r="L547" s="102">
        <f>F547+990</f>
        <v>24079.200000000001</v>
      </c>
      <c r="M547" s="319">
        <f t="shared" ref="M547:M548" si="1567">+L547*$X$1</f>
        <v>24079.200000000001</v>
      </c>
      <c r="N547" s="102">
        <f>F547+920</f>
        <v>24009.200000000001</v>
      </c>
      <c r="O547" s="319">
        <f t="shared" si="1561"/>
        <v>24009.200000000001</v>
      </c>
      <c r="P547" s="102">
        <f>F547+860</f>
        <v>23949.200000000001</v>
      </c>
      <c r="Q547" s="319">
        <f t="shared" si="1562"/>
        <v>23949.200000000001</v>
      </c>
      <c r="R547" s="102">
        <f>F547+800</f>
        <v>23889.200000000001</v>
      </c>
      <c r="S547" s="319">
        <f t="shared" si="1563"/>
        <v>23889.200000000001</v>
      </c>
      <c r="T547" s="102">
        <f>F547+750</f>
        <v>23839.200000000001</v>
      </c>
      <c r="U547" s="319">
        <f t="shared" si="1564"/>
        <v>23839.200000000001</v>
      </c>
      <c r="V547" s="102">
        <f>F547+710</f>
        <v>23799.200000000001</v>
      </c>
      <c r="W547" s="319">
        <f t="shared" si="1565"/>
        <v>23799.200000000001</v>
      </c>
      <c r="X547" s="139"/>
      <c r="Y547" s="134"/>
      <c r="Z547" s="140"/>
      <c r="AA547" s="141"/>
      <c r="AB547" s="403">
        <v>906</v>
      </c>
    </row>
    <row r="548" spans="1:28" ht="12.6" customHeight="1" x14ac:dyDescent="0.2">
      <c r="A548" s="4"/>
      <c r="B548" s="736" t="s">
        <v>681</v>
      </c>
      <c r="C548" s="702"/>
      <c r="D548" s="702"/>
      <c r="E548" s="702"/>
      <c r="F548" s="379">
        <f>21.3*X2</f>
        <v>23089.200000000001</v>
      </c>
      <c r="G548" s="287">
        <f>+F548*$X$1</f>
        <v>23089.200000000001</v>
      </c>
      <c r="H548" s="103">
        <f>F548+4000</f>
        <v>27089.200000000001</v>
      </c>
      <c r="I548" s="306">
        <f t="shared" ref="I548:I550" si="1568">+H548*$X$1</f>
        <v>27089.200000000001</v>
      </c>
      <c r="J548" s="103">
        <f t="shared" ref="J548" si="1569">F548+800</f>
        <v>23889.200000000001</v>
      </c>
      <c r="K548" s="306">
        <f t="shared" si="1566"/>
        <v>23889.200000000001</v>
      </c>
      <c r="L548" s="103">
        <f t="shared" ref="L548" si="1570">F548+600</f>
        <v>23689.200000000001</v>
      </c>
      <c r="M548" s="306">
        <f t="shared" si="1567"/>
        <v>23689.200000000001</v>
      </c>
      <c r="N548" s="103">
        <f>F548+500</f>
        <v>23589.200000000001</v>
      </c>
      <c r="O548" s="306">
        <f t="shared" ref="O548:O550" si="1571">+N548*$X$1</f>
        <v>23589.200000000001</v>
      </c>
      <c r="P548" s="103">
        <f>F548+460</f>
        <v>23549.200000000001</v>
      </c>
      <c r="Q548" s="306">
        <f t="shared" ref="Q548:Q549" si="1572">+P548*$X$1</f>
        <v>23549.200000000001</v>
      </c>
      <c r="R548" s="103">
        <f>F548+440</f>
        <v>23529.200000000001</v>
      </c>
      <c r="S548" s="306">
        <f t="shared" ref="S548:S549" si="1573">+R548*$X$1</f>
        <v>23529.200000000001</v>
      </c>
      <c r="T548" s="103">
        <f>F548+400</f>
        <v>23489.200000000001</v>
      </c>
      <c r="U548" s="306">
        <f t="shared" ref="U548:U549" si="1574">+T548*$X$1</f>
        <v>23489.200000000001</v>
      </c>
      <c r="V548" s="103">
        <f>F548+370</f>
        <v>23459.200000000001</v>
      </c>
      <c r="W548" s="306">
        <f t="shared" ref="W548:W549" si="1575">+V548*$X$1</f>
        <v>23459.200000000001</v>
      </c>
      <c r="X548" s="139"/>
      <c r="Y548" s="134"/>
      <c r="Z548" s="140"/>
      <c r="AA548" s="141"/>
      <c r="AB548" s="403">
        <v>906</v>
      </c>
    </row>
    <row r="549" spans="1:28" ht="12.6" customHeight="1" x14ac:dyDescent="0.2">
      <c r="A549" s="4"/>
      <c r="B549" s="748" t="s">
        <v>626</v>
      </c>
      <c r="C549" s="693"/>
      <c r="D549" s="693"/>
      <c r="E549" s="693"/>
      <c r="F549" s="381">
        <f>21.1*X2</f>
        <v>22872.400000000001</v>
      </c>
      <c r="G549" s="288">
        <f t="shared" ref="G549" si="1576">+F549*$X$1</f>
        <v>22872.400000000001</v>
      </c>
      <c r="H549" s="102">
        <f>F549+5000</f>
        <v>27872.400000000001</v>
      </c>
      <c r="I549" s="319">
        <f t="shared" si="1568"/>
        <v>27872.400000000001</v>
      </c>
      <c r="J549" s="102">
        <f>F549+1100</f>
        <v>23972.400000000001</v>
      </c>
      <c r="K549" s="319">
        <f t="shared" ref="K549:K550" si="1577">+J549*$X$1</f>
        <v>23972.400000000001</v>
      </c>
      <c r="L549" s="102">
        <f>F549+990</f>
        <v>23862.400000000001</v>
      </c>
      <c r="M549" s="319">
        <f t="shared" ref="M549:M550" si="1578">+L549*$X$1</f>
        <v>23862.400000000001</v>
      </c>
      <c r="N549" s="102">
        <f>F549+920</f>
        <v>23792.400000000001</v>
      </c>
      <c r="O549" s="319">
        <f t="shared" si="1571"/>
        <v>23792.400000000001</v>
      </c>
      <c r="P549" s="102">
        <f>F549+860</f>
        <v>23732.400000000001</v>
      </c>
      <c r="Q549" s="319">
        <f t="shared" si="1572"/>
        <v>23732.400000000001</v>
      </c>
      <c r="R549" s="102">
        <f>F549+800</f>
        <v>23672.400000000001</v>
      </c>
      <c r="S549" s="319">
        <f t="shared" si="1573"/>
        <v>23672.400000000001</v>
      </c>
      <c r="T549" s="102">
        <f>F549+750</f>
        <v>23622.400000000001</v>
      </c>
      <c r="U549" s="319">
        <f t="shared" si="1574"/>
        <v>23622.400000000001</v>
      </c>
      <c r="V549" s="102">
        <f>F549+710</f>
        <v>23582.400000000001</v>
      </c>
      <c r="W549" s="319">
        <f t="shared" si="1575"/>
        <v>23582.400000000001</v>
      </c>
      <c r="X549" s="139"/>
      <c r="Y549" s="134"/>
      <c r="Z549" s="140"/>
      <c r="AA549" s="141"/>
      <c r="AB549" s="403" t="s">
        <v>640</v>
      </c>
    </row>
    <row r="550" spans="1:28" ht="12.6" customHeight="1" x14ac:dyDescent="0.2">
      <c r="A550" s="4"/>
      <c r="B550" s="736" t="s">
        <v>679</v>
      </c>
      <c r="C550" s="678"/>
      <c r="D550" s="678"/>
      <c r="E550" s="678"/>
      <c r="F550" s="382">
        <f>21.1*X2</f>
        <v>22872.400000000001</v>
      </c>
      <c r="G550" s="287">
        <f t="shared" ref="G550" si="1579">+F550*$X$1</f>
        <v>22872.400000000001</v>
      </c>
      <c r="H550" s="103">
        <f>F550+4000</f>
        <v>26872.400000000001</v>
      </c>
      <c r="I550" s="306">
        <f t="shared" si="1568"/>
        <v>26872.400000000001</v>
      </c>
      <c r="J550" s="103">
        <f t="shared" ref="J550" si="1580">F550+800</f>
        <v>23672.400000000001</v>
      </c>
      <c r="K550" s="306">
        <f t="shared" si="1577"/>
        <v>23672.400000000001</v>
      </c>
      <c r="L550" s="103">
        <f t="shared" ref="L550" si="1581">F550+600</f>
        <v>23472.400000000001</v>
      </c>
      <c r="M550" s="306">
        <f t="shared" si="1578"/>
        <v>23472.400000000001</v>
      </c>
      <c r="N550" s="103">
        <f>F550+500</f>
        <v>23372.400000000001</v>
      </c>
      <c r="O550" s="306">
        <f t="shared" si="1571"/>
        <v>23372.400000000001</v>
      </c>
      <c r="P550" s="103"/>
      <c r="Q550" s="306"/>
      <c r="R550" s="103"/>
      <c r="S550" s="306"/>
      <c r="T550" s="103"/>
      <c r="U550" s="306"/>
      <c r="V550" s="103"/>
      <c r="W550" s="306"/>
      <c r="X550" s="139"/>
      <c r="Y550" s="134"/>
      <c r="Z550" s="140"/>
      <c r="AA550" s="141"/>
      <c r="AB550" s="403">
        <v>907</v>
      </c>
    </row>
    <row r="551" spans="1:28" ht="12.6" customHeight="1" x14ac:dyDescent="0.2">
      <c r="A551" s="4"/>
      <c r="B551" s="1144" t="s">
        <v>597</v>
      </c>
      <c r="C551" s="1145"/>
      <c r="D551" s="1145"/>
      <c r="E551" s="1145"/>
      <c r="F551" s="288"/>
      <c r="G551" s="288"/>
      <c r="H551" s="458">
        <v>1900</v>
      </c>
      <c r="I551" s="288">
        <f t="shared" ref="I551" si="1582">+H551*$X$1</f>
        <v>1900</v>
      </c>
      <c r="J551" s="458">
        <v>800</v>
      </c>
      <c r="K551" s="288">
        <f t="shared" ref="K551" si="1583">+J551*$X$1</f>
        <v>800</v>
      </c>
      <c r="L551" s="458">
        <v>680</v>
      </c>
      <c r="M551" s="288">
        <f t="shared" ref="M551" si="1584">+L551*$X$1</f>
        <v>680</v>
      </c>
      <c r="N551" s="458">
        <v>620</v>
      </c>
      <c r="O551" s="288">
        <f t="shared" ref="O551" si="1585">+N551*$X$1</f>
        <v>620</v>
      </c>
      <c r="P551" s="458">
        <v>570</v>
      </c>
      <c r="Q551" s="288">
        <f t="shared" ref="Q551" si="1586">+P551*$X$1</f>
        <v>570</v>
      </c>
      <c r="R551" s="458">
        <v>520</v>
      </c>
      <c r="S551" s="288">
        <f t="shared" ref="S551" si="1587">+R551*$X$1</f>
        <v>520</v>
      </c>
      <c r="T551" s="458">
        <v>480</v>
      </c>
      <c r="U551" s="288">
        <f t="shared" ref="U551" si="1588">+T551*$X$1</f>
        <v>480</v>
      </c>
      <c r="V551" s="458">
        <v>450</v>
      </c>
      <c r="W551" s="288">
        <f t="shared" ref="W551" si="1589">+V551*$X$1</f>
        <v>450</v>
      </c>
      <c r="X551" s="139"/>
      <c r="Y551" s="134"/>
      <c r="Z551" s="140"/>
      <c r="AA551" s="141"/>
      <c r="AB551" s="32"/>
    </row>
    <row r="552" spans="1:28" ht="12.6" customHeight="1" x14ac:dyDescent="0.2">
      <c r="A552" s="4"/>
      <c r="B552" s="1142" t="s">
        <v>598</v>
      </c>
      <c r="C552" s="1143"/>
      <c r="D552" s="1143"/>
      <c r="E552" s="1143"/>
      <c r="F552" s="287"/>
      <c r="G552" s="287"/>
      <c r="H552" s="578">
        <v>900</v>
      </c>
      <c r="I552" s="287">
        <f t="shared" ref="I552" si="1590">+H552*$X$1</f>
        <v>900</v>
      </c>
      <c r="J552" s="578">
        <v>420</v>
      </c>
      <c r="K552" s="287">
        <f t="shared" ref="K552" si="1591">+J552*$X$1</f>
        <v>420</v>
      </c>
      <c r="L552" s="578">
        <v>380</v>
      </c>
      <c r="M552" s="287">
        <f t="shared" ref="M552" si="1592">+L552*$X$1</f>
        <v>380</v>
      </c>
      <c r="N552" s="578">
        <v>350</v>
      </c>
      <c r="O552" s="287">
        <f t="shared" ref="O552" si="1593">+N552*$X$1</f>
        <v>350</v>
      </c>
      <c r="P552" s="578">
        <v>320</v>
      </c>
      <c r="Q552" s="287">
        <f t="shared" ref="Q552" si="1594">+P552*$X$1</f>
        <v>320</v>
      </c>
      <c r="R552" s="578">
        <v>300</v>
      </c>
      <c r="S552" s="287">
        <f t="shared" ref="S552" si="1595">+R552*$X$1</f>
        <v>300</v>
      </c>
      <c r="T552" s="578">
        <v>280</v>
      </c>
      <c r="U552" s="287">
        <f t="shared" ref="U552" si="1596">+T552*$X$1</f>
        <v>280</v>
      </c>
      <c r="V552" s="578">
        <v>260</v>
      </c>
      <c r="W552" s="287">
        <f t="shared" ref="W552" si="1597">+V552*$X$1</f>
        <v>260</v>
      </c>
      <c r="X552" s="139"/>
      <c r="Y552" s="134"/>
      <c r="Z552" s="140"/>
      <c r="AA552" s="141"/>
      <c r="AB552" s="32"/>
    </row>
    <row r="553" spans="1:28" ht="12.6" customHeight="1" x14ac:dyDescent="0.2">
      <c r="A553" s="97"/>
      <c r="B553" s="77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9"/>
      <c r="W553" s="80"/>
      <c r="AB553" s="81"/>
    </row>
    <row r="554" spans="1:28" ht="12.6" customHeight="1" x14ac:dyDescent="0.2">
      <c r="A554" s="97"/>
      <c r="B554" s="77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9"/>
      <c r="W554" s="80"/>
      <c r="AB554" s="81"/>
    </row>
    <row r="555" spans="1:28" ht="12.6" customHeight="1" x14ac:dyDescent="0.2">
      <c r="A555" s="97"/>
      <c r="B555" s="77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9"/>
      <c r="W555" s="80"/>
      <c r="AB555" s="81"/>
    </row>
    <row r="556" spans="1:28" ht="12.6" customHeight="1" x14ac:dyDescent="0.2">
      <c r="A556" s="97"/>
      <c r="B556" s="77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9"/>
      <c r="W556" s="80"/>
      <c r="AB556" s="81"/>
    </row>
    <row r="557" spans="1:28" ht="12.6" customHeight="1" x14ac:dyDescent="0.2">
      <c r="A557" s="97"/>
      <c r="B557" s="77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9"/>
      <c r="W557" s="80"/>
      <c r="AB557" s="81"/>
    </row>
    <row r="558" spans="1:28" ht="12.6" customHeight="1" x14ac:dyDescent="0.2">
      <c r="A558" s="97"/>
      <c r="B558" s="77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9"/>
      <c r="W558" s="80"/>
      <c r="AB558" s="81"/>
    </row>
    <row r="559" spans="1:28" ht="12.6" customHeight="1" x14ac:dyDescent="0.2">
      <c r="A559" s="97"/>
      <c r="B559" s="77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9"/>
      <c r="W559" s="80"/>
      <c r="AB559" s="81"/>
    </row>
    <row r="560" spans="1:28" ht="12.6" customHeight="1" x14ac:dyDescent="0.2">
      <c r="A560" s="75"/>
      <c r="B560" s="108"/>
      <c r="C560" s="572"/>
      <c r="D560" s="572"/>
      <c r="E560" s="572"/>
      <c r="F560" s="334"/>
      <c r="G560" s="334"/>
      <c r="H560" s="117"/>
      <c r="I560" s="334"/>
      <c r="J560" s="117"/>
      <c r="K560" s="334"/>
      <c r="L560" s="117"/>
      <c r="M560" s="334"/>
      <c r="N560" s="117"/>
      <c r="O560" s="334"/>
      <c r="P560" s="117"/>
      <c r="Q560" s="334"/>
      <c r="R560" s="117"/>
      <c r="S560" s="334"/>
      <c r="T560" s="117"/>
      <c r="U560" s="334"/>
      <c r="V560" s="117"/>
      <c r="W560" s="334"/>
      <c r="X560" s="200"/>
      <c r="Y560" s="75"/>
      <c r="Z560" s="201"/>
      <c r="AA560" s="201"/>
      <c r="AB560" s="202"/>
    </row>
    <row r="561" spans="1:34" ht="12.6" customHeight="1" x14ac:dyDescent="0.2">
      <c r="A561" s="75"/>
      <c r="B561" s="108"/>
      <c r="C561" s="535"/>
      <c r="D561" s="535"/>
      <c r="E561" s="535"/>
      <c r="F561" s="334"/>
      <c r="G561" s="334"/>
      <c r="H561" s="117"/>
      <c r="I561" s="334"/>
      <c r="J561" s="117"/>
      <c r="K561" s="334"/>
      <c r="L561" s="117"/>
      <c r="M561" s="334"/>
      <c r="N561" s="117"/>
      <c r="O561" s="334"/>
      <c r="P561" s="117"/>
      <c r="Q561" s="334"/>
      <c r="R561" s="117"/>
      <c r="S561" s="334"/>
      <c r="T561" s="117"/>
      <c r="U561" s="334"/>
      <c r="V561" s="117"/>
      <c r="W561" s="334"/>
      <c r="X561" s="200"/>
      <c r="Y561" s="75"/>
      <c r="Z561" s="201"/>
      <c r="AA561" s="201"/>
      <c r="AB561" s="202"/>
    </row>
    <row r="562" spans="1:34" ht="15" customHeight="1" x14ac:dyDescent="0.2">
      <c r="B562" s="1146" t="s">
        <v>572</v>
      </c>
      <c r="C562" s="1147"/>
      <c r="D562" s="1147"/>
      <c r="E562" s="1147"/>
      <c r="F562" s="1147"/>
      <c r="G562" s="1147"/>
      <c r="H562" s="1147"/>
      <c r="I562" s="1147"/>
      <c r="J562" s="1147"/>
      <c r="K562" s="1147"/>
      <c r="L562" s="1147"/>
      <c r="M562" s="1147"/>
      <c r="N562" s="1147"/>
      <c r="O562" s="1147"/>
      <c r="P562" s="1147"/>
      <c r="Q562" s="1147"/>
      <c r="R562" s="1147"/>
      <c r="S562" s="1147"/>
      <c r="T562" s="1147"/>
      <c r="U562" s="1147"/>
      <c r="V562" s="1147"/>
      <c r="W562" s="1147"/>
      <c r="AB562" s="4"/>
      <c r="AF562" s="703"/>
      <c r="AG562" s="704"/>
      <c r="AH562" s="704"/>
    </row>
    <row r="563" spans="1:34" ht="14.25" customHeight="1" x14ac:dyDescent="0.2">
      <c r="B563" s="705" t="s">
        <v>11</v>
      </c>
      <c r="C563" s="707" t="s">
        <v>12</v>
      </c>
      <c r="D563" s="708"/>
      <c r="E563" s="708"/>
      <c r="F563" s="710" t="s">
        <v>287</v>
      </c>
      <c r="G563" s="710" t="s">
        <v>13</v>
      </c>
      <c r="H563" s="712" t="s">
        <v>817</v>
      </c>
      <c r="I563" s="712"/>
      <c r="J563" s="713"/>
      <c r="K563" s="713"/>
      <c r="L563" s="713"/>
      <c r="M563" s="713"/>
      <c r="N563" s="713"/>
      <c r="O563" s="713"/>
      <c r="P563" s="713"/>
      <c r="Q563" s="713"/>
      <c r="R563" s="713"/>
      <c r="S563" s="713"/>
      <c r="T563" s="713"/>
      <c r="U563" s="713"/>
      <c r="V563" s="713"/>
      <c r="W563" s="714"/>
      <c r="X563" s="715" t="s">
        <v>14</v>
      </c>
      <c r="Y563" s="716"/>
      <c r="Z563" s="716"/>
      <c r="AA563" s="717"/>
      <c r="AB563" s="721" t="s">
        <v>15</v>
      </c>
      <c r="AF563" s="703" t="s">
        <v>3</v>
      </c>
      <c r="AG563" s="704"/>
      <c r="AH563" s="704"/>
    </row>
    <row r="564" spans="1:34" ht="12" customHeight="1" x14ac:dyDescent="0.2">
      <c r="B564" s="706"/>
      <c r="C564" s="709"/>
      <c r="D564" s="709"/>
      <c r="E564" s="709"/>
      <c r="F564" s="711"/>
      <c r="G564" s="711"/>
      <c r="H564" s="482"/>
      <c r="I564" s="483" t="s">
        <v>559</v>
      </c>
      <c r="J564" s="482"/>
      <c r="K564" s="483" t="s">
        <v>288</v>
      </c>
      <c r="L564" s="482"/>
      <c r="M564" s="483" t="s">
        <v>289</v>
      </c>
      <c r="N564" s="482"/>
      <c r="O564" s="483" t="s">
        <v>561</v>
      </c>
      <c r="P564" s="482"/>
      <c r="Q564" s="483" t="s">
        <v>17</v>
      </c>
      <c r="R564" s="482"/>
      <c r="S564" s="483" t="s">
        <v>18</v>
      </c>
      <c r="T564" s="482"/>
      <c r="U564" s="483" t="s">
        <v>19</v>
      </c>
      <c r="V564" s="482"/>
      <c r="W564" s="484" t="s">
        <v>562</v>
      </c>
      <c r="X564" s="718"/>
      <c r="Y564" s="719"/>
      <c r="Z564" s="719"/>
      <c r="AA564" s="720"/>
      <c r="AB564" s="691"/>
    </row>
    <row r="565" spans="1:34" ht="12" customHeight="1" x14ac:dyDescent="0.2">
      <c r="A565" s="4"/>
      <c r="B565" s="692" t="s">
        <v>878</v>
      </c>
      <c r="C565" s="747"/>
      <c r="D565" s="747"/>
      <c r="E565" s="747"/>
      <c r="F565" s="383">
        <f>13.34*X2</f>
        <v>14460.56</v>
      </c>
      <c r="G565" s="319">
        <f t="shared" ref="G565:G566" si="1598">+F565*$X$1</f>
        <v>14460.56</v>
      </c>
      <c r="H565" s="102"/>
      <c r="I565" s="319"/>
      <c r="J565" s="102">
        <f>F565+810</f>
        <v>15270.56</v>
      </c>
      <c r="K565" s="319">
        <f t="shared" ref="K565" si="1599">+J565*$X$1</f>
        <v>15270.56</v>
      </c>
      <c r="L565" s="102">
        <f t="shared" ref="L565:L569" si="1600">F565+500</f>
        <v>14960.56</v>
      </c>
      <c r="M565" s="319">
        <f t="shared" ref="M565:M566" si="1601">+L565*$X$1</f>
        <v>14960.56</v>
      </c>
      <c r="N565" s="102">
        <f t="shared" ref="N565:N569" si="1602">F565+430</f>
        <v>14890.56</v>
      </c>
      <c r="O565" s="319">
        <f t="shared" ref="O565:O566" si="1603">+N565*$X$1</f>
        <v>14890.56</v>
      </c>
      <c r="P565" s="102">
        <f t="shared" ref="P565:P569" si="1604">F565+390</f>
        <v>14850.56</v>
      </c>
      <c r="Q565" s="319">
        <f t="shared" ref="Q565:Q566" si="1605">+P565*$X$1</f>
        <v>14850.56</v>
      </c>
      <c r="R565" s="102">
        <f t="shared" ref="R565:R569" si="1606">F565+360</f>
        <v>14820.56</v>
      </c>
      <c r="S565" s="319">
        <f t="shared" ref="S565:S566" si="1607">+R565*$X$1</f>
        <v>14820.56</v>
      </c>
      <c r="T565" s="102">
        <f t="shared" ref="T565:T569" si="1608">F565+320</f>
        <v>14780.56</v>
      </c>
      <c r="U565" s="319">
        <f t="shared" ref="U565:U566" si="1609">+T565*$X$1</f>
        <v>14780.56</v>
      </c>
      <c r="V565" s="102">
        <f t="shared" ref="V565:V569" si="1610">F565+280</f>
        <v>14740.56</v>
      </c>
      <c r="W565" s="319">
        <f t="shared" ref="W565:W566" si="1611">+V565*$X$1</f>
        <v>14740.56</v>
      </c>
      <c r="X565" s="139"/>
      <c r="Y565" s="134"/>
      <c r="Z565" s="140"/>
      <c r="AA565" s="141"/>
      <c r="AB565" s="403">
        <v>533</v>
      </c>
    </row>
    <row r="566" spans="1:34" ht="12" customHeight="1" x14ac:dyDescent="0.2">
      <c r="A566" s="4"/>
      <c r="B566" s="752" t="s">
        <v>966</v>
      </c>
      <c r="C566" s="753"/>
      <c r="D566" s="753"/>
      <c r="E566" s="753"/>
      <c r="F566" s="384">
        <f>6.6*X2</f>
        <v>7154.4</v>
      </c>
      <c r="G566" s="306">
        <f t="shared" si="1598"/>
        <v>7154.4</v>
      </c>
      <c r="H566" s="103"/>
      <c r="I566" s="306"/>
      <c r="J566" s="103"/>
      <c r="K566" s="306"/>
      <c r="L566" s="103">
        <f t="shared" ref="L566" si="1612">F566+500</f>
        <v>7654.4</v>
      </c>
      <c r="M566" s="306">
        <f t="shared" si="1601"/>
        <v>7654.4</v>
      </c>
      <c r="N566" s="103">
        <f t="shared" ref="N566" si="1613">F566+430</f>
        <v>7584.4</v>
      </c>
      <c r="O566" s="306">
        <f t="shared" si="1603"/>
        <v>7584.4</v>
      </c>
      <c r="P566" s="103">
        <f t="shared" ref="P566" si="1614">F566+390</f>
        <v>7544.4</v>
      </c>
      <c r="Q566" s="306">
        <f t="shared" si="1605"/>
        <v>7544.4</v>
      </c>
      <c r="R566" s="103">
        <f t="shared" ref="R566" si="1615">F566+360</f>
        <v>7514.4</v>
      </c>
      <c r="S566" s="306">
        <f t="shared" si="1607"/>
        <v>7514.4</v>
      </c>
      <c r="T566" s="103">
        <f t="shared" ref="T566" si="1616">F566+320</f>
        <v>7474.4</v>
      </c>
      <c r="U566" s="306">
        <f t="shared" si="1609"/>
        <v>7474.4</v>
      </c>
      <c r="V566" s="103">
        <f t="shared" ref="V566" si="1617">F566+280</f>
        <v>7434.4</v>
      </c>
      <c r="W566" s="306">
        <f t="shared" si="1611"/>
        <v>7434.4</v>
      </c>
      <c r="X566" s="139"/>
      <c r="Y566" s="134"/>
      <c r="Z566" s="140"/>
      <c r="AA566" s="141"/>
      <c r="AB566" s="417">
        <v>556</v>
      </c>
    </row>
    <row r="567" spans="1:34" ht="12" customHeight="1" x14ac:dyDescent="0.2">
      <c r="A567" s="4"/>
      <c r="B567" s="752" t="s">
        <v>881</v>
      </c>
      <c r="C567" s="753"/>
      <c r="D567" s="753"/>
      <c r="E567" s="753"/>
      <c r="F567" s="383">
        <f>7.82*X2</f>
        <v>8476.880000000001</v>
      </c>
      <c r="G567" s="319">
        <f t="shared" ref="G567" si="1618">+F567*$X$1</f>
        <v>8476.880000000001</v>
      </c>
      <c r="H567" s="102"/>
      <c r="I567" s="319"/>
      <c r="J567" s="102"/>
      <c r="K567" s="319"/>
      <c r="L567" s="102">
        <f t="shared" si="1600"/>
        <v>8976.880000000001</v>
      </c>
      <c r="M567" s="319">
        <f t="shared" ref="M567:M569" si="1619">+L567*$X$1</f>
        <v>8976.880000000001</v>
      </c>
      <c r="N567" s="102">
        <f t="shared" si="1602"/>
        <v>8906.880000000001</v>
      </c>
      <c r="O567" s="319">
        <f t="shared" ref="O567:O569" si="1620">+N567*$X$1</f>
        <v>8906.880000000001</v>
      </c>
      <c r="P567" s="102">
        <f t="shared" si="1604"/>
        <v>8866.880000000001</v>
      </c>
      <c r="Q567" s="319">
        <f t="shared" ref="Q567:Q569" si="1621">+P567*$X$1</f>
        <v>8866.880000000001</v>
      </c>
      <c r="R567" s="102">
        <f t="shared" si="1606"/>
        <v>8836.880000000001</v>
      </c>
      <c r="S567" s="319">
        <f t="shared" ref="S567:S569" si="1622">+R567*$X$1</f>
        <v>8836.880000000001</v>
      </c>
      <c r="T567" s="102">
        <f t="shared" si="1608"/>
        <v>8796.880000000001</v>
      </c>
      <c r="U567" s="319">
        <f t="shared" ref="U567:U569" si="1623">+T567*$X$1</f>
        <v>8796.880000000001</v>
      </c>
      <c r="V567" s="102">
        <f t="shared" si="1610"/>
        <v>8756.880000000001</v>
      </c>
      <c r="W567" s="319">
        <f t="shared" ref="W567:W569" si="1624">+V567*$X$1</f>
        <v>8756.880000000001</v>
      </c>
      <c r="X567" s="139"/>
      <c r="Y567" s="134"/>
      <c r="Z567" s="140"/>
      <c r="AA567" s="141"/>
      <c r="AB567" s="417">
        <v>566</v>
      </c>
    </row>
    <row r="568" spans="1:34" ht="12" customHeight="1" x14ac:dyDescent="0.2">
      <c r="A568" s="4"/>
      <c r="B568" s="752" t="s">
        <v>882</v>
      </c>
      <c r="C568" s="753"/>
      <c r="D568" s="753"/>
      <c r="E568" s="753"/>
      <c r="F568" s="384">
        <f>9.65*X2</f>
        <v>10460.6</v>
      </c>
      <c r="G568" s="306">
        <f t="shared" ref="G568" si="1625">+F568*$X$1</f>
        <v>10460.6</v>
      </c>
      <c r="H568" s="103"/>
      <c r="I568" s="306"/>
      <c r="J568" s="103"/>
      <c r="K568" s="306"/>
      <c r="L568" s="103">
        <f t="shared" si="1600"/>
        <v>10960.6</v>
      </c>
      <c r="M568" s="306">
        <f t="shared" si="1619"/>
        <v>10960.6</v>
      </c>
      <c r="N568" s="103">
        <f t="shared" si="1602"/>
        <v>10890.6</v>
      </c>
      <c r="O568" s="306">
        <f t="shared" si="1620"/>
        <v>10890.6</v>
      </c>
      <c r="P568" s="103">
        <f t="shared" si="1604"/>
        <v>10850.6</v>
      </c>
      <c r="Q568" s="306">
        <f t="shared" si="1621"/>
        <v>10850.6</v>
      </c>
      <c r="R568" s="103">
        <f t="shared" si="1606"/>
        <v>10820.6</v>
      </c>
      <c r="S568" s="306">
        <f t="shared" si="1622"/>
        <v>10820.6</v>
      </c>
      <c r="T568" s="103">
        <f t="shared" si="1608"/>
        <v>10780.6</v>
      </c>
      <c r="U568" s="306">
        <f t="shared" si="1623"/>
        <v>10780.6</v>
      </c>
      <c r="V568" s="103">
        <f t="shared" si="1610"/>
        <v>10740.6</v>
      </c>
      <c r="W568" s="306">
        <f t="shared" si="1624"/>
        <v>10740.6</v>
      </c>
      <c r="X568" s="139"/>
      <c r="Y568" s="134"/>
      <c r="Z568" s="140"/>
      <c r="AA568" s="141"/>
      <c r="AB568" s="417">
        <v>567</v>
      </c>
    </row>
    <row r="569" spans="1:34" ht="12" customHeight="1" x14ac:dyDescent="0.2">
      <c r="A569" s="4"/>
      <c r="B569" s="752" t="s">
        <v>883</v>
      </c>
      <c r="C569" s="753"/>
      <c r="D569" s="753"/>
      <c r="E569" s="753"/>
      <c r="F569" s="383">
        <f>9.36*X2</f>
        <v>10146.24</v>
      </c>
      <c r="G569" s="319">
        <f t="shared" ref="G569" si="1626">+F569*$X$1</f>
        <v>10146.24</v>
      </c>
      <c r="H569" s="102"/>
      <c r="I569" s="319"/>
      <c r="J569" s="102"/>
      <c r="K569" s="319"/>
      <c r="L569" s="102">
        <f t="shared" si="1600"/>
        <v>10646.24</v>
      </c>
      <c r="M569" s="319">
        <f t="shared" si="1619"/>
        <v>10646.24</v>
      </c>
      <c r="N569" s="102">
        <f t="shared" si="1602"/>
        <v>10576.24</v>
      </c>
      <c r="O569" s="319">
        <f t="shared" si="1620"/>
        <v>10576.24</v>
      </c>
      <c r="P569" s="102">
        <f t="shared" si="1604"/>
        <v>10536.24</v>
      </c>
      <c r="Q569" s="319">
        <f t="shared" si="1621"/>
        <v>10536.24</v>
      </c>
      <c r="R569" s="102">
        <f t="shared" si="1606"/>
        <v>10506.24</v>
      </c>
      <c r="S569" s="319">
        <f t="shared" si="1622"/>
        <v>10506.24</v>
      </c>
      <c r="T569" s="102">
        <f t="shared" si="1608"/>
        <v>10466.24</v>
      </c>
      <c r="U569" s="319">
        <f t="shared" si="1623"/>
        <v>10466.24</v>
      </c>
      <c r="V569" s="102">
        <f t="shared" si="1610"/>
        <v>10426.24</v>
      </c>
      <c r="W569" s="319">
        <f t="shared" si="1624"/>
        <v>10426.24</v>
      </c>
      <c r="X569" s="139"/>
      <c r="Y569" s="134"/>
      <c r="Z569" s="140"/>
      <c r="AA569" s="141"/>
      <c r="AB569" s="417">
        <v>569</v>
      </c>
    </row>
    <row r="570" spans="1:34" ht="12" customHeight="1" x14ac:dyDescent="0.2">
      <c r="A570" s="4"/>
      <c r="B570" s="696" t="s">
        <v>748</v>
      </c>
      <c r="C570" s="697"/>
      <c r="D570" s="697"/>
      <c r="E570" s="697"/>
      <c r="F570" s="384">
        <f>28.12*X2</f>
        <v>30482.080000000002</v>
      </c>
      <c r="G570" s="306">
        <f t="shared" ref="G570:K570" si="1627">+F570*$X$1</f>
        <v>30482.080000000002</v>
      </c>
      <c r="H570" s="103">
        <f>F570+4000</f>
        <v>34482.080000000002</v>
      </c>
      <c r="I570" s="306">
        <f t="shared" si="1627"/>
        <v>34482.080000000002</v>
      </c>
      <c r="J570" s="103">
        <f>F570+810</f>
        <v>31292.080000000002</v>
      </c>
      <c r="K570" s="306">
        <f t="shared" si="1627"/>
        <v>31292.080000000002</v>
      </c>
      <c r="L570" s="103">
        <f>F570+500</f>
        <v>30982.080000000002</v>
      </c>
      <c r="M570" s="306">
        <f t="shared" ref="M570" si="1628">+L570*$X$1</f>
        <v>30982.080000000002</v>
      </c>
      <c r="N570" s="103">
        <f>F570+430</f>
        <v>30912.080000000002</v>
      </c>
      <c r="O570" s="306">
        <f t="shared" ref="O570" si="1629">+N570*$X$1</f>
        <v>30912.080000000002</v>
      </c>
      <c r="P570" s="103">
        <f>F570+390</f>
        <v>30872.080000000002</v>
      </c>
      <c r="Q570" s="306">
        <f t="shared" ref="Q570" si="1630">+P570*$X$1</f>
        <v>30872.080000000002</v>
      </c>
      <c r="R570" s="103">
        <f>F570+360</f>
        <v>30842.080000000002</v>
      </c>
      <c r="S570" s="306">
        <f t="shared" ref="S570" si="1631">+R570*$X$1</f>
        <v>30842.080000000002</v>
      </c>
      <c r="T570" s="103">
        <f>F570+320</f>
        <v>30802.080000000002</v>
      </c>
      <c r="U570" s="306">
        <f t="shared" ref="U570" si="1632">+T570*$X$1</f>
        <v>30802.080000000002</v>
      </c>
      <c r="V570" s="103">
        <f>F570+280</f>
        <v>30762.080000000002</v>
      </c>
      <c r="W570" s="306">
        <f t="shared" ref="W570" si="1633">+V570*$X$1</f>
        <v>30762.080000000002</v>
      </c>
      <c r="X570" s="139"/>
      <c r="Y570" s="134"/>
      <c r="Z570" s="140"/>
      <c r="AA570" s="141"/>
      <c r="AB570" s="417">
        <v>570</v>
      </c>
    </row>
    <row r="571" spans="1:34" ht="12" customHeight="1" x14ac:dyDescent="0.2">
      <c r="A571" s="4"/>
      <c r="B571" s="752" t="s">
        <v>962</v>
      </c>
      <c r="C571" s="753"/>
      <c r="D571" s="753"/>
      <c r="E571" s="753"/>
      <c r="F571" s="383">
        <v>5320</v>
      </c>
      <c r="G571" s="319">
        <f>+F571*$X$1</f>
        <v>5320</v>
      </c>
      <c r="H571" s="102"/>
      <c r="I571" s="319"/>
      <c r="J571" s="102"/>
      <c r="K571" s="319"/>
      <c r="L571" s="102"/>
      <c r="M571" s="319"/>
      <c r="N571" s="102"/>
      <c r="O571" s="319"/>
      <c r="P571" s="102"/>
      <c r="Q571" s="319"/>
      <c r="R571" s="102">
        <f t="shared" ref="R571" si="1634">F571+360</f>
        <v>5680</v>
      </c>
      <c r="S571" s="319">
        <f>+R571*$X$1</f>
        <v>5680</v>
      </c>
      <c r="T571" s="102">
        <f t="shared" ref="T571" si="1635">F571+320</f>
        <v>5640</v>
      </c>
      <c r="U571" s="319">
        <f>+T571*$X$1</f>
        <v>5640</v>
      </c>
      <c r="V571" s="102">
        <f t="shared" ref="V571" si="1636">F571+280</f>
        <v>5600</v>
      </c>
      <c r="W571" s="319">
        <f>+V571*$X$1</f>
        <v>5600</v>
      </c>
      <c r="X571" s="139"/>
      <c r="Y571" s="134"/>
      <c r="Z571" s="140"/>
      <c r="AA571" s="141"/>
      <c r="AB571" s="403">
        <v>572</v>
      </c>
    </row>
    <row r="572" spans="1:34" ht="12" customHeight="1" x14ac:dyDescent="0.2">
      <c r="A572" s="4"/>
      <c r="B572" s="696" t="s">
        <v>961</v>
      </c>
      <c r="C572" s="697"/>
      <c r="D572" s="697"/>
      <c r="E572" s="697"/>
      <c r="F572" s="384">
        <f>5.08*X2</f>
        <v>5506.72</v>
      </c>
      <c r="G572" s="306">
        <f t="shared" ref="G572" si="1637">+F572*$X$1</f>
        <v>5506.72</v>
      </c>
      <c r="H572" s="103"/>
      <c r="I572" s="306"/>
      <c r="J572" s="103"/>
      <c r="K572" s="306"/>
      <c r="L572" s="103"/>
      <c r="M572" s="306"/>
      <c r="N572" s="103">
        <f>F572+430</f>
        <v>5936.72</v>
      </c>
      <c r="O572" s="306">
        <f t="shared" ref="O572:O575" si="1638">+N572*$X$1</f>
        <v>5936.72</v>
      </c>
      <c r="P572" s="103">
        <f>F572+390</f>
        <v>5896.72</v>
      </c>
      <c r="Q572" s="306">
        <f t="shared" ref="Q572:Q575" si="1639">+P572*$X$1</f>
        <v>5896.72</v>
      </c>
      <c r="R572" s="103">
        <f>F572+360</f>
        <v>5866.72</v>
      </c>
      <c r="S572" s="306">
        <f t="shared" ref="S572:S575" si="1640">+R572*$X$1</f>
        <v>5866.72</v>
      </c>
      <c r="T572" s="103">
        <f>F572+320</f>
        <v>5826.72</v>
      </c>
      <c r="U572" s="306">
        <f t="shared" ref="U572:U575" si="1641">+T572*$X$1</f>
        <v>5826.72</v>
      </c>
      <c r="V572" s="103">
        <f>F572+280</f>
        <v>5786.72</v>
      </c>
      <c r="W572" s="306">
        <f t="shared" ref="W572:W575" si="1642">+V572*$X$1</f>
        <v>5786.72</v>
      </c>
      <c r="X572" s="139"/>
      <c r="Y572" s="134"/>
      <c r="Z572" s="140"/>
      <c r="AA572" s="141"/>
      <c r="AB572" s="403" t="s">
        <v>789</v>
      </c>
    </row>
    <row r="573" spans="1:34" ht="12" customHeight="1" x14ac:dyDescent="0.2">
      <c r="A573" s="4"/>
      <c r="B573" s="752" t="s">
        <v>910</v>
      </c>
      <c r="C573" s="753"/>
      <c r="D573" s="753"/>
      <c r="E573" s="753"/>
      <c r="F573" s="383">
        <f>1.7*X2</f>
        <v>1842.8</v>
      </c>
      <c r="G573" s="319">
        <f t="shared" ref="G573" si="1643">+F573*$X$1</f>
        <v>1842.8</v>
      </c>
      <c r="H573" s="102"/>
      <c r="I573" s="319"/>
      <c r="J573" s="102"/>
      <c r="K573" s="319"/>
      <c r="L573" s="102"/>
      <c r="M573" s="319"/>
      <c r="N573" s="102">
        <f>F573+430</f>
        <v>2272.8000000000002</v>
      </c>
      <c r="O573" s="319">
        <f t="shared" ref="O573" si="1644">+N573*$X$1</f>
        <v>2272.8000000000002</v>
      </c>
      <c r="P573" s="102">
        <f>F573+390</f>
        <v>2232.8000000000002</v>
      </c>
      <c r="Q573" s="319">
        <f t="shared" ref="Q573" si="1645">+P573*$X$1</f>
        <v>2232.8000000000002</v>
      </c>
      <c r="R573" s="102">
        <f>F573+360</f>
        <v>2202.8000000000002</v>
      </c>
      <c r="S573" s="319">
        <f t="shared" ref="S573" si="1646">+R573*$X$1</f>
        <v>2202.8000000000002</v>
      </c>
      <c r="T573" s="102">
        <f>F573+320</f>
        <v>2162.8000000000002</v>
      </c>
      <c r="U573" s="319">
        <f t="shared" ref="U573" si="1647">+T573*$X$1</f>
        <v>2162.8000000000002</v>
      </c>
      <c r="V573" s="102">
        <f>F573+280</f>
        <v>2122.8000000000002</v>
      </c>
      <c r="W573" s="319">
        <f t="shared" ref="W573" si="1648">+V573*$X$1</f>
        <v>2122.8000000000002</v>
      </c>
      <c r="X573" s="139"/>
      <c r="Y573" s="134"/>
      <c r="Z573" s="140"/>
      <c r="AA573" s="141"/>
      <c r="AB573" s="403">
        <v>575</v>
      </c>
    </row>
    <row r="574" spans="1:34" ht="12" customHeight="1" x14ac:dyDescent="0.2">
      <c r="A574" s="4"/>
      <c r="B574" s="696" t="s">
        <v>738</v>
      </c>
      <c r="C574" s="697"/>
      <c r="D574" s="697"/>
      <c r="E574" s="697"/>
      <c r="F574" s="516">
        <v>20310</v>
      </c>
      <c r="G574" s="306">
        <f t="shared" ref="G574" si="1649">+F574*$X$1</f>
        <v>20310</v>
      </c>
      <c r="H574" s="103"/>
      <c r="I574" s="306"/>
      <c r="J574" s="103">
        <f>F574+810</f>
        <v>21120</v>
      </c>
      <c r="K574" s="306">
        <f t="shared" ref="K574:K575" si="1650">+J574*$X$1</f>
        <v>21120</v>
      </c>
      <c r="L574" s="103">
        <f>F574+500</f>
        <v>20810</v>
      </c>
      <c r="M574" s="306">
        <f t="shared" ref="M574:M575" si="1651">+L574*$X$1</f>
        <v>20810</v>
      </c>
      <c r="N574" s="103">
        <f>F574+430</f>
        <v>20740</v>
      </c>
      <c r="O574" s="306">
        <f t="shared" si="1638"/>
        <v>20740</v>
      </c>
      <c r="P574" s="103">
        <f>F574+390</f>
        <v>20700</v>
      </c>
      <c r="Q574" s="306">
        <f t="shared" si="1639"/>
        <v>20700</v>
      </c>
      <c r="R574" s="103">
        <f>F574+360</f>
        <v>20670</v>
      </c>
      <c r="S574" s="306">
        <f t="shared" si="1640"/>
        <v>20670</v>
      </c>
      <c r="T574" s="103">
        <f>F574+320</f>
        <v>20630</v>
      </c>
      <c r="U574" s="306">
        <f t="shared" si="1641"/>
        <v>20630</v>
      </c>
      <c r="V574" s="103">
        <f>F574+280</f>
        <v>20590</v>
      </c>
      <c r="W574" s="306">
        <f t="shared" si="1642"/>
        <v>20590</v>
      </c>
      <c r="X574" s="139"/>
      <c r="Y574" s="134"/>
      <c r="Z574" s="140"/>
      <c r="AA574" s="141"/>
      <c r="AB574" s="403">
        <v>577</v>
      </c>
    </row>
    <row r="575" spans="1:34" ht="12" customHeight="1" x14ac:dyDescent="0.2">
      <c r="A575" s="4"/>
      <c r="B575" s="692" t="s">
        <v>737</v>
      </c>
      <c r="C575" s="747"/>
      <c r="D575" s="747"/>
      <c r="E575" s="747"/>
      <c r="F575" s="383">
        <f>29.9*X2</f>
        <v>32411.599999999999</v>
      </c>
      <c r="G575" s="319">
        <f>+F575*$X$1</f>
        <v>32411.599999999999</v>
      </c>
      <c r="H575" s="102">
        <f>F575+4000</f>
        <v>36411.599999999999</v>
      </c>
      <c r="I575" s="319">
        <f t="shared" ref="I575" si="1652">+H575*$X$1</f>
        <v>36411.599999999999</v>
      </c>
      <c r="J575" s="102">
        <f>F575+810</f>
        <v>33221.599999999999</v>
      </c>
      <c r="K575" s="319">
        <f t="shared" si="1650"/>
        <v>33221.599999999999</v>
      </c>
      <c r="L575" s="102">
        <f>F575+500</f>
        <v>32911.599999999999</v>
      </c>
      <c r="M575" s="319">
        <f t="shared" si="1651"/>
        <v>32911.599999999999</v>
      </c>
      <c r="N575" s="102">
        <f>F575+430</f>
        <v>32841.599999999999</v>
      </c>
      <c r="O575" s="319">
        <f t="shared" si="1638"/>
        <v>32841.599999999999</v>
      </c>
      <c r="P575" s="102">
        <f>F575+390</f>
        <v>32801.599999999999</v>
      </c>
      <c r="Q575" s="319">
        <f t="shared" si="1639"/>
        <v>32801.599999999999</v>
      </c>
      <c r="R575" s="102">
        <f>F575+360</f>
        <v>32771.599999999999</v>
      </c>
      <c r="S575" s="319">
        <f t="shared" si="1640"/>
        <v>32771.599999999999</v>
      </c>
      <c r="T575" s="102">
        <f>F575+320</f>
        <v>32731.599999999999</v>
      </c>
      <c r="U575" s="319">
        <f t="shared" si="1641"/>
        <v>32731.599999999999</v>
      </c>
      <c r="V575" s="102">
        <f>F575+280</f>
        <v>32691.599999999999</v>
      </c>
      <c r="W575" s="319">
        <f t="shared" si="1642"/>
        <v>32691.599999999999</v>
      </c>
      <c r="X575" s="139"/>
      <c r="Y575" s="134"/>
      <c r="Z575" s="140"/>
      <c r="AA575" s="141"/>
      <c r="AB575" s="403">
        <v>580</v>
      </c>
    </row>
    <row r="576" spans="1:34" ht="12" customHeight="1" x14ac:dyDescent="0.2">
      <c r="A576" s="4"/>
      <c r="B576" s="677" t="s">
        <v>736</v>
      </c>
      <c r="C576" s="702"/>
      <c r="D576" s="702"/>
      <c r="E576" s="702"/>
      <c r="F576" s="382">
        <f>28.7*X2</f>
        <v>31110.799999999999</v>
      </c>
      <c r="G576" s="287">
        <f>+F576*$X$1</f>
        <v>31110.799999999999</v>
      </c>
      <c r="H576" s="103">
        <f t="shared" ref="H576:H578" si="1653">F576+4000</f>
        <v>35110.800000000003</v>
      </c>
      <c r="I576" s="306">
        <f t="shared" ref="I576:I578" si="1654">+H576*$X$1</f>
        <v>35110.800000000003</v>
      </c>
      <c r="J576" s="103">
        <f t="shared" ref="J576:J578" si="1655">F576+810</f>
        <v>31920.799999999999</v>
      </c>
      <c r="K576" s="306">
        <f t="shared" ref="K576:K578" si="1656">+J576*$X$1</f>
        <v>31920.799999999999</v>
      </c>
      <c r="L576" s="103">
        <f t="shared" ref="L576:L578" si="1657">F576+500</f>
        <v>31610.799999999999</v>
      </c>
      <c r="M576" s="306">
        <f t="shared" ref="M576:M578" si="1658">+L576*$X$1</f>
        <v>31610.799999999999</v>
      </c>
      <c r="N576" s="103">
        <f t="shared" ref="N576:N578" si="1659">F576+430</f>
        <v>31540.799999999999</v>
      </c>
      <c r="O576" s="306">
        <f t="shared" ref="O576:O578" si="1660">+N576*$X$1</f>
        <v>31540.799999999999</v>
      </c>
      <c r="P576" s="103">
        <f t="shared" ref="P576:P578" si="1661">F576+390</f>
        <v>31500.799999999999</v>
      </c>
      <c r="Q576" s="306">
        <f t="shared" ref="Q576:Q578" si="1662">+P576*$X$1</f>
        <v>31500.799999999999</v>
      </c>
      <c r="R576" s="103">
        <f t="shared" ref="R576:R578" si="1663">F576+360</f>
        <v>31470.799999999999</v>
      </c>
      <c r="S576" s="306">
        <f t="shared" ref="S576:S578" si="1664">+R576*$X$1</f>
        <v>31470.799999999999</v>
      </c>
      <c r="T576" s="103">
        <f t="shared" ref="T576:T578" si="1665">F576+320</f>
        <v>31430.799999999999</v>
      </c>
      <c r="U576" s="306">
        <f t="shared" ref="U576:U578" si="1666">+T576*$X$1</f>
        <v>31430.799999999999</v>
      </c>
      <c r="V576" s="103">
        <f t="shared" ref="V576:V578" si="1667">F576+280</f>
        <v>31390.799999999999</v>
      </c>
      <c r="W576" s="306">
        <f t="shared" ref="W576:W578" si="1668">+V576*$X$1</f>
        <v>31390.799999999999</v>
      </c>
      <c r="X576" s="139"/>
      <c r="Y576" s="134"/>
      <c r="Z576" s="140"/>
      <c r="AA576" s="141"/>
      <c r="AB576" s="403">
        <v>582</v>
      </c>
    </row>
    <row r="577" spans="1:28" ht="12" customHeight="1" x14ac:dyDescent="0.2">
      <c r="A577" s="4"/>
      <c r="B577" s="692" t="s">
        <v>735</v>
      </c>
      <c r="C577" s="747"/>
      <c r="D577" s="747"/>
      <c r="E577" s="747"/>
      <c r="F577" s="515">
        <v>49980</v>
      </c>
      <c r="G577" s="319">
        <f>+F577*$X$1</f>
        <v>49980</v>
      </c>
      <c r="H577" s="102">
        <f t="shared" si="1653"/>
        <v>53980</v>
      </c>
      <c r="I577" s="319">
        <f t="shared" si="1654"/>
        <v>53980</v>
      </c>
      <c r="J577" s="102">
        <f t="shared" si="1655"/>
        <v>50790</v>
      </c>
      <c r="K577" s="319">
        <f t="shared" si="1656"/>
        <v>50790</v>
      </c>
      <c r="L577" s="102">
        <f t="shared" si="1657"/>
        <v>50480</v>
      </c>
      <c r="M577" s="319">
        <f t="shared" si="1658"/>
        <v>50480</v>
      </c>
      <c r="N577" s="102">
        <f t="shared" si="1659"/>
        <v>50410</v>
      </c>
      <c r="O577" s="319">
        <f t="shared" si="1660"/>
        <v>50410</v>
      </c>
      <c r="P577" s="102">
        <f t="shared" si="1661"/>
        <v>50370</v>
      </c>
      <c r="Q577" s="319">
        <f t="shared" si="1662"/>
        <v>50370</v>
      </c>
      <c r="R577" s="102">
        <f t="shared" si="1663"/>
        <v>50340</v>
      </c>
      <c r="S577" s="319">
        <f t="shared" si="1664"/>
        <v>50340</v>
      </c>
      <c r="T577" s="102">
        <f t="shared" si="1665"/>
        <v>50300</v>
      </c>
      <c r="U577" s="319">
        <f t="shared" si="1666"/>
        <v>50300</v>
      </c>
      <c r="V577" s="102">
        <f t="shared" si="1667"/>
        <v>50260</v>
      </c>
      <c r="W577" s="319">
        <f t="shared" si="1668"/>
        <v>50260</v>
      </c>
      <c r="X577" s="139"/>
      <c r="Y577" s="134"/>
      <c r="Z577" s="140"/>
      <c r="AA577" s="141"/>
      <c r="AB577" s="403">
        <v>584</v>
      </c>
    </row>
    <row r="578" spans="1:28" ht="12" customHeight="1" x14ac:dyDescent="0.2">
      <c r="A578" s="4"/>
      <c r="B578" s="759" t="s">
        <v>790</v>
      </c>
      <c r="C578" s="760"/>
      <c r="D578" s="760"/>
      <c r="E578" s="761"/>
      <c r="F578" s="382">
        <f>29.9*X2</f>
        <v>32411.599999999999</v>
      </c>
      <c r="G578" s="287">
        <f>+F578*$X$1</f>
        <v>32411.599999999999</v>
      </c>
      <c r="H578" s="103">
        <f t="shared" si="1653"/>
        <v>36411.599999999999</v>
      </c>
      <c r="I578" s="306">
        <f t="shared" si="1654"/>
        <v>36411.599999999999</v>
      </c>
      <c r="J578" s="103">
        <f t="shared" si="1655"/>
        <v>33221.599999999999</v>
      </c>
      <c r="K578" s="306">
        <f t="shared" si="1656"/>
        <v>33221.599999999999</v>
      </c>
      <c r="L578" s="103">
        <f t="shared" si="1657"/>
        <v>32911.599999999999</v>
      </c>
      <c r="M578" s="306">
        <f t="shared" si="1658"/>
        <v>32911.599999999999</v>
      </c>
      <c r="N578" s="103">
        <f t="shared" si="1659"/>
        <v>32841.599999999999</v>
      </c>
      <c r="O578" s="306">
        <f t="shared" si="1660"/>
        <v>32841.599999999999</v>
      </c>
      <c r="P578" s="103">
        <f t="shared" si="1661"/>
        <v>32801.599999999999</v>
      </c>
      <c r="Q578" s="306">
        <f t="shared" si="1662"/>
        <v>32801.599999999999</v>
      </c>
      <c r="R578" s="103">
        <f t="shared" si="1663"/>
        <v>32771.599999999999</v>
      </c>
      <c r="S578" s="306">
        <f t="shared" si="1664"/>
        <v>32771.599999999999</v>
      </c>
      <c r="T578" s="103">
        <f t="shared" si="1665"/>
        <v>32731.599999999999</v>
      </c>
      <c r="U578" s="306">
        <f t="shared" si="1666"/>
        <v>32731.599999999999</v>
      </c>
      <c r="V578" s="103">
        <f t="shared" si="1667"/>
        <v>32691.599999999999</v>
      </c>
      <c r="W578" s="306">
        <f t="shared" si="1668"/>
        <v>32691.599999999999</v>
      </c>
      <c r="X578" s="139"/>
      <c r="Y578" s="134"/>
      <c r="Z578" s="140"/>
      <c r="AA578" s="141"/>
      <c r="AB578" s="403">
        <v>586</v>
      </c>
    </row>
    <row r="579" spans="1:28" ht="12" customHeight="1" x14ac:dyDescent="0.2">
      <c r="A579" s="4"/>
      <c r="B579" s="756" t="s">
        <v>884</v>
      </c>
      <c r="C579" s="757"/>
      <c r="D579" s="757"/>
      <c r="E579" s="758"/>
      <c r="F579" s="515">
        <v>16013</v>
      </c>
      <c r="G579" s="319">
        <f t="shared" ref="G579" si="1669">+F579*$X$1</f>
        <v>16013</v>
      </c>
      <c r="H579" s="102"/>
      <c r="I579" s="319"/>
      <c r="J579" s="102"/>
      <c r="K579" s="319"/>
      <c r="L579" s="102">
        <f t="shared" ref="L579" si="1670">F579+500</f>
        <v>16513</v>
      </c>
      <c r="M579" s="319">
        <f t="shared" ref="M579" si="1671">+L579*$X$1</f>
        <v>16513</v>
      </c>
      <c r="N579" s="102">
        <f t="shared" ref="N579" si="1672">F579+430</f>
        <v>16443</v>
      </c>
      <c r="O579" s="319">
        <f t="shared" ref="O579" si="1673">+N579*$X$1</f>
        <v>16443</v>
      </c>
      <c r="P579" s="102">
        <f t="shared" ref="P579" si="1674">F579+390</f>
        <v>16403</v>
      </c>
      <c r="Q579" s="319">
        <f t="shared" ref="Q579" si="1675">+P579*$X$1</f>
        <v>16403</v>
      </c>
      <c r="R579" s="102">
        <f t="shared" ref="R579" si="1676">F579+360</f>
        <v>16373</v>
      </c>
      <c r="S579" s="319">
        <f t="shared" ref="S579" si="1677">+R579*$X$1</f>
        <v>16373</v>
      </c>
      <c r="T579" s="102">
        <f t="shared" ref="T579" si="1678">F579+320</f>
        <v>16333</v>
      </c>
      <c r="U579" s="319">
        <f t="shared" ref="U579" si="1679">+T579*$X$1</f>
        <v>16333</v>
      </c>
      <c r="V579" s="102">
        <f t="shared" ref="V579" si="1680">F579+280</f>
        <v>16293</v>
      </c>
      <c r="W579" s="319">
        <f t="shared" ref="W579" si="1681">+V579*$X$1</f>
        <v>16293</v>
      </c>
      <c r="X579" s="139"/>
      <c r="Y579" s="134"/>
      <c r="Z579" s="140"/>
      <c r="AA579" s="141"/>
      <c r="AB579" s="403">
        <v>590</v>
      </c>
    </row>
    <row r="580" spans="1:28" ht="12" customHeight="1" x14ac:dyDescent="0.2">
      <c r="A580" s="4"/>
      <c r="B580" s="723" t="s">
        <v>894</v>
      </c>
      <c r="C580" s="724"/>
      <c r="D580" s="724"/>
      <c r="E580" s="725"/>
      <c r="F580" s="382">
        <f>6.28*X2</f>
        <v>6807.52</v>
      </c>
      <c r="G580" s="287">
        <f>+F580*$X$1</f>
        <v>6807.52</v>
      </c>
      <c r="H580" s="103">
        <f t="shared" ref="H580" si="1682">F580+4000</f>
        <v>10807.52</v>
      </c>
      <c r="I580" s="306">
        <f t="shared" ref="I580" si="1683">+H580*$X$1</f>
        <v>10807.52</v>
      </c>
      <c r="J580" s="103">
        <f t="shared" ref="J580" si="1684">F580+810</f>
        <v>7617.52</v>
      </c>
      <c r="K580" s="306">
        <f t="shared" ref="K580" si="1685">+J580*$X$1</f>
        <v>7617.52</v>
      </c>
      <c r="L580" s="103">
        <f>F580+500</f>
        <v>7307.52</v>
      </c>
      <c r="M580" s="306">
        <f>+L580*$X$1</f>
        <v>7307.52</v>
      </c>
      <c r="N580" s="103">
        <f>F580+430</f>
        <v>7237.52</v>
      </c>
      <c r="O580" s="306">
        <f>+N580*$X$1</f>
        <v>7237.52</v>
      </c>
      <c r="P580" s="103">
        <f>F580+390</f>
        <v>7197.52</v>
      </c>
      <c r="Q580" s="306">
        <f>+P580*$X$1</f>
        <v>7197.52</v>
      </c>
      <c r="R580" s="103">
        <f>F580+360</f>
        <v>7167.52</v>
      </c>
      <c r="S580" s="306">
        <f>+R580*$X$1</f>
        <v>7167.52</v>
      </c>
      <c r="T580" s="103">
        <f>F580+320</f>
        <v>7127.52</v>
      </c>
      <c r="U580" s="306">
        <f>+T580*$X$1</f>
        <v>7127.52</v>
      </c>
      <c r="V580" s="103">
        <f>F580+280</f>
        <v>7087.52</v>
      </c>
      <c r="W580" s="306">
        <f>+V580*$X$1</f>
        <v>7087.52</v>
      </c>
      <c r="X580" s="139"/>
      <c r="Y580" s="134"/>
      <c r="Z580" s="140"/>
      <c r="AA580" s="141"/>
      <c r="AB580" s="192">
        <v>593</v>
      </c>
    </row>
    <row r="581" spans="1:28" ht="12" customHeight="1" x14ac:dyDescent="0.2">
      <c r="A581" s="4"/>
      <c r="B581" s="756" t="s">
        <v>747</v>
      </c>
      <c r="C581" s="757"/>
      <c r="D581" s="757"/>
      <c r="E581" s="758"/>
      <c r="F581" s="534">
        <v>31850</v>
      </c>
      <c r="G581" s="288">
        <f>+F581*$X$1</f>
        <v>31850</v>
      </c>
      <c r="H581" s="102"/>
      <c r="I581" s="319"/>
      <c r="J581" s="102">
        <f t="shared" ref="J581" si="1686">F581+810</f>
        <v>32660</v>
      </c>
      <c r="K581" s="319">
        <f t="shared" ref="K581" si="1687">+J581*$X$1</f>
        <v>32660</v>
      </c>
      <c r="L581" s="102">
        <f t="shared" ref="L581" si="1688">F581+500</f>
        <v>32350</v>
      </c>
      <c r="M581" s="319">
        <f t="shared" ref="M581" si="1689">+L581*$X$1</f>
        <v>32350</v>
      </c>
      <c r="N581" s="102">
        <f t="shared" ref="N581" si="1690">F581+430</f>
        <v>32280</v>
      </c>
      <c r="O581" s="319">
        <f t="shared" ref="O581" si="1691">+N581*$X$1</f>
        <v>32280</v>
      </c>
      <c r="P581" s="102">
        <f t="shared" ref="P581" si="1692">F581+390</f>
        <v>32240</v>
      </c>
      <c r="Q581" s="319">
        <f t="shared" ref="Q581" si="1693">+P581*$X$1</f>
        <v>32240</v>
      </c>
      <c r="R581" s="102">
        <f t="shared" ref="R581" si="1694">F581+360</f>
        <v>32210</v>
      </c>
      <c r="S581" s="319">
        <f t="shared" ref="S581" si="1695">+R581*$X$1</f>
        <v>32210</v>
      </c>
      <c r="T581" s="102">
        <f t="shared" ref="T581" si="1696">F581+320</f>
        <v>32170</v>
      </c>
      <c r="U581" s="319">
        <f t="shared" ref="U581" si="1697">+T581*$X$1</f>
        <v>32170</v>
      </c>
      <c r="V581" s="102">
        <f t="shared" ref="V581" si="1698">F581+280</f>
        <v>32130</v>
      </c>
      <c r="W581" s="319">
        <f t="shared" ref="W581" si="1699">+V581*$X$1</f>
        <v>32130</v>
      </c>
      <c r="X581" s="139"/>
      <c r="Y581" s="134"/>
      <c r="Z581" s="140"/>
      <c r="AA581" s="141"/>
      <c r="AB581" s="403">
        <v>599</v>
      </c>
    </row>
    <row r="582" spans="1:28" ht="12" customHeight="1" x14ac:dyDescent="0.2">
      <c r="A582" s="4"/>
      <c r="B582" s="759" t="s">
        <v>734</v>
      </c>
      <c r="C582" s="760"/>
      <c r="D582" s="760"/>
      <c r="E582" s="761"/>
      <c r="F582" s="379">
        <f>21.14*X2</f>
        <v>22915.760000000002</v>
      </c>
      <c r="G582" s="287">
        <f>+F582*$X$1</f>
        <v>22915.760000000002</v>
      </c>
      <c r="H582" s="103">
        <f t="shared" ref="H582" si="1700">F582+4000</f>
        <v>26915.760000000002</v>
      </c>
      <c r="I582" s="306">
        <f t="shared" ref="I582" si="1701">+H582*$X$1</f>
        <v>26915.760000000002</v>
      </c>
      <c r="J582" s="103">
        <f t="shared" ref="J582" si="1702">F582+810</f>
        <v>23725.760000000002</v>
      </c>
      <c r="K582" s="306">
        <f t="shared" ref="K582" si="1703">+J582*$X$1</f>
        <v>23725.760000000002</v>
      </c>
      <c r="L582" s="103">
        <f t="shared" ref="L582" si="1704">F582+500</f>
        <v>23415.760000000002</v>
      </c>
      <c r="M582" s="306">
        <f t="shared" ref="M582" si="1705">+L582*$X$1</f>
        <v>23415.760000000002</v>
      </c>
      <c r="N582" s="103">
        <f t="shared" ref="N582" si="1706">F582+430</f>
        <v>23345.760000000002</v>
      </c>
      <c r="O582" s="306">
        <f t="shared" ref="O582" si="1707">+N582*$X$1</f>
        <v>23345.760000000002</v>
      </c>
      <c r="P582" s="103">
        <f t="shared" ref="P582" si="1708">F582+390</f>
        <v>23305.760000000002</v>
      </c>
      <c r="Q582" s="306">
        <f t="shared" ref="Q582" si="1709">+P582*$X$1</f>
        <v>23305.760000000002</v>
      </c>
      <c r="R582" s="103">
        <f t="shared" ref="R582" si="1710">F582+360</f>
        <v>23275.760000000002</v>
      </c>
      <c r="S582" s="306">
        <f t="shared" ref="S582" si="1711">+R582*$X$1</f>
        <v>23275.760000000002</v>
      </c>
      <c r="T582" s="103">
        <f t="shared" ref="T582" si="1712">F582+320</f>
        <v>23235.760000000002</v>
      </c>
      <c r="U582" s="306">
        <f t="shared" ref="U582" si="1713">+T582*$X$1</f>
        <v>23235.760000000002</v>
      </c>
      <c r="V582" s="103">
        <f t="shared" ref="V582" si="1714">F582+280</f>
        <v>23195.760000000002</v>
      </c>
      <c r="W582" s="306">
        <f t="shared" ref="W582" si="1715">+V582*$X$1</f>
        <v>23195.760000000002</v>
      </c>
      <c r="X582" s="139"/>
      <c r="Y582" s="134"/>
      <c r="Z582" s="140"/>
      <c r="AA582" s="141"/>
      <c r="AB582" s="403">
        <v>600</v>
      </c>
    </row>
    <row r="583" spans="1:28" ht="12" customHeight="1" x14ac:dyDescent="0.2">
      <c r="A583" s="4"/>
      <c r="B583" s="756" t="s">
        <v>893</v>
      </c>
      <c r="C583" s="757"/>
      <c r="D583" s="757"/>
      <c r="E583" s="758"/>
      <c r="F583" s="381">
        <f>74.5*X2</f>
        <v>80758</v>
      </c>
      <c r="G583" s="288">
        <f t="shared" ref="G583" si="1716">+F583*$X$1</f>
        <v>80758</v>
      </c>
      <c r="H583" s="102">
        <f t="shared" ref="H583:H590" si="1717">F583+4000</f>
        <v>84758</v>
      </c>
      <c r="I583" s="319">
        <f t="shared" ref="I583:I590" si="1718">+H583*$X$1</f>
        <v>84758</v>
      </c>
      <c r="J583" s="102">
        <f t="shared" ref="J583:J590" si="1719">F583+810</f>
        <v>81568</v>
      </c>
      <c r="K583" s="319">
        <f t="shared" ref="K583:K590" si="1720">+J583*$X$1</f>
        <v>81568</v>
      </c>
      <c r="L583" s="102">
        <f t="shared" ref="L583:L590" si="1721">F583+500</f>
        <v>81258</v>
      </c>
      <c r="M583" s="319">
        <f t="shared" ref="M583:M590" si="1722">+L583*$X$1</f>
        <v>81258</v>
      </c>
      <c r="N583" s="102">
        <f t="shared" ref="N583:N590" si="1723">F583+430</f>
        <v>81188</v>
      </c>
      <c r="O583" s="319">
        <f t="shared" ref="O583:O590" si="1724">+N583*$X$1</f>
        <v>81188</v>
      </c>
      <c r="P583" s="102">
        <f t="shared" ref="P583:P590" si="1725">F583+390</f>
        <v>81148</v>
      </c>
      <c r="Q583" s="319">
        <f t="shared" ref="Q583:Q590" si="1726">+P583*$X$1</f>
        <v>81148</v>
      </c>
      <c r="R583" s="102">
        <f t="shared" ref="R583:R590" si="1727">F583+360</f>
        <v>81118</v>
      </c>
      <c r="S583" s="319">
        <f t="shared" ref="S583:S590" si="1728">+R583*$X$1</f>
        <v>81118</v>
      </c>
      <c r="T583" s="102">
        <f t="shared" ref="T583:T590" si="1729">F583+320</f>
        <v>81078</v>
      </c>
      <c r="U583" s="319">
        <f t="shared" ref="U583:U590" si="1730">+T583*$X$1</f>
        <v>81078</v>
      </c>
      <c r="V583" s="102">
        <f t="shared" ref="V583:V590" si="1731">F583+280</f>
        <v>81038</v>
      </c>
      <c r="W583" s="319">
        <f t="shared" ref="W583:W590" si="1732">+V583*$X$1</f>
        <v>81038</v>
      </c>
      <c r="X583" s="139"/>
      <c r="Y583" s="134"/>
      <c r="Z583" s="140"/>
      <c r="AA583" s="141"/>
      <c r="AB583" s="403">
        <v>605</v>
      </c>
    </row>
    <row r="584" spans="1:28" ht="12" customHeight="1" x14ac:dyDescent="0.2">
      <c r="A584" s="4"/>
      <c r="B584" s="723" t="s">
        <v>880</v>
      </c>
      <c r="C584" s="724"/>
      <c r="D584" s="724"/>
      <c r="E584" s="725"/>
      <c r="F584" s="382">
        <f>53.39*X2</f>
        <v>57874.76</v>
      </c>
      <c r="G584" s="287">
        <f>+F584*$X$1</f>
        <v>57874.76</v>
      </c>
      <c r="H584" s="103">
        <f t="shared" si="1717"/>
        <v>61874.76</v>
      </c>
      <c r="I584" s="306">
        <f t="shared" si="1718"/>
        <v>61874.76</v>
      </c>
      <c r="J584" s="103">
        <f t="shared" si="1719"/>
        <v>58684.76</v>
      </c>
      <c r="K584" s="306">
        <f t="shared" si="1720"/>
        <v>58684.76</v>
      </c>
      <c r="L584" s="103">
        <f t="shared" si="1721"/>
        <v>58374.76</v>
      </c>
      <c r="M584" s="306">
        <f t="shared" si="1722"/>
        <v>58374.76</v>
      </c>
      <c r="N584" s="103">
        <f t="shared" si="1723"/>
        <v>58304.76</v>
      </c>
      <c r="O584" s="306">
        <f t="shared" si="1724"/>
        <v>58304.76</v>
      </c>
      <c r="P584" s="103">
        <f t="shared" si="1725"/>
        <v>58264.76</v>
      </c>
      <c r="Q584" s="306">
        <f t="shared" si="1726"/>
        <v>58264.76</v>
      </c>
      <c r="R584" s="103">
        <f t="shared" si="1727"/>
        <v>58234.76</v>
      </c>
      <c r="S584" s="306">
        <f t="shared" si="1728"/>
        <v>58234.76</v>
      </c>
      <c r="T584" s="103">
        <f t="shared" si="1729"/>
        <v>58194.76</v>
      </c>
      <c r="U584" s="306">
        <f t="shared" si="1730"/>
        <v>58194.76</v>
      </c>
      <c r="V584" s="103">
        <f t="shared" si="1731"/>
        <v>58154.76</v>
      </c>
      <c r="W584" s="306">
        <f t="shared" si="1732"/>
        <v>58154.76</v>
      </c>
      <c r="X584" s="139"/>
      <c r="Y584" s="134"/>
      <c r="Z584" s="140"/>
      <c r="AA584" s="141"/>
      <c r="AB584" s="403">
        <v>608</v>
      </c>
    </row>
    <row r="585" spans="1:28" ht="12" customHeight="1" x14ac:dyDescent="0.2">
      <c r="A585" s="4"/>
      <c r="B585" s="756" t="s">
        <v>739</v>
      </c>
      <c r="C585" s="757"/>
      <c r="D585" s="757"/>
      <c r="E585" s="758"/>
      <c r="F585" s="381">
        <f>43.45*X2</f>
        <v>47099.8</v>
      </c>
      <c r="G585" s="288">
        <f t="shared" ref="G585:G587" si="1733">+F585*$X$1</f>
        <v>47099.8</v>
      </c>
      <c r="H585" s="102">
        <f t="shared" si="1717"/>
        <v>51099.8</v>
      </c>
      <c r="I585" s="319">
        <f t="shared" si="1718"/>
        <v>51099.8</v>
      </c>
      <c r="J585" s="102">
        <f t="shared" si="1719"/>
        <v>47909.8</v>
      </c>
      <c r="K585" s="319">
        <f t="shared" si="1720"/>
        <v>47909.8</v>
      </c>
      <c r="L585" s="102">
        <f t="shared" si="1721"/>
        <v>47599.8</v>
      </c>
      <c r="M585" s="319">
        <f t="shared" si="1722"/>
        <v>47599.8</v>
      </c>
      <c r="N585" s="102">
        <f t="shared" si="1723"/>
        <v>47529.8</v>
      </c>
      <c r="O585" s="319">
        <f t="shared" si="1724"/>
        <v>47529.8</v>
      </c>
      <c r="P585" s="102">
        <f t="shared" si="1725"/>
        <v>47489.8</v>
      </c>
      <c r="Q585" s="319">
        <f t="shared" si="1726"/>
        <v>47489.8</v>
      </c>
      <c r="R585" s="102">
        <f t="shared" si="1727"/>
        <v>47459.8</v>
      </c>
      <c r="S585" s="319">
        <f t="shared" si="1728"/>
        <v>47459.8</v>
      </c>
      <c r="T585" s="102">
        <f t="shared" si="1729"/>
        <v>47419.8</v>
      </c>
      <c r="U585" s="319">
        <f t="shared" si="1730"/>
        <v>47419.8</v>
      </c>
      <c r="V585" s="102">
        <f t="shared" si="1731"/>
        <v>47379.8</v>
      </c>
      <c r="W585" s="319">
        <f t="shared" si="1732"/>
        <v>47379.8</v>
      </c>
      <c r="X585" s="139"/>
      <c r="Y585" s="134"/>
      <c r="Z585" s="140"/>
      <c r="AA585" s="141"/>
      <c r="AB585" s="403">
        <v>609</v>
      </c>
    </row>
    <row r="586" spans="1:28" ht="12" customHeight="1" x14ac:dyDescent="0.2">
      <c r="A586" s="4"/>
      <c r="B586" s="759" t="s">
        <v>740</v>
      </c>
      <c r="C586" s="760"/>
      <c r="D586" s="760"/>
      <c r="E586" s="761"/>
      <c r="F586" s="382">
        <f>52.2*X2</f>
        <v>56584.800000000003</v>
      </c>
      <c r="G586" s="287">
        <f t="shared" si="1733"/>
        <v>56584.800000000003</v>
      </c>
      <c r="H586" s="103">
        <f t="shared" si="1717"/>
        <v>60584.800000000003</v>
      </c>
      <c r="I586" s="306">
        <f t="shared" si="1718"/>
        <v>60584.800000000003</v>
      </c>
      <c r="J586" s="103">
        <f t="shared" si="1719"/>
        <v>57394.8</v>
      </c>
      <c r="K586" s="306">
        <f t="shared" si="1720"/>
        <v>57394.8</v>
      </c>
      <c r="L586" s="103">
        <f t="shared" si="1721"/>
        <v>57084.800000000003</v>
      </c>
      <c r="M586" s="306">
        <f t="shared" si="1722"/>
        <v>57084.800000000003</v>
      </c>
      <c r="N586" s="103">
        <f t="shared" si="1723"/>
        <v>57014.8</v>
      </c>
      <c r="O586" s="306">
        <f t="shared" si="1724"/>
        <v>57014.8</v>
      </c>
      <c r="P586" s="103">
        <f t="shared" si="1725"/>
        <v>56974.8</v>
      </c>
      <c r="Q586" s="306">
        <f t="shared" si="1726"/>
        <v>56974.8</v>
      </c>
      <c r="R586" s="103">
        <f t="shared" si="1727"/>
        <v>56944.800000000003</v>
      </c>
      <c r="S586" s="306">
        <f t="shared" si="1728"/>
        <v>56944.800000000003</v>
      </c>
      <c r="T586" s="103">
        <f t="shared" si="1729"/>
        <v>56904.800000000003</v>
      </c>
      <c r="U586" s="306">
        <f t="shared" si="1730"/>
        <v>56904.800000000003</v>
      </c>
      <c r="V586" s="103">
        <f t="shared" si="1731"/>
        <v>56864.800000000003</v>
      </c>
      <c r="W586" s="306">
        <f t="shared" si="1732"/>
        <v>56864.800000000003</v>
      </c>
      <c r="X586" s="139"/>
      <c r="Y586" s="134"/>
      <c r="Z586" s="140"/>
      <c r="AA586" s="141"/>
      <c r="AB586" s="403">
        <v>611</v>
      </c>
    </row>
    <row r="587" spans="1:28" ht="12" customHeight="1" x14ac:dyDescent="0.2">
      <c r="A587" s="4"/>
      <c r="B587" s="756" t="s">
        <v>891</v>
      </c>
      <c r="C587" s="757"/>
      <c r="D587" s="757"/>
      <c r="E587" s="758"/>
      <c r="F587" s="381">
        <f>47.5*X2</f>
        <v>51490</v>
      </c>
      <c r="G587" s="288">
        <f t="shared" si="1733"/>
        <v>51490</v>
      </c>
      <c r="H587" s="102">
        <f t="shared" si="1717"/>
        <v>55490</v>
      </c>
      <c r="I587" s="319">
        <f t="shared" si="1718"/>
        <v>55490</v>
      </c>
      <c r="J587" s="102">
        <f t="shared" si="1719"/>
        <v>52300</v>
      </c>
      <c r="K587" s="319">
        <f t="shared" si="1720"/>
        <v>52300</v>
      </c>
      <c r="L587" s="102">
        <f t="shared" si="1721"/>
        <v>51990</v>
      </c>
      <c r="M587" s="319">
        <f t="shared" si="1722"/>
        <v>51990</v>
      </c>
      <c r="N587" s="102">
        <f t="shared" si="1723"/>
        <v>51920</v>
      </c>
      <c r="O587" s="319">
        <f t="shared" si="1724"/>
        <v>51920</v>
      </c>
      <c r="P587" s="102">
        <f t="shared" si="1725"/>
        <v>51880</v>
      </c>
      <c r="Q587" s="319">
        <f t="shared" si="1726"/>
        <v>51880</v>
      </c>
      <c r="R587" s="102">
        <f t="shared" si="1727"/>
        <v>51850</v>
      </c>
      <c r="S587" s="319">
        <f t="shared" si="1728"/>
        <v>51850</v>
      </c>
      <c r="T587" s="102">
        <f t="shared" si="1729"/>
        <v>51810</v>
      </c>
      <c r="U587" s="319">
        <f t="shared" si="1730"/>
        <v>51810</v>
      </c>
      <c r="V587" s="102">
        <f t="shared" si="1731"/>
        <v>51770</v>
      </c>
      <c r="W587" s="319">
        <f t="shared" si="1732"/>
        <v>51770</v>
      </c>
      <c r="X587" s="139"/>
      <c r="Y587" s="134"/>
      <c r="Z587" s="140"/>
      <c r="AA587" s="141"/>
      <c r="AB587" s="403">
        <v>613</v>
      </c>
    </row>
    <row r="588" spans="1:28" ht="12" customHeight="1" x14ac:dyDescent="0.2">
      <c r="A588" s="4"/>
      <c r="B588" s="1139" t="s">
        <v>620</v>
      </c>
      <c r="C588" s="1140"/>
      <c r="D588" s="1140"/>
      <c r="E588" s="1141"/>
      <c r="F588" s="664">
        <f>5.2*X2</f>
        <v>5636.8</v>
      </c>
      <c r="G588" s="544">
        <f t="shared" ref="G588" si="1734">+F588*$X$1</f>
        <v>5636.8</v>
      </c>
      <c r="H588" s="556">
        <f t="shared" si="1717"/>
        <v>9636.7999999999993</v>
      </c>
      <c r="I588" s="543">
        <f t="shared" si="1718"/>
        <v>9636.7999999999993</v>
      </c>
      <c r="J588" s="556">
        <f t="shared" si="1719"/>
        <v>6446.8</v>
      </c>
      <c r="K588" s="543">
        <f t="shared" si="1720"/>
        <v>6446.8</v>
      </c>
      <c r="L588" s="556">
        <f t="shared" si="1721"/>
        <v>6136.8</v>
      </c>
      <c r="M588" s="543">
        <f t="shared" si="1722"/>
        <v>6136.8</v>
      </c>
      <c r="N588" s="556">
        <f t="shared" si="1723"/>
        <v>6066.8</v>
      </c>
      <c r="O588" s="543">
        <f t="shared" si="1724"/>
        <v>6066.8</v>
      </c>
      <c r="P588" s="556">
        <f t="shared" si="1725"/>
        <v>6026.8</v>
      </c>
      <c r="Q588" s="543">
        <f t="shared" si="1726"/>
        <v>6026.8</v>
      </c>
      <c r="R588" s="556">
        <f t="shared" si="1727"/>
        <v>5996.8</v>
      </c>
      <c r="S588" s="543">
        <f t="shared" si="1728"/>
        <v>5996.8</v>
      </c>
      <c r="T588" s="556">
        <f t="shared" si="1729"/>
        <v>5956.8</v>
      </c>
      <c r="U588" s="543">
        <f t="shared" si="1730"/>
        <v>5956.8</v>
      </c>
      <c r="V588" s="556">
        <f t="shared" si="1731"/>
        <v>5916.8</v>
      </c>
      <c r="W588" s="543">
        <f t="shared" si="1732"/>
        <v>5916.8</v>
      </c>
      <c r="X588" s="139"/>
      <c r="Y588" s="134"/>
      <c r="Z588" s="140"/>
      <c r="AA588" s="141"/>
      <c r="AB588" s="192">
        <v>642</v>
      </c>
    </row>
    <row r="589" spans="1:28" ht="12" customHeight="1" x14ac:dyDescent="0.2">
      <c r="A589" s="4"/>
      <c r="B589" s="1139" t="s">
        <v>621</v>
      </c>
      <c r="C589" s="1140"/>
      <c r="D589" s="1140"/>
      <c r="E589" s="1141"/>
      <c r="F589" s="664">
        <f>23.2*X2</f>
        <v>25148.799999999999</v>
      </c>
      <c r="G589" s="544">
        <f t="shared" ref="G589" si="1735">+F589*$X$1</f>
        <v>25148.799999999999</v>
      </c>
      <c r="H589" s="556">
        <f t="shared" si="1717"/>
        <v>29148.799999999999</v>
      </c>
      <c r="I589" s="543">
        <f t="shared" si="1718"/>
        <v>29148.799999999999</v>
      </c>
      <c r="J589" s="556">
        <f t="shared" si="1719"/>
        <v>25958.799999999999</v>
      </c>
      <c r="K589" s="543">
        <f t="shared" si="1720"/>
        <v>25958.799999999999</v>
      </c>
      <c r="L589" s="556">
        <f t="shared" si="1721"/>
        <v>25648.799999999999</v>
      </c>
      <c r="M589" s="543">
        <f t="shared" si="1722"/>
        <v>25648.799999999999</v>
      </c>
      <c r="N589" s="556">
        <f t="shared" si="1723"/>
        <v>25578.799999999999</v>
      </c>
      <c r="O589" s="543">
        <f t="shared" si="1724"/>
        <v>25578.799999999999</v>
      </c>
      <c r="P589" s="556">
        <f t="shared" si="1725"/>
        <v>25538.799999999999</v>
      </c>
      <c r="Q589" s="543">
        <f t="shared" si="1726"/>
        <v>25538.799999999999</v>
      </c>
      <c r="R589" s="556">
        <f t="shared" si="1727"/>
        <v>25508.799999999999</v>
      </c>
      <c r="S589" s="543">
        <f t="shared" si="1728"/>
        <v>25508.799999999999</v>
      </c>
      <c r="T589" s="556">
        <f t="shared" si="1729"/>
        <v>25468.799999999999</v>
      </c>
      <c r="U589" s="543">
        <f t="shared" si="1730"/>
        <v>25468.799999999999</v>
      </c>
      <c r="V589" s="556">
        <f t="shared" si="1731"/>
        <v>25428.799999999999</v>
      </c>
      <c r="W589" s="543">
        <f t="shared" si="1732"/>
        <v>25428.799999999999</v>
      </c>
      <c r="X589" s="139"/>
      <c r="Y589" s="134"/>
      <c r="Z589" s="140"/>
      <c r="AA589" s="141"/>
      <c r="AB589" s="192">
        <v>643</v>
      </c>
    </row>
    <row r="590" spans="1:28" ht="12" customHeight="1" x14ac:dyDescent="0.2">
      <c r="A590" s="4"/>
      <c r="B590" s="759" t="s">
        <v>741</v>
      </c>
      <c r="C590" s="760"/>
      <c r="D590" s="760"/>
      <c r="E590" s="761"/>
      <c r="F590" s="379">
        <f>42.34*X2</f>
        <v>45896.560000000005</v>
      </c>
      <c r="G590" s="287">
        <f>+F590*$X$1</f>
        <v>45896.560000000005</v>
      </c>
      <c r="H590" s="103">
        <f t="shared" si="1717"/>
        <v>49896.560000000005</v>
      </c>
      <c r="I590" s="306">
        <f t="shared" si="1718"/>
        <v>49896.560000000005</v>
      </c>
      <c r="J590" s="103">
        <f t="shared" si="1719"/>
        <v>46706.560000000005</v>
      </c>
      <c r="K590" s="306">
        <f t="shared" si="1720"/>
        <v>46706.560000000005</v>
      </c>
      <c r="L590" s="103">
        <f t="shared" si="1721"/>
        <v>46396.560000000005</v>
      </c>
      <c r="M590" s="306">
        <f t="shared" si="1722"/>
        <v>46396.560000000005</v>
      </c>
      <c r="N590" s="103">
        <f t="shared" si="1723"/>
        <v>46326.560000000005</v>
      </c>
      <c r="O590" s="306">
        <f t="shared" si="1724"/>
        <v>46326.560000000005</v>
      </c>
      <c r="P590" s="103">
        <f t="shared" si="1725"/>
        <v>46286.560000000005</v>
      </c>
      <c r="Q590" s="306">
        <f t="shared" si="1726"/>
        <v>46286.560000000005</v>
      </c>
      <c r="R590" s="103">
        <f t="shared" si="1727"/>
        <v>46256.560000000005</v>
      </c>
      <c r="S590" s="306">
        <f t="shared" si="1728"/>
        <v>46256.560000000005</v>
      </c>
      <c r="T590" s="103">
        <f t="shared" si="1729"/>
        <v>46216.560000000005</v>
      </c>
      <c r="U590" s="306">
        <f t="shared" si="1730"/>
        <v>46216.560000000005</v>
      </c>
      <c r="V590" s="103">
        <f t="shared" si="1731"/>
        <v>46176.560000000005</v>
      </c>
      <c r="W590" s="306">
        <f t="shared" si="1732"/>
        <v>46176.560000000005</v>
      </c>
      <c r="X590" s="139"/>
      <c r="Y590" s="134"/>
      <c r="Z590" s="140"/>
      <c r="AA590" s="141"/>
      <c r="AB590" s="403">
        <v>657</v>
      </c>
    </row>
    <row r="591" spans="1:28" ht="12" customHeight="1" x14ac:dyDescent="0.2">
      <c r="A591" s="4"/>
      <c r="B591" s="756" t="s">
        <v>742</v>
      </c>
      <c r="C591" s="757"/>
      <c r="D591" s="757"/>
      <c r="E591" s="758"/>
      <c r="F591" s="380">
        <f>36.05*X2</f>
        <v>39078.199999999997</v>
      </c>
      <c r="G591" s="288">
        <f t="shared" ref="G591:G593" si="1736">+F591*$X$1</f>
        <v>39078.199999999997</v>
      </c>
      <c r="H591" s="102">
        <f>F591+4000</f>
        <v>43078.2</v>
      </c>
      <c r="I591" s="319">
        <f>+H591*$X$1</f>
        <v>43078.2</v>
      </c>
      <c r="J591" s="102">
        <f>F591+810</f>
        <v>39888.199999999997</v>
      </c>
      <c r="K591" s="319">
        <f>+J591*$X$1</f>
        <v>39888.199999999997</v>
      </c>
      <c r="L591" s="102">
        <f>F591+500</f>
        <v>39578.199999999997</v>
      </c>
      <c r="M591" s="319">
        <f>+L591*$X$1</f>
        <v>39578.199999999997</v>
      </c>
      <c r="N591" s="102">
        <f>F591+430</f>
        <v>39508.199999999997</v>
      </c>
      <c r="O591" s="319">
        <f>+N591*$X$1</f>
        <v>39508.199999999997</v>
      </c>
      <c r="P591" s="102">
        <f>F591+390</f>
        <v>39468.199999999997</v>
      </c>
      <c r="Q591" s="319">
        <f>+P591*$X$1</f>
        <v>39468.199999999997</v>
      </c>
      <c r="R591" s="102">
        <f>F591+360</f>
        <v>39438.199999999997</v>
      </c>
      <c r="S591" s="319">
        <f>+R591*$X$1</f>
        <v>39438.199999999997</v>
      </c>
      <c r="T591" s="102">
        <f>F591+320</f>
        <v>39398.199999999997</v>
      </c>
      <c r="U591" s="319">
        <f>+T591*$X$1</f>
        <v>39398.199999999997</v>
      </c>
      <c r="V591" s="102">
        <f>F591+280</f>
        <v>39358.199999999997</v>
      </c>
      <c r="W591" s="319">
        <f>+V591*$X$1</f>
        <v>39358.199999999997</v>
      </c>
      <c r="X591" s="139"/>
      <c r="Y591" s="134"/>
      <c r="Z591" s="140"/>
      <c r="AA591" s="141"/>
      <c r="AB591" s="403">
        <v>658</v>
      </c>
    </row>
    <row r="592" spans="1:28" ht="12" customHeight="1" x14ac:dyDescent="0.2">
      <c r="A592" s="4"/>
      <c r="B592" s="759" t="s">
        <v>743</v>
      </c>
      <c r="C592" s="760"/>
      <c r="D592" s="760"/>
      <c r="E592" s="761"/>
      <c r="F592" s="379">
        <f>28.5*X2</f>
        <v>30894</v>
      </c>
      <c r="G592" s="287">
        <f t="shared" si="1736"/>
        <v>30894</v>
      </c>
      <c r="H592" s="103">
        <f>F592+4000</f>
        <v>34894</v>
      </c>
      <c r="I592" s="306">
        <f>+H592*$X$1</f>
        <v>34894</v>
      </c>
      <c r="J592" s="103">
        <f>F592+810</f>
        <v>31704</v>
      </c>
      <c r="K592" s="306">
        <f>+J592*$X$1</f>
        <v>31704</v>
      </c>
      <c r="L592" s="103">
        <f>F592+500</f>
        <v>31394</v>
      </c>
      <c r="M592" s="306">
        <f>+L592*$X$1</f>
        <v>31394</v>
      </c>
      <c r="N592" s="103">
        <f>F592+430</f>
        <v>31324</v>
      </c>
      <c r="O592" s="306">
        <f>+N592*$X$1</f>
        <v>31324</v>
      </c>
      <c r="P592" s="103">
        <f>F592+390</f>
        <v>31284</v>
      </c>
      <c r="Q592" s="306">
        <f>+P592*$X$1</f>
        <v>31284</v>
      </c>
      <c r="R592" s="103">
        <f>F592+360</f>
        <v>31254</v>
      </c>
      <c r="S592" s="306">
        <f>+R592*$X$1</f>
        <v>31254</v>
      </c>
      <c r="T592" s="103">
        <f>F592+320</f>
        <v>31214</v>
      </c>
      <c r="U592" s="306">
        <f>+T592*$X$1</f>
        <v>31214</v>
      </c>
      <c r="V592" s="103">
        <f>F592+280</f>
        <v>31174</v>
      </c>
      <c r="W592" s="306">
        <f>+V592*$X$1</f>
        <v>31174</v>
      </c>
      <c r="X592" s="139"/>
      <c r="Y592" s="134"/>
      <c r="Z592" s="140"/>
      <c r="AA592" s="141"/>
      <c r="AB592" s="403">
        <v>659</v>
      </c>
    </row>
    <row r="593" spans="1:28" ht="12" customHeight="1" x14ac:dyDescent="0.2">
      <c r="A593" s="4"/>
      <c r="B593" s="756" t="s">
        <v>744</v>
      </c>
      <c r="C593" s="757"/>
      <c r="D593" s="757"/>
      <c r="E593" s="758"/>
      <c r="F593" s="380">
        <f>12.5*X2</f>
        <v>13550</v>
      </c>
      <c r="G593" s="288">
        <f t="shared" si="1736"/>
        <v>13550</v>
      </c>
      <c r="H593" s="102">
        <f>F593+4000</f>
        <v>17550</v>
      </c>
      <c r="I593" s="319">
        <f>+H593*$X$1</f>
        <v>17550</v>
      </c>
      <c r="J593" s="102">
        <f>F593+810</f>
        <v>14360</v>
      </c>
      <c r="K593" s="319">
        <f>+J593*$X$1</f>
        <v>14360</v>
      </c>
      <c r="L593" s="102">
        <f>F593+500</f>
        <v>14050</v>
      </c>
      <c r="M593" s="319">
        <f>+L593*$X$1</f>
        <v>14050</v>
      </c>
      <c r="N593" s="102">
        <f>F593+430</f>
        <v>13980</v>
      </c>
      <c r="O593" s="319">
        <f>+N593*$X$1</f>
        <v>13980</v>
      </c>
      <c r="P593" s="102">
        <f>F593+390</f>
        <v>13940</v>
      </c>
      <c r="Q593" s="319">
        <f>+P593*$X$1</f>
        <v>13940</v>
      </c>
      <c r="R593" s="102">
        <f>F593+360</f>
        <v>13910</v>
      </c>
      <c r="S593" s="319">
        <f>+R593*$X$1</f>
        <v>13910</v>
      </c>
      <c r="T593" s="102">
        <f>F593+320</f>
        <v>13870</v>
      </c>
      <c r="U593" s="319">
        <f>+T593*$X$1</f>
        <v>13870</v>
      </c>
      <c r="V593" s="102">
        <f>F593+280</f>
        <v>13830</v>
      </c>
      <c r="W593" s="319">
        <f>+V593*$X$1</f>
        <v>13830</v>
      </c>
      <c r="X593" s="139"/>
      <c r="Y593" s="134"/>
      <c r="Z593" s="140"/>
      <c r="AA593" s="141"/>
      <c r="AB593" s="403">
        <v>660</v>
      </c>
    </row>
    <row r="594" spans="1:28" ht="12" customHeight="1" x14ac:dyDescent="0.2">
      <c r="A594" s="4"/>
      <c r="B594" s="759" t="s">
        <v>600</v>
      </c>
      <c r="C594" s="760"/>
      <c r="D594" s="760"/>
      <c r="E594" s="761"/>
      <c r="F594" s="330">
        <v>34835</v>
      </c>
      <c r="G594" s="287">
        <f t="shared" ref="G594:G601" si="1737">+F594*$X$1</f>
        <v>34835</v>
      </c>
      <c r="H594" s="103"/>
      <c r="I594" s="306"/>
      <c r="J594" s="103">
        <f t="shared" ref="J594:J595" si="1738">F594+810</f>
        <v>35645</v>
      </c>
      <c r="K594" s="306">
        <f>+J594*$X$1</f>
        <v>35645</v>
      </c>
      <c r="L594" s="103">
        <f t="shared" ref="L594:L595" si="1739">F594+500</f>
        <v>35335</v>
      </c>
      <c r="M594" s="306">
        <f>+L594*$X$1</f>
        <v>35335</v>
      </c>
      <c r="N594" s="103">
        <f t="shared" ref="N594:N595" si="1740">F594+430</f>
        <v>35265</v>
      </c>
      <c r="O594" s="306">
        <f>+N594*$X$1</f>
        <v>35265</v>
      </c>
      <c r="P594" s="103">
        <f t="shared" ref="P594:P595" si="1741">F594+390</f>
        <v>35225</v>
      </c>
      <c r="Q594" s="306">
        <f>+P594*$X$1</f>
        <v>35225</v>
      </c>
      <c r="R594" s="103">
        <f t="shared" ref="R594:R595" si="1742">F594+360</f>
        <v>35195</v>
      </c>
      <c r="S594" s="306">
        <f>+R594*$X$1</f>
        <v>35195</v>
      </c>
      <c r="T594" s="103">
        <f t="shared" ref="T594:T595" si="1743">F594+320</f>
        <v>35155</v>
      </c>
      <c r="U594" s="306">
        <f>+T594*$X$1</f>
        <v>35155</v>
      </c>
      <c r="V594" s="103">
        <f t="shared" ref="V594:V595" si="1744">F594+280</f>
        <v>35115</v>
      </c>
      <c r="W594" s="306">
        <f>+V594*$X$1</f>
        <v>35115</v>
      </c>
      <c r="X594" s="139"/>
      <c r="Y594" s="134"/>
      <c r="Z594" s="140"/>
      <c r="AA594" s="141"/>
      <c r="AB594" s="403">
        <v>664</v>
      </c>
    </row>
    <row r="595" spans="1:28" ht="12" customHeight="1" x14ac:dyDescent="0.2">
      <c r="A595" s="4"/>
      <c r="B595" s="756" t="s">
        <v>766</v>
      </c>
      <c r="C595" s="757"/>
      <c r="D595" s="757"/>
      <c r="E595" s="758"/>
      <c r="F595" s="380">
        <f>18.4*X2</f>
        <v>19945.599999999999</v>
      </c>
      <c r="G595" s="288">
        <f t="shared" si="1737"/>
        <v>19945.599999999999</v>
      </c>
      <c r="H595" s="102">
        <f t="shared" ref="H595" si="1745">F595+4000</f>
        <v>23945.599999999999</v>
      </c>
      <c r="I595" s="319">
        <f t="shared" ref="I595" si="1746">+H595*$X$1</f>
        <v>23945.599999999999</v>
      </c>
      <c r="J595" s="102">
        <f t="shared" si="1738"/>
        <v>20755.599999999999</v>
      </c>
      <c r="K595" s="319">
        <f>+J595*$X$1</f>
        <v>20755.599999999999</v>
      </c>
      <c r="L595" s="102">
        <f t="shared" si="1739"/>
        <v>20445.599999999999</v>
      </c>
      <c r="M595" s="319">
        <f>+L595*$X$1</f>
        <v>20445.599999999999</v>
      </c>
      <c r="N595" s="102">
        <f t="shared" si="1740"/>
        <v>20375.599999999999</v>
      </c>
      <c r="O595" s="319">
        <f>+N595*$X$1</f>
        <v>20375.599999999999</v>
      </c>
      <c r="P595" s="102">
        <f t="shared" si="1741"/>
        <v>20335.599999999999</v>
      </c>
      <c r="Q595" s="319">
        <f>+P595*$X$1</f>
        <v>20335.599999999999</v>
      </c>
      <c r="R595" s="102">
        <f t="shared" si="1742"/>
        <v>20305.599999999999</v>
      </c>
      <c r="S595" s="319">
        <f>+R595*$X$1</f>
        <v>20305.599999999999</v>
      </c>
      <c r="T595" s="102">
        <f t="shared" si="1743"/>
        <v>20265.599999999999</v>
      </c>
      <c r="U595" s="319">
        <f>+T595*$X$1</f>
        <v>20265.599999999999</v>
      </c>
      <c r="V595" s="102">
        <f t="shared" si="1744"/>
        <v>20225.599999999999</v>
      </c>
      <c r="W595" s="319">
        <f>+V595*$X$1</f>
        <v>20225.599999999999</v>
      </c>
      <c r="X595" s="139"/>
      <c r="Y595" s="134"/>
      <c r="Z595" s="140"/>
      <c r="AA595" s="141"/>
      <c r="AB595" s="403">
        <v>667</v>
      </c>
    </row>
    <row r="596" spans="1:28" ht="12" customHeight="1" x14ac:dyDescent="0.2">
      <c r="A596" s="4"/>
      <c r="B596" s="759" t="s">
        <v>765</v>
      </c>
      <c r="C596" s="760"/>
      <c r="D596" s="760"/>
      <c r="E596" s="761"/>
      <c r="F596" s="379">
        <f>15*X2</f>
        <v>16260</v>
      </c>
      <c r="G596" s="287">
        <f t="shared" ref="G596:G598" si="1747">+F596*$X$1</f>
        <v>16260</v>
      </c>
      <c r="H596" s="103">
        <f t="shared" ref="H596:H607" si="1748">F596+4000</f>
        <v>20260</v>
      </c>
      <c r="I596" s="306">
        <f t="shared" ref="I596:I607" si="1749">+H596*$X$1</f>
        <v>20260</v>
      </c>
      <c r="J596" s="103">
        <f t="shared" ref="J596:J607" si="1750">F596+810</f>
        <v>17070</v>
      </c>
      <c r="K596" s="306">
        <f t="shared" ref="K596:K607" si="1751">+J596*$X$1</f>
        <v>17070</v>
      </c>
      <c r="L596" s="103">
        <f t="shared" ref="L596:L607" si="1752">F596+500</f>
        <v>16760</v>
      </c>
      <c r="M596" s="306">
        <f t="shared" ref="M596:M607" si="1753">+L596*$X$1</f>
        <v>16760</v>
      </c>
      <c r="N596" s="103">
        <f t="shared" ref="N596:N607" si="1754">F596+430</f>
        <v>16690</v>
      </c>
      <c r="O596" s="306">
        <f t="shared" ref="O596:O607" si="1755">+N596*$X$1</f>
        <v>16690</v>
      </c>
      <c r="P596" s="103">
        <f t="shared" ref="P596:P607" si="1756">F596+390</f>
        <v>16650</v>
      </c>
      <c r="Q596" s="306">
        <f t="shared" ref="Q596:Q607" si="1757">+P596*$X$1</f>
        <v>16650</v>
      </c>
      <c r="R596" s="103">
        <f t="shared" ref="R596:R607" si="1758">F596+360</f>
        <v>16620</v>
      </c>
      <c r="S596" s="306">
        <f t="shared" ref="S596:S607" si="1759">+R596*$X$1</f>
        <v>16620</v>
      </c>
      <c r="T596" s="103">
        <f t="shared" ref="T596:T607" si="1760">F596+320</f>
        <v>16580</v>
      </c>
      <c r="U596" s="306">
        <f t="shared" ref="U596:U607" si="1761">+T596*$X$1</f>
        <v>16580</v>
      </c>
      <c r="V596" s="103">
        <f t="shared" ref="V596:V607" si="1762">F596+280</f>
        <v>16540</v>
      </c>
      <c r="W596" s="306">
        <f t="shared" ref="W596:W607" si="1763">+V596*$X$1</f>
        <v>16540</v>
      </c>
      <c r="X596" s="139"/>
      <c r="Y596" s="134"/>
      <c r="Z596" s="140"/>
      <c r="AA596" s="141"/>
      <c r="AB596" s="403">
        <v>668</v>
      </c>
    </row>
    <row r="597" spans="1:28" ht="12" customHeight="1" x14ac:dyDescent="0.2">
      <c r="A597" s="4"/>
      <c r="B597" s="756" t="s">
        <v>845</v>
      </c>
      <c r="C597" s="757"/>
      <c r="D597" s="757"/>
      <c r="E597" s="758"/>
      <c r="F597" s="380">
        <f>15.28*X2</f>
        <v>16563.52</v>
      </c>
      <c r="G597" s="288">
        <f t="shared" si="1747"/>
        <v>16563.52</v>
      </c>
      <c r="H597" s="102">
        <f t="shared" si="1748"/>
        <v>20563.52</v>
      </c>
      <c r="I597" s="319">
        <f t="shared" si="1749"/>
        <v>20563.52</v>
      </c>
      <c r="J597" s="102">
        <f t="shared" si="1750"/>
        <v>17373.52</v>
      </c>
      <c r="K597" s="319">
        <f t="shared" si="1751"/>
        <v>17373.52</v>
      </c>
      <c r="L597" s="102">
        <f t="shared" si="1752"/>
        <v>17063.52</v>
      </c>
      <c r="M597" s="319">
        <f t="shared" si="1753"/>
        <v>17063.52</v>
      </c>
      <c r="N597" s="102">
        <f t="shared" si="1754"/>
        <v>16993.52</v>
      </c>
      <c r="O597" s="319">
        <f t="shared" si="1755"/>
        <v>16993.52</v>
      </c>
      <c r="P597" s="102">
        <f t="shared" si="1756"/>
        <v>16953.52</v>
      </c>
      <c r="Q597" s="319">
        <f t="shared" si="1757"/>
        <v>16953.52</v>
      </c>
      <c r="R597" s="102">
        <f t="shared" si="1758"/>
        <v>16923.52</v>
      </c>
      <c r="S597" s="319">
        <f t="shared" si="1759"/>
        <v>16923.52</v>
      </c>
      <c r="T597" s="102">
        <f t="shared" si="1760"/>
        <v>16883.52</v>
      </c>
      <c r="U597" s="319">
        <f t="shared" si="1761"/>
        <v>16883.52</v>
      </c>
      <c r="V597" s="102">
        <f t="shared" si="1762"/>
        <v>16843.52</v>
      </c>
      <c r="W597" s="319">
        <f t="shared" si="1763"/>
        <v>16843.52</v>
      </c>
      <c r="X597" s="139"/>
      <c r="Y597" s="134"/>
      <c r="Z597" s="140"/>
      <c r="AA597" s="141"/>
      <c r="AB597" s="192">
        <v>675</v>
      </c>
    </row>
    <row r="598" spans="1:28" ht="12" customHeight="1" x14ac:dyDescent="0.2">
      <c r="A598" s="4"/>
      <c r="B598" s="759" t="s">
        <v>890</v>
      </c>
      <c r="C598" s="760"/>
      <c r="D598" s="760"/>
      <c r="E598" s="761"/>
      <c r="F598" s="379">
        <f>12.72*X2</f>
        <v>13788.480000000001</v>
      </c>
      <c r="G598" s="287">
        <f t="shared" si="1747"/>
        <v>13788.480000000001</v>
      </c>
      <c r="H598" s="103">
        <f t="shared" si="1748"/>
        <v>17788.480000000003</v>
      </c>
      <c r="I598" s="306">
        <f t="shared" si="1749"/>
        <v>17788.480000000003</v>
      </c>
      <c r="J598" s="103">
        <f t="shared" si="1750"/>
        <v>14598.480000000001</v>
      </c>
      <c r="K598" s="306">
        <f t="shared" si="1751"/>
        <v>14598.480000000001</v>
      </c>
      <c r="L598" s="103">
        <f t="shared" si="1752"/>
        <v>14288.480000000001</v>
      </c>
      <c r="M598" s="306">
        <f t="shared" si="1753"/>
        <v>14288.480000000001</v>
      </c>
      <c r="N598" s="103">
        <f t="shared" si="1754"/>
        <v>14218.480000000001</v>
      </c>
      <c r="O598" s="306">
        <f t="shared" si="1755"/>
        <v>14218.480000000001</v>
      </c>
      <c r="P598" s="103">
        <f t="shared" si="1756"/>
        <v>14178.480000000001</v>
      </c>
      <c r="Q598" s="306">
        <f t="shared" si="1757"/>
        <v>14178.480000000001</v>
      </c>
      <c r="R598" s="103">
        <f t="shared" si="1758"/>
        <v>14148.480000000001</v>
      </c>
      <c r="S598" s="306">
        <f t="shared" si="1759"/>
        <v>14148.480000000001</v>
      </c>
      <c r="T598" s="103">
        <f t="shared" si="1760"/>
        <v>14108.480000000001</v>
      </c>
      <c r="U598" s="306">
        <f t="shared" si="1761"/>
        <v>14108.480000000001</v>
      </c>
      <c r="V598" s="103">
        <f t="shared" si="1762"/>
        <v>14068.480000000001</v>
      </c>
      <c r="W598" s="306">
        <f t="shared" si="1763"/>
        <v>14068.480000000001</v>
      </c>
      <c r="X598" s="139"/>
      <c r="Y598" s="134"/>
      <c r="Z598" s="140"/>
      <c r="AA598" s="141"/>
      <c r="AB598" s="192">
        <v>682</v>
      </c>
    </row>
    <row r="599" spans="1:28" ht="12" customHeight="1" x14ac:dyDescent="0.2">
      <c r="A599" s="4"/>
      <c r="B599" s="756" t="s">
        <v>520</v>
      </c>
      <c r="C599" s="757"/>
      <c r="D599" s="757"/>
      <c r="E599" s="758"/>
      <c r="F599" s="380">
        <f>10.4*X2</f>
        <v>11273.6</v>
      </c>
      <c r="G599" s="288">
        <f t="shared" si="1737"/>
        <v>11273.6</v>
      </c>
      <c r="H599" s="102">
        <f t="shared" si="1748"/>
        <v>15273.6</v>
      </c>
      <c r="I599" s="319">
        <f t="shared" si="1749"/>
        <v>15273.6</v>
      </c>
      <c r="J599" s="102">
        <f t="shared" si="1750"/>
        <v>12083.6</v>
      </c>
      <c r="K599" s="319">
        <f t="shared" si="1751"/>
        <v>12083.6</v>
      </c>
      <c r="L599" s="102">
        <f t="shared" si="1752"/>
        <v>11773.6</v>
      </c>
      <c r="M599" s="319">
        <f t="shared" si="1753"/>
        <v>11773.6</v>
      </c>
      <c r="N599" s="102">
        <f t="shared" si="1754"/>
        <v>11703.6</v>
      </c>
      <c r="O599" s="319">
        <f t="shared" si="1755"/>
        <v>11703.6</v>
      </c>
      <c r="P599" s="102">
        <f t="shared" si="1756"/>
        <v>11663.6</v>
      </c>
      <c r="Q599" s="319">
        <f t="shared" si="1757"/>
        <v>11663.6</v>
      </c>
      <c r="R599" s="102">
        <f t="shared" si="1758"/>
        <v>11633.6</v>
      </c>
      <c r="S599" s="319">
        <f t="shared" si="1759"/>
        <v>11633.6</v>
      </c>
      <c r="T599" s="102">
        <f t="shared" si="1760"/>
        <v>11593.6</v>
      </c>
      <c r="U599" s="319">
        <f t="shared" si="1761"/>
        <v>11593.6</v>
      </c>
      <c r="V599" s="102">
        <f t="shared" si="1762"/>
        <v>11553.6</v>
      </c>
      <c r="W599" s="319">
        <f t="shared" si="1763"/>
        <v>11553.6</v>
      </c>
      <c r="X599" s="139"/>
      <c r="Y599" s="134"/>
      <c r="Z599" s="140"/>
      <c r="AA599" s="141"/>
      <c r="AB599" s="192">
        <v>686</v>
      </c>
    </row>
    <row r="600" spans="1:28" ht="12" customHeight="1" x14ac:dyDescent="0.2">
      <c r="A600" s="4"/>
      <c r="B600" s="759" t="s">
        <v>560</v>
      </c>
      <c r="C600" s="760"/>
      <c r="D600" s="760"/>
      <c r="E600" s="761"/>
      <c r="F600" s="382">
        <f>32*X2</f>
        <v>34688</v>
      </c>
      <c r="G600" s="287">
        <f t="shared" si="1737"/>
        <v>34688</v>
      </c>
      <c r="H600" s="103">
        <f t="shared" si="1748"/>
        <v>38688</v>
      </c>
      <c r="I600" s="306">
        <f t="shared" si="1749"/>
        <v>38688</v>
      </c>
      <c r="J600" s="103">
        <f t="shared" si="1750"/>
        <v>35498</v>
      </c>
      <c r="K600" s="306">
        <f t="shared" si="1751"/>
        <v>35498</v>
      </c>
      <c r="L600" s="103">
        <f t="shared" si="1752"/>
        <v>35188</v>
      </c>
      <c r="M600" s="306">
        <f t="shared" si="1753"/>
        <v>35188</v>
      </c>
      <c r="N600" s="103">
        <f t="shared" si="1754"/>
        <v>35118</v>
      </c>
      <c r="O600" s="306">
        <f t="shared" si="1755"/>
        <v>35118</v>
      </c>
      <c r="P600" s="103">
        <f t="shared" si="1756"/>
        <v>35078</v>
      </c>
      <c r="Q600" s="306">
        <f t="shared" si="1757"/>
        <v>35078</v>
      </c>
      <c r="R600" s="103">
        <f t="shared" si="1758"/>
        <v>35048</v>
      </c>
      <c r="S600" s="306">
        <f t="shared" si="1759"/>
        <v>35048</v>
      </c>
      <c r="T600" s="103">
        <f t="shared" si="1760"/>
        <v>35008</v>
      </c>
      <c r="U600" s="306">
        <f t="shared" si="1761"/>
        <v>35008</v>
      </c>
      <c r="V600" s="103">
        <f t="shared" si="1762"/>
        <v>34968</v>
      </c>
      <c r="W600" s="306">
        <f t="shared" si="1763"/>
        <v>34968</v>
      </c>
      <c r="X600" s="139"/>
      <c r="Y600" s="134"/>
      <c r="Z600" s="140"/>
      <c r="AA600" s="141"/>
      <c r="AB600" s="403">
        <v>687</v>
      </c>
    </row>
    <row r="601" spans="1:28" ht="12" customHeight="1" x14ac:dyDescent="0.2">
      <c r="A601" s="4"/>
      <c r="B601" s="756" t="s">
        <v>745</v>
      </c>
      <c r="C601" s="757"/>
      <c r="D601" s="757"/>
      <c r="E601" s="758"/>
      <c r="F601" s="381">
        <f>17*X2</f>
        <v>18428</v>
      </c>
      <c r="G601" s="288">
        <f t="shared" si="1737"/>
        <v>18428</v>
      </c>
      <c r="H601" s="102">
        <f t="shared" si="1748"/>
        <v>22428</v>
      </c>
      <c r="I601" s="319">
        <f t="shared" si="1749"/>
        <v>22428</v>
      </c>
      <c r="J601" s="102">
        <f t="shared" si="1750"/>
        <v>19238</v>
      </c>
      <c r="K601" s="319">
        <f t="shared" si="1751"/>
        <v>19238</v>
      </c>
      <c r="L601" s="102">
        <f t="shared" si="1752"/>
        <v>18928</v>
      </c>
      <c r="M601" s="319">
        <f t="shared" si="1753"/>
        <v>18928</v>
      </c>
      <c r="N601" s="102">
        <f t="shared" si="1754"/>
        <v>18858</v>
      </c>
      <c r="O601" s="319">
        <f t="shared" si="1755"/>
        <v>18858</v>
      </c>
      <c r="P601" s="102">
        <f t="shared" si="1756"/>
        <v>18818</v>
      </c>
      <c r="Q601" s="319">
        <f t="shared" si="1757"/>
        <v>18818</v>
      </c>
      <c r="R601" s="102">
        <f t="shared" si="1758"/>
        <v>18788</v>
      </c>
      <c r="S601" s="319">
        <f t="shared" si="1759"/>
        <v>18788</v>
      </c>
      <c r="T601" s="102">
        <f t="shared" si="1760"/>
        <v>18748</v>
      </c>
      <c r="U601" s="319">
        <f t="shared" si="1761"/>
        <v>18748</v>
      </c>
      <c r="V601" s="102">
        <f t="shared" si="1762"/>
        <v>18708</v>
      </c>
      <c r="W601" s="319">
        <f t="shared" si="1763"/>
        <v>18708</v>
      </c>
      <c r="X601" s="139"/>
      <c r="Y601" s="134"/>
      <c r="Z601" s="140"/>
      <c r="AA601" s="141"/>
      <c r="AB601" s="403">
        <v>694</v>
      </c>
    </row>
    <row r="602" spans="1:28" ht="12" customHeight="1" x14ac:dyDescent="0.2">
      <c r="A602" s="4"/>
      <c r="B602" s="759" t="s">
        <v>892</v>
      </c>
      <c r="C602" s="760"/>
      <c r="D602" s="760"/>
      <c r="E602" s="761"/>
      <c r="F602" s="382">
        <f>15.7*X2</f>
        <v>17018.8</v>
      </c>
      <c r="G602" s="287">
        <f t="shared" ref="G602" si="1764">+F602*$X$1</f>
        <v>17018.8</v>
      </c>
      <c r="H602" s="103">
        <f t="shared" si="1748"/>
        <v>21018.799999999999</v>
      </c>
      <c r="I602" s="306">
        <f t="shared" si="1749"/>
        <v>21018.799999999999</v>
      </c>
      <c r="J602" s="103">
        <f t="shared" si="1750"/>
        <v>17828.8</v>
      </c>
      <c r="K602" s="306">
        <f t="shared" si="1751"/>
        <v>17828.8</v>
      </c>
      <c r="L602" s="103">
        <f t="shared" si="1752"/>
        <v>17518.8</v>
      </c>
      <c r="M602" s="306">
        <f t="shared" si="1753"/>
        <v>17518.8</v>
      </c>
      <c r="N602" s="103">
        <f t="shared" si="1754"/>
        <v>17448.8</v>
      </c>
      <c r="O602" s="306">
        <f t="shared" si="1755"/>
        <v>17448.8</v>
      </c>
      <c r="P602" s="103">
        <f t="shared" si="1756"/>
        <v>17408.8</v>
      </c>
      <c r="Q602" s="306">
        <f t="shared" si="1757"/>
        <v>17408.8</v>
      </c>
      <c r="R602" s="103">
        <f t="shared" si="1758"/>
        <v>17378.8</v>
      </c>
      <c r="S602" s="306">
        <f t="shared" si="1759"/>
        <v>17378.8</v>
      </c>
      <c r="T602" s="103">
        <f t="shared" si="1760"/>
        <v>17338.8</v>
      </c>
      <c r="U602" s="306">
        <f t="shared" si="1761"/>
        <v>17338.8</v>
      </c>
      <c r="V602" s="103">
        <f t="shared" si="1762"/>
        <v>17298.8</v>
      </c>
      <c r="W602" s="306">
        <f t="shared" si="1763"/>
        <v>17298.8</v>
      </c>
      <c r="X602" s="139"/>
      <c r="Y602" s="134"/>
      <c r="Z602" s="140"/>
      <c r="AA602" s="141"/>
      <c r="AB602" s="403">
        <v>696</v>
      </c>
    </row>
    <row r="603" spans="1:28" ht="12" customHeight="1" x14ac:dyDescent="0.2">
      <c r="A603" s="4"/>
      <c r="B603" s="756" t="s">
        <v>746</v>
      </c>
      <c r="C603" s="757"/>
      <c r="D603" s="757"/>
      <c r="E603" s="758"/>
      <c r="F603" s="380">
        <f>37.5*X2</f>
        <v>40650</v>
      </c>
      <c r="G603" s="288">
        <f t="shared" ref="G603" si="1765">+F603*$X$1</f>
        <v>40650</v>
      </c>
      <c r="H603" s="102">
        <f t="shared" si="1748"/>
        <v>44650</v>
      </c>
      <c r="I603" s="319">
        <f t="shared" si="1749"/>
        <v>44650</v>
      </c>
      <c r="J603" s="102">
        <f t="shared" si="1750"/>
        <v>41460</v>
      </c>
      <c r="K603" s="319">
        <f t="shared" si="1751"/>
        <v>41460</v>
      </c>
      <c r="L603" s="102">
        <f t="shared" si="1752"/>
        <v>41150</v>
      </c>
      <c r="M603" s="319">
        <f t="shared" si="1753"/>
        <v>41150</v>
      </c>
      <c r="N603" s="102">
        <f t="shared" si="1754"/>
        <v>41080</v>
      </c>
      <c r="O603" s="319">
        <f t="shared" si="1755"/>
        <v>41080</v>
      </c>
      <c r="P603" s="102">
        <f t="shared" si="1756"/>
        <v>41040</v>
      </c>
      <c r="Q603" s="319">
        <f t="shared" si="1757"/>
        <v>41040</v>
      </c>
      <c r="R603" s="102">
        <f t="shared" si="1758"/>
        <v>41010</v>
      </c>
      <c r="S603" s="319">
        <f t="shared" si="1759"/>
        <v>41010</v>
      </c>
      <c r="T603" s="102">
        <f t="shared" si="1760"/>
        <v>40970</v>
      </c>
      <c r="U603" s="319">
        <f t="shared" si="1761"/>
        <v>40970</v>
      </c>
      <c r="V603" s="102">
        <f t="shared" si="1762"/>
        <v>40930</v>
      </c>
      <c r="W603" s="319">
        <f t="shared" si="1763"/>
        <v>40930</v>
      </c>
      <c r="X603" s="139"/>
      <c r="Y603" s="134"/>
      <c r="Z603" s="140"/>
      <c r="AA603" s="141"/>
      <c r="AB603" s="403">
        <v>698</v>
      </c>
    </row>
    <row r="604" spans="1:28" ht="12" customHeight="1" x14ac:dyDescent="0.2">
      <c r="A604" s="4"/>
      <c r="B604" s="723" t="s">
        <v>964</v>
      </c>
      <c r="C604" s="724"/>
      <c r="D604" s="724"/>
      <c r="E604" s="725"/>
      <c r="F604" s="379">
        <f>26.66*X2</f>
        <v>28899.439999999999</v>
      </c>
      <c r="G604" s="287">
        <f>+F604*$X$1</f>
        <v>28899.439999999999</v>
      </c>
      <c r="H604" s="103">
        <f t="shared" si="1748"/>
        <v>32899.440000000002</v>
      </c>
      <c r="I604" s="306">
        <f t="shared" si="1749"/>
        <v>32899.440000000002</v>
      </c>
      <c r="J604" s="103">
        <f t="shared" si="1750"/>
        <v>29709.439999999999</v>
      </c>
      <c r="K604" s="306">
        <f t="shared" si="1751"/>
        <v>29709.439999999999</v>
      </c>
      <c r="L604" s="103">
        <f t="shared" si="1752"/>
        <v>29399.439999999999</v>
      </c>
      <c r="M604" s="306">
        <f t="shared" si="1753"/>
        <v>29399.439999999999</v>
      </c>
      <c r="N604" s="103">
        <f t="shared" si="1754"/>
        <v>29329.439999999999</v>
      </c>
      <c r="O604" s="306">
        <f t="shared" si="1755"/>
        <v>29329.439999999999</v>
      </c>
      <c r="P604" s="103">
        <f t="shared" si="1756"/>
        <v>29289.439999999999</v>
      </c>
      <c r="Q604" s="306">
        <f t="shared" si="1757"/>
        <v>29289.439999999999</v>
      </c>
      <c r="R604" s="103">
        <f t="shared" si="1758"/>
        <v>29259.439999999999</v>
      </c>
      <c r="S604" s="306">
        <f t="shared" si="1759"/>
        <v>29259.439999999999</v>
      </c>
      <c r="T604" s="103">
        <f t="shared" si="1760"/>
        <v>29219.439999999999</v>
      </c>
      <c r="U604" s="306">
        <f t="shared" si="1761"/>
        <v>29219.439999999999</v>
      </c>
      <c r="V604" s="103">
        <f t="shared" si="1762"/>
        <v>29179.439999999999</v>
      </c>
      <c r="W604" s="306">
        <f t="shared" si="1763"/>
        <v>29179.439999999999</v>
      </c>
      <c r="X604" s="139"/>
      <c r="Y604" s="134"/>
      <c r="Z604" s="140"/>
      <c r="AA604" s="141"/>
      <c r="AB604" s="403">
        <v>703</v>
      </c>
    </row>
    <row r="605" spans="1:28" ht="12" customHeight="1" x14ac:dyDescent="0.2">
      <c r="A605" s="4"/>
      <c r="B605" s="723" t="s">
        <v>943</v>
      </c>
      <c r="C605" s="724"/>
      <c r="D605" s="724"/>
      <c r="E605" s="725"/>
      <c r="F605" s="380">
        <f>37.35*X2</f>
        <v>40487.4</v>
      </c>
      <c r="G605" s="288">
        <f>+F605*$X$1</f>
        <v>40487.4</v>
      </c>
      <c r="H605" s="102">
        <f t="shared" ref="H605" si="1766">F605+4000</f>
        <v>44487.4</v>
      </c>
      <c r="I605" s="319">
        <f t="shared" ref="I605" si="1767">+H605*$X$1</f>
        <v>44487.4</v>
      </c>
      <c r="J605" s="102">
        <f t="shared" ref="J605" si="1768">F605+810</f>
        <v>41297.4</v>
      </c>
      <c r="K605" s="319">
        <f t="shared" ref="K605" si="1769">+J605*$X$1</f>
        <v>41297.4</v>
      </c>
      <c r="L605" s="102">
        <f t="shared" ref="L605" si="1770">F605+500</f>
        <v>40987.4</v>
      </c>
      <c r="M605" s="319">
        <f t="shared" ref="M605" si="1771">+L605*$X$1</f>
        <v>40987.4</v>
      </c>
      <c r="N605" s="102">
        <f t="shared" ref="N605" si="1772">F605+430</f>
        <v>40917.4</v>
      </c>
      <c r="O605" s="319">
        <f t="shared" ref="O605" si="1773">+N605*$X$1</f>
        <v>40917.4</v>
      </c>
      <c r="P605" s="102">
        <f t="shared" ref="P605" si="1774">F605+390</f>
        <v>40877.4</v>
      </c>
      <c r="Q605" s="319">
        <f t="shared" ref="Q605" si="1775">+P605*$X$1</f>
        <v>40877.4</v>
      </c>
      <c r="R605" s="102">
        <f t="shared" ref="R605" si="1776">F605+360</f>
        <v>40847.4</v>
      </c>
      <c r="S605" s="319">
        <f t="shared" ref="S605" si="1777">+R605*$X$1</f>
        <v>40847.4</v>
      </c>
      <c r="T605" s="102">
        <f t="shared" ref="T605" si="1778">F605+320</f>
        <v>40807.4</v>
      </c>
      <c r="U605" s="319">
        <f t="shared" ref="U605" si="1779">+T605*$X$1</f>
        <v>40807.4</v>
      </c>
      <c r="V605" s="102">
        <f t="shared" ref="V605" si="1780">F605+280</f>
        <v>40767.4</v>
      </c>
      <c r="W605" s="319">
        <f t="shared" ref="W605" si="1781">+V605*$X$1</f>
        <v>40767.4</v>
      </c>
      <c r="X605" s="139"/>
      <c r="Y605" s="134"/>
      <c r="Z605" s="140"/>
      <c r="AA605" s="141"/>
      <c r="AB605" s="403">
        <v>704</v>
      </c>
    </row>
    <row r="606" spans="1:28" ht="12" customHeight="1" x14ac:dyDescent="0.2">
      <c r="A606" s="4"/>
      <c r="B606" s="723" t="s">
        <v>895</v>
      </c>
      <c r="C606" s="724"/>
      <c r="D606" s="724"/>
      <c r="E606" s="725"/>
      <c r="F606" s="379">
        <f>28.1*X2</f>
        <v>30460.400000000001</v>
      </c>
      <c r="G606" s="287">
        <f>+F606*$X$1</f>
        <v>30460.400000000001</v>
      </c>
      <c r="H606" s="103">
        <f t="shared" si="1748"/>
        <v>34460.400000000001</v>
      </c>
      <c r="I606" s="306">
        <f t="shared" si="1749"/>
        <v>34460.400000000001</v>
      </c>
      <c r="J606" s="103">
        <f t="shared" si="1750"/>
        <v>31270.400000000001</v>
      </c>
      <c r="K606" s="306">
        <f t="shared" si="1751"/>
        <v>31270.400000000001</v>
      </c>
      <c r="L606" s="103">
        <f t="shared" si="1752"/>
        <v>30960.400000000001</v>
      </c>
      <c r="M606" s="306">
        <f t="shared" si="1753"/>
        <v>30960.400000000001</v>
      </c>
      <c r="N606" s="103">
        <f t="shared" si="1754"/>
        <v>30890.400000000001</v>
      </c>
      <c r="O606" s="306">
        <f t="shared" si="1755"/>
        <v>30890.400000000001</v>
      </c>
      <c r="P606" s="103">
        <f t="shared" si="1756"/>
        <v>30850.400000000001</v>
      </c>
      <c r="Q606" s="306">
        <f t="shared" si="1757"/>
        <v>30850.400000000001</v>
      </c>
      <c r="R606" s="103">
        <f t="shared" si="1758"/>
        <v>30820.400000000001</v>
      </c>
      <c r="S606" s="306">
        <f t="shared" si="1759"/>
        <v>30820.400000000001</v>
      </c>
      <c r="T606" s="103">
        <f t="shared" si="1760"/>
        <v>30780.400000000001</v>
      </c>
      <c r="U606" s="306">
        <f t="shared" si="1761"/>
        <v>30780.400000000001</v>
      </c>
      <c r="V606" s="103">
        <f t="shared" si="1762"/>
        <v>30740.400000000001</v>
      </c>
      <c r="W606" s="306">
        <f t="shared" si="1763"/>
        <v>30740.400000000001</v>
      </c>
      <c r="X606" s="139"/>
      <c r="Y606" s="134"/>
      <c r="Z606" s="140"/>
      <c r="AA606" s="141"/>
      <c r="AB606" s="403">
        <v>708</v>
      </c>
    </row>
    <row r="607" spans="1:28" ht="12" customHeight="1" x14ac:dyDescent="0.2">
      <c r="A607" s="4"/>
      <c r="B607" s="756" t="s">
        <v>593</v>
      </c>
      <c r="C607" s="757"/>
      <c r="D607" s="757"/>
      <c r="E607" s="758"/>
      <c r="F607" s="380">
        <f>54*X2</f>
        <v>58536</v>
      </c>
      <c r="G607" s="288">
        <f>+F607*$X$1</f>
        <v>58536</v>
      </c>
      <c r="H607" s="102">
        <f t="shared" si="1748"/>
        <v>62536</v>
      </c>
      <c r="I607" s="319">
        <f t="shared" si="1749"/>
        <v>62536</v>
      </c>
      <c r="J607" s="102">
        <f t="shared" si="1750"/>
        <v>59346</v>
      </c>
      <c r="K607" s="319">
        <f t="shared" si="1751"/>
        <v>59346</v>
      </c>
      <c r="L607" s="102">
        <f t="shared" si="1752"/>
        <v>59036</v>
      </c>
      <c r="M607" s="319">
        <f t="shared" si="1753"/>
        <v>59036</v>
      </c>
      <c r="N607" s="102">
        <f t="shared" si="1754"/>
        <v>58966</v>
      </c>
      <c r="O607" s="319">
        <f t="shared" si="1755"/>
        <v>58966</v>
      </c>
      <c r="P607" s="102">
        <f t="shared" si="1756"/>
        <v>58926</v>
      </c>
      <c r="Q607" s="319">
        <f t="shared" si="1757"/>
        <v>58926</v>
      </c>
      <c r="R607" s="102">
        <f t="shared" si="1758"/>
        <v>58896</v>
      </c>
      <c r="S607" s="319">
        <f t="shared" si="1759"/>
        <v>58896</v>
      </c>
      <c r="T607" s="102">
        <f t="shared" si="1760"/>
        <v>58856</v>
      </c>
      <c r="U607" s="319">
        <f t="shared" si="1761"/>
        <v>58856</v>
      </c>
      <c r="V607" s="102">
        <f t="shared" si="1762"/>
        <v>58816</v>
      </c>
      <c r="W607" s="319">
        <f t="shared" si="1763"/>
        <v>58816</v>
      </c>
      <c r="X607" s="139"/>
      <c r="Y607" s="134"/>
      <c r="Z607" s="140"/>
      <c r="AA607" s="141"/>
      <c r="AB607" s="403">
        <v>710</v>
      </c>
    </row>
    <row r="608" spans="1:28" ht="12" customHeight="1" x14ac:dyDescent="0.2">
      <c r="A608" s="4"/>
      <c r="B608" s="759" t="s">
        <v>565</v>
      </c>
      <c r="C608" s="760"/>
      <c r="D608" s="760"/>
      <c r="E608" s="761"/>
      <c r="F608" s="379">
        <f>62.42*X2</f>
        <v>67663.28</v>
      </c>
      <c r="G608" s="287">
        <f t="shared" ref="G608" si="1782">+F608*$X$1</f>
        <v>67663.28</v>
      </c>
      <c r="H608" s="103">
        <f>F608+4000</f>
        <v>71663.28</v>
      </c>
      <c r="I608" s="306">
        <f>+H608*$X$1</f>
        <v>71663.28</v>
      </c>
      <c r="J608" s="103">
        <f>F608+810</f>
        <v>68473.279999999999</v>
      </c>
      <c r="K608" s="306">
        <f>+J608*$X$1</f>
        <v>68473.279999999999</v>
      </c>
      <c r="L608" s="103">
        <f>F608+500</f>
        <v>68163.28</v>
      </c>
      <c r="M608" s="306">
        <f>+L608*$X$1</f>
        <v>68163.28</v>
      </c>
      <c r="N608" s="103">
        <f>F608+430</f>
        <v>68093.279999999999</v>
      </c>
      <c r="O608" s="306">
        <f>+N608*$X$1</f>
        <v>68093.279999999999</v>
      </c>
      <c r="P608" s="103">
        <f>F608+390</f>
        <v>68053.279999999999</v>
      </c>
      <c r="Q608" s="306">
        <f>+P608*$X$1</f>
        <v>68053.279999999999</v>
      </c>
      <c r="R608" s="103">
        <f>F608+360</f>
        <v>68023.28</v>
      </c>
      <c r="S608" s="306">
        <f>+R608*$X$1</f>
        <v>68023.28</v>
      </c>
      <c r="T608" s="103">
        <f>F608+320</f>
        <v>67983.28</v>
      </c>
      <c r="U608" s="306">
        <f>+T608*$X$1</f>
        <v>67983.28</v>
      </c>
      <c r="V608" s="103">
        <f>F608+280</f>
        <v>67943.28</v>
      </c>
      <c r="W608" s="306">
        <f>+V608*$X$1</f>
        <v>67943.28</v>
      </c>
      <c r="X608" s="139"/>
      <c r="Y608" s="134"/>
      <c r="Z608" s="140"/>
      <c r="AA608" s="141"/>
      <c r="AB608" s="403">
        <v>711</v>
      </c>
    </row>
    <row r="609" spans="1:28" ht="12" customHeight="1" x14ac:dyDescent="0.2">
      <c r="A609" s="4"/>
      <c r="B609" s="756" t="s">
        <v>596</v>
      </c>
      <c r="C609" s="757"/>
      <c r="D609" s="757"/>
      <c r="E609" s="758"/>
      <c r="F609" s="380">
        <f>59.1*X2</f>
        <v>64064.4</v>
      </c>
      <c r="G609" s="288">
        <f t="shared" ref="G609" si="1783">+F609*$X$1</f>
        <v>64064.4</v>
      </c>
      <c r="H609" s="102">
        <f t="shared" ref="H609:H619" si="1784">F609+4000</f>
        <v>68064.399999999994</v>
      </c>
      <c r="I609" s="319">
        <f t="shared" ref="I609:I619" si="1785">+H609*$X$1</f>
        <v>68064.399999999994</v>
      </c>
      <c r="J609" s="102">
        <f t="shared" ref="J609:J619" si="1786">F609+810</f>
        <v>64874.400000000001</v>
      </c>
      <c r="K609" s="319">
        <f t="shared" ref="K609:K619" si="1787">+J609*$X$1</f>
        <v>64874.400000000001</v>
      </c>
      <c r="L609" s="102">
        <f t="shared" ref="L609:L619" si="1788">F609+500</f>
        <v>64564.4</v>
      </c>
      <c r="M609" s="319">
        <f t="shared" ref="M609:M619" si="1789">+L609*$X$1</f>
        <v>64564.4</v>
      </c>
      <c r="N609" s="102">
        <f t="shared" ref="N609:N619" si="1790">F609+430</f>
        <v>64494.400000000001</v>
      </c>
      <c r="O609" s="319">
        <f t="shared" ref="O609:O619" si="1791">+N609*$X$1</f>
        <v>64494.400000000001</v>
      </c>
      <c r="P609" s="102">
        <f t="shared" ref="P609:P619" si="1792">F609+390</f>
        <v>64454.400000000001</v>
      </c>
      <c r="Q609" s="319">
        <f t="shared" ref="Q609:Q619" si="1793">+P609*$X$1</f>
        <v>64454.400000000001</v>
      </c>
      <c r="R609" s="102">
        <f t="shared" ref="R609:R619" si="1794">F609+360</f>
        <v>64424.4</v>
      </c>
      <c r="S609" s="319">
        <f t="shared" ref="S609:S619" si="1795">+R609*$X$1</f>
        <v>64424.4</v>
      </c>
      <c r="T609" s="102">
        <f t="shared" ref="T609:T619" si="1796">F609+320</f>
        <v>64384.4</v>
      </c>
      <c r="U609" s="319">
        <f t="shared" ref="U609:U619" si="1797">+T609*$X$1</f>
        <v>64384.4</v>
      </c>
      <c r="V609" s="102">
        <f t="shared" ref="V609:V619" si="1798">F609+280</f>
        <v>64344.4</v>
      </c>
      <c r="W609" s="319">
        <f t="shared" ref="W609:W619" si="1799">+V609*$X$1</f>
        <v>64344.4</v>
      </c>
      <c r="X609" s="139"/>
      <c r="Y609" s="134"/>
      <c r="Z609" s="140"/>
      <c r="AA609" s="141"/>
      <c r="AB609" s="403">
        <v>714</v>
      </c>
    </row>
    <row r="610" spans="1:28" ht="12" customHeight="1" x14ac:dyDescent="0.2">
      <c r="A610" s="4"/>
      <c r="B610" s="759" t="s">
        <v>731</v>
      </c>
      <c r="C610" s="760"/>
      <c r="D610" s="760"/>
      <c r="E610" s="761"/>
      <c r="F610" s="379">
        <f>14.43*X2</f>
        <v>15642.119999999999</v>
      </c>
      <c r="G610" s="287">
        <f t="shared" ref="G610" si="1800">+F610*$X$1</f>
        <v>15642.119999999999</v>
      </c>
      <c r="H610" s="103">
        <f t="shared" si="1784"/>
        <v>19642.12</v>
      </c>
      <c r="I610" s="306">
        <f t="shared" si="1785"/>
        <v>19642.12</v>
      </c>
      <c r="J610" s="103">
        <f t="shared" si="1786"/>
        <v>16452.12</v>
      </c>
      <c r="K610" s="306">
        <f t="shared" si="1787"/>
        <v>16452.12</v>
      </c>
      <c r="L610" s="103">
        <f t="shared" si="1788"/>
        <v>16142.119999999999</v>
      </c>
      <c r="M610" s="306">
        <f t="shared" si="1789"/>
        <v>16142.119999999999</v>
      </c>
      <c r="N610" s="103">
        <f t="shared" si="1790"/>
        <v>16072.119999999999</v>
      </c>
      <c r="O610" s="306">
        <f t="shared" si="1791"/>
        <v>16072.119999999999</v>
      </c>
      <c r="P610" s="103">
        <f t="shared" si="1792"/>
        <v>16032.119999999999</v>
      </c>
      <c r="Q610" s="306">
        <f t="shared" si="1793"/>
        <v>16032.119999999999</v>
      </c>
      <c r="R610" s="103">
        <f t="shared" si="1794"/>
        <v>16002.119999999999</v>
      </c>
      <c r="S610" s="306">
        <f t="shared" si="1795"/>
        <v>16002.119999999999</v>
      </c>
      <c r="T610" s="103">
        <f t="shared" si="1796"/>
        <v>15962.119999999999</v>
      </c>
      <c r="U610" s="306">
        <f t="shared" si="1797"/>
        <v>15962.119999999999</v>
      </c>
      <c r="V610" s="103">
        <f t="shared" si="1798"/>
        <v>15922.119999999999</v>
      </c>
      <c r="W610" s="306">
        <f t="shared" si="1799"/>
        <v>15922.119999999999</v>
      </c>
      <c r="X610" s="139"/>
      <c r="Y610" s="134"/>
      <c r="Z610" s="140"/>
      <c r="AA610" s="141"/>
      <c r="AB610" s="403">
        <v>716</v>
      </c>
    </row>
    <row r="611" spans="1:28" ht="12" customHeight="1" x14ac:dyDescent="0.2">
      <c r="A611" s="4"/>
      <c r="B611" s="756" t="s">
        <v>733</v>
      </c>
      <c r="C611" s="757"/>
      <c r="D611" s="757"/>
      <c r="E611" s="758"/>
      <c r="F611" s="380">
        <f>60.16*X2</f>
        <v>65213.439999999995</v>
      </c>
      <c r="G611" s="288">
        <f t="shared" ref="G611" si="1801">+F611*$X$1</f>
        <v>65213.439999999995</v>
      </c>
      <c r="H611" s="102">
        <f t="shared" si="1784"/>
        <v>69213.440000000002</v>
      </c>
      <c r="I611" s="319">
        <f t="shared" si="1785"/>
        <v>69213.440000000002</v>
      </c>
      <c r="J611" s="102">
        <f t="shared" si="1786"/>
        <v>66023.44</v>
      </c>
      <c r="K611" s="319">
        <f t="shared" si="1787"/>
        <v>66023.44</v>
      </c>
      <c r="L611" s="102">
        <f t="shared" si="1788"/>
        <v>65713.440000000002</v>
      </c>
      <c r="M611" s="319">
        <f t="shared" si="1789"/>
        <v>65713.440000000002</v>
      </c>
      <c r="N611" s="102">
        <f t="shared" si="1790"/>
        <v>65643.44</v>
      </c>
      <c r="O611" s="319">
        <f t="shared" si="1791"/>
        <v>65643.44</v>
      </c>
      <c r="P611" s="102">
        <f t="shared" si="1792"/>
        <v>65603.44</v>
      </c>
      <c r="Q611" s="319">
        <f t="shared" si="1793"/>
        <v>65603.44</v>
      </c>
      <c r="R611" s="102">
        <f t="shared" si="1794"/>
        <v>65573.440000000002</v>
      </c>
      <c r="S611" s="319">
        <f t="shared" si="1795"/>
        <v>65573.440000000002</v>
      </c>
      <c r="T611" s="102">
        <f t="shared" si="1796"/>
        <v>65533.439999999995</v>
      </c>
      <c r="U611" s="319">
        <f t="shared" si="1797"/>
        <v>65533.439999999995</v>
      </c>
      <c r="V611" s="102">
        <f t="shared" si="1798"/>
        <v>65493.439999999995</v>
      </c>
      <c r="W611" s="319">
        <f t="shared" si="1799"/>
        <v>65493.439999999995</v>
      </c>
      <c r="X611" s="139"/>
      <c r="Y611" s="134"/>
      <c r="Z611" s="140"/>
      <c r="AA611" s="141"/>
      <c r="AB611" s="403">
        <v>717</v>
      </c>
    </row>
    <row r="612" spans="1:28" ht="12" customHeight="1" x14ac:dyDescent="0.2">
      <c r="A612" s="4"/>
      <c r="B612" s="723" t="s">
        <v>732</v>
      </c>
      <c r="C612" s="724"/>
      <c r="D612" s="724"/>
      <c r="E612" s="725"/>
      <c r="F612" s="379">
        <f>97.31*X2</f>
        <v>105484.04000000001</v>
      </c>
      <c r="G612" s="287">
        <f t="shared" ref="G612" si="1802">+F612*$X$1</f>
        <v>105484.04000000001</v>
      </c>
      <c r="H612" s="103">
        <f t="shared" si="1784"/>
        <v>109484.04000000001</v>
      </c>
      <c r="I612" s="306">
        <f t="shared" si="1785"/>
        <v>109484.04000000001</v>
      </c>
      <c r="J612" s="103">
        <f t="shared" si="1786"/>
        <v>106294.04000000001</v>
      </c>
      <c r="K612" s="306">
        <f t="shared" si="1787"/>
        <v>106294.04000000001</v>
      </c>
      <c r="L612" s="103">
        <f t="shared" si="1788"/>
        <v>105984.04000000001</v>
      </c>
      <c r="M612" s="306">
        <f t="shared" si="1789"/>
        <v>105984.04000000001</v>
      </c>
      <c r="N612" s="103">
        <f t="shared" si="1790"/>
        <v>105914.04000000001</v>
      </c>
      <c r="O612" s="306">
        <f t="shared" si="1791"/>
        <v>105914.04000000001</v>
      </c>
      <c r="P612" s="103">
        <f t="shared" si="1792"/>
        <v>105874.04000000001</v>
      </c>
      <c r="Q612" s="306">
        <f t="shared" si="1793"/>
        <v>105874.04000000001</v>
      </c>
      <c r="R612" s="103">
        <f t="shared" si="1794"/>
        <v>105844.04000000001</v>
      </c>
      <c r="S612" s="306">
        <f t="shared" si="1795"/>
        <v>105844.04000000001</v>
      </c>
      <c r="T612" s="103">
        <f t="shared" si="1796"/>
        <v>105804.04000000001</v>
      </c>
      <c r="U612" s="306">
        <f t="shared" si="1797"/>
        <v>105804.04000000001</v>
      </c>
      <c r="V612" s="103">
        <f t="shared" si="1798"/>
        <v>105764.04000000001</v>
      </c>
      <c r="W612" s="306">
        <f t="shared" si="1799"/>
        <v>105764.04000000001</v>
      </c>
      <c r="X612" s="139"/>
      <c r="Y612" s="134"/>
      <c r="Z612" s="140"/>
      <c r="AA612" s="141"/>
      <c r="AB612" s="403">
        <v>718</v>
      </c>
    </row>
    <row r="613" spans="1:28" ht="12" customHeight="1" x14ac:dyDescent="0.2">
      <c r="A613" s="4"/>
      <c r="B613" s="756" t="s">
        <v>847</v>
      </c>
      <c r="C613" s="757"/>
      <c r="D613" s="757"/>
      <c r="E613" s="758"/>
      <c r="F613" s="380">
        <f>32.96*X2</f>
        <v>35728.639999999999</v>
      </c>
      <c r="G613" s="288">
        <f t="shared" ref="G613" si="1803">+F613*$X$1</f>
        <v>35728.639999999999</v>
      </c>
      <c r="H613" s="102">
        <f t="shared" si="1784"/>
        <v>39728.639999999999</v>
      </c>
      <c r="I613" s="319">
        <f t="shared" si="1785"/>
        <v>39728.639999999999</v>
      </c>
      <c r="J613" s="102">
        <f t="shared" si="1786"/>
        <v>36538.639999999999</v>
      </c>
      <c r="K613" s="319">
        <f t="shared" si="1787"/>
        <v>36538.639999999999</v>
      </c>
      <c r="L613" s="102">
        <f t="shared" si="1788"/>
        <v>36228.639999999999</v>
      </c>
      <c r="M613" s="319">
        <f t="shared" si="1789"/>
        <v>36228.639999999999</v>
      </c>
      <c r="N613" s="102">
        <f t="shared" si="1790"/>
        <v>36158.639999999999</v>
      </c>
      <c r="O613" s="319">
        <f t="shared" si="1791"/>
        <v>36158.639999999999</v>
      </c>
      <c r="P613" s="102">
        <f t="shared" si="1792"/>
        <v>36118.639999999999</v>
      </c>
      <c r="Q613" s="319">
        <f t="shared" si="1793"/>
        <v>36118.639999999999</v>
      </c>
      <c r="R613" s="102">
        <f t="shared" si="1794"/>
        <v>36088.639999999999</v>
      </c>
      <c r="S613" s="319">
        <f t="shared" si="1795"/>
        <v>36088.639999999999</v>
      </c>
      <c r="T613" s="102">
        <f t="shared" si="1796"/>
        <v>36048.639999999999</v>
      </c>
      <c r="U613" s="319">
        <f t="shared" si="1797"/>
        <v>36048.639999999999</v>
      </c>
      <c r="V613" s="102">
        <f t="shared" si="1798"/>
        <v>36008.639999999999</v>
      </c>
      <c r="W613" s="319">
        <f t="shared" si="1799"/>
        <v>36008.639999999999</v>
      </c>
      <c r="X613" s="139"/>
      <c r="Y613" s="134"/>
      <c r="Z613" s="140"/>
      <c r="AA613" s="141"/>
      <c r="AB613" s="403">
        <v>719</v>
      </c>
    </row>
    <row r="614" spans="1:28" ht="12" customHeight="1" x14ac:dyDescent="0.2">
      <c r="A614" s="4"/>
      <c r="B614" s="759" t="s">
        <v>730</v>
      </c>
      <c r="C614" s="760"/>
      <c r="D614" s="760"/>
      <c r="E614" s="761"/>
      <c r="F614" s="379">
        <f>14.31*X2</f>
        <v>15512.04</v>
      </c>
      <c r="G614" s="287">
        <f t="shared" ref="G614" si="1804">+F614*$X$1</f>
        <v>15512.04</v>
      </c>
      <c r="H614" s="103">
        <f t="shared" si="1784"/>
        <v>19512.04</v>
      </c>
      <c r="I614" s="306">
        <f t="shared" si="1785"/>
        <v>19512.04</v>
      </c>
      <c r="J614" s="103">
        <f t="shared" si="1786"/>
        <v>16322.04</v>
      </c>
      <c r="K614" s="306">
        <f t="shared" si="1787"/>
        <v>16322.04</v>
      </c>
      <c r="L614" s="103">
        <f t="shared" si="1788"/>
        <v>16012.04</v>
      </c>
      <c r="M614" s="306">
        <f t="shared" si="1789"/>
        <v>16012.04</v>
      </c>
      <c r="N614" s="103">
        <f t="shared" si="1790"/>
        <v>15942.04</v>
      </c>
      <c r="O614" s="306">
        <f t="shared" si="1791"/>
        <v>15942.04</v>
      </c>
      <c r="P614" s="103">
        <f t="shared" si="1792"/>
        <v>15902.04</v>
      </c>
      <c r="Q614" s="306">
        <f t="shared" si="1793"/>
        <v>15902.04</v>
      </c>
      <c r="R614" s="103">
        <f t="shared" si="1794"/>
        <v>15872.04</v>
      </c>
      <c r="S614" s="306">
        <f t="shared" si="1795"/>
        <v>15872.04</v>
      </c>
      <c r="T614" s="103">
        <f t="shared" si="1796"/>
        <v>15832.04</v>
      </c>
      <c r="U614" s="306">
        <f t="shared" si="1797"/>
        <v>15832.04</v>
      </c>
      <c r="V614" s="103">
        <f t="shared" si="1798"/>
        <v>15792.04</v>
      </c>
      <c r="W614" s="306">
        <f t="shared" si="1799"/>
        <v>15792.04</v>
      </c>
      <c r="X614" s="139"/>
      <c r="Y614" s="134"/>
      <c r="Z614" s="140"/>
      <c r="AA614" s="141"/>
      <c r="AB614" s="403">
        <v>720</v>
      </c>
    </row>
    <row r="615" spans="1:28" ht="12" customHeight="1" x14ac:dyDescent="0.2">
      <c r="A615" s="4"/>
      <c r="B615" s="756" t="s">
        <v>729</v>
      </c>
      <c r="C615" s="757"/>
      <c r="D615" s="757"/>
      <c r="E615" s="758"/>
      <c r="F615" s="380">
        <f>40.98*X2</f>
        <v>44422.32</v>
      </c>
      <c r="G615" s="288">
        <f t="shared" ref="G615" si="1805">+F615*$X$1</f>
        <v>44422.32</v>
      </c>
      <c r="H615" s="102">
        <f t="shared" si="1784"/>
        <v>48422.32</v>
      </c>
      <c r="I615" s="319">
        <f t="shared" si="1785"/>
        <v>48422.32</v>
      </c>
      <c r="J615" s="102">
        <f t="shared" si="1786"/>
        <v>45232.32</v>
      </c>
      <c r="K615" s="319">
        <f t="shared" si="1787"/>
        <v>45232.32</v>
      </c>
      <c r="L615" s="102">
        <f t="shared" si="1788"/>
        <v>44922.32</v>
      </c>
      <c r="M615" s="319">
        <f t="shared" si="1789"/>
        <v>44922.32</v>
      </c>
      <c r="N615" s="102">
        <f t="shared" si="1790"/>
        <v>44852.32</v>
      </c>
      <c r="O615" s="319">
        <f t="shared" si="1791"/>
        <v>44852.32</v>
      </c>
      <c r="P615" s="102">
        <f t="shared" si="1792"/>
        <v>44812.32</v>
      </c>
      <c r="Q615" s="319">
        <f t="shared" si="1793"/>
        <v>44812.32</v>
      </c>
      <c r="R615" s="102">
        <f t="shared" si="1794"/>
        <v>44782.32</v>
      </c>
      <c r="S615" s="319">
        <f t="shared" si="1795"/>
        <v>44782.32</v>
      </c>
      <c r="T615" s="102">
        <f t="shared" si="1796"/>
        <v>44742.32</v>
      </c>
      <c r="U615" s="319">
        <f t="shared" si="1797"/>
        <v>44742.32</v>
      </c>
      <c r="V615" s="102">
        <f t="shared" si="1798"/>
        <v>44702.32</v>
      </c>
      <c r="W615" s="319">
        <f t="shared" si="1799"/>
        <v>44702.32</v>
      </c>
      <c r="X615" s="139"/>
      <c r="Y615" s="134"/>
      <c r="Z615" s="140"/>
      <c r="AA615" s="141"/>
      <c r="AB615" s="403">
        <v>721</v>
      </c>
    </row>
    <row r="616" spans="1:28" ht="12.6" customHeight="1" x14ac:dyDescent="0.2">
      <c r="A616" s="4"/>
      <c r="B616" s="759" t="s">
        <v>863</v>
      </c>
      <c r="C616" s="760"/>
      <c r="D616" s="760"/>
      <c r="E616" s="761"/>
      <c r="F616" s="379">
        <f>5.4*X2</f>
        <v>5853.6</v>
      </c>
      <c r="G616" s="287">
        <f t="shared" ref="G616" si="1806">+F616*$X$1</f>
        <v>5853.6</v>
      </c>
      <c r="H616" s="103">
        <f t="shared" si="1784"/>
        <v>9853.6</v>
      </c>
      <c r="I616" s="306">
        <f t="shared" si="1785"/>
        <v>9853.6</v>
      </c>
      <c r="J616" s="103">
        <f t="shared" si="1786"/>
        <v>6663.6</v>
      </c>
      <c r="K616" s="306">
        <f t="shared" si="1787"/>
        <v>6663.6</v>
      </c>
      <c r="L616" s="103">
        <f t="shared" si="1788"/>
        <v>6353.6</v>
      </c>
      <c r="M616" s="306">
        <f t="shared" si="1789"/>
        <v>6353.6</v>
      </c>
      <c r="N616" s="103">
        <f t="shared" si="1790"/>
        <v>6283.6</v>
      </c>
      <c r="O616" s="306">
        <f t="shared" si="1791"/>
        <v>6283.6</v>
      </c>
      <c r="P616" s="103">
        <f t="shared" si="1792"/>
        <v>6243.6</v>
      </c>
      <c r="Q616" s="306">
        <f t="shared" si="1793"/>
        <v>6243.6</v>
      </c>
      <c r="R616" s="103">
        <f t="shared" si="1794"/>
        <v>6213.6</v>
      </c>
      <c r="S616" s="306">
        <f t="shared" si="1795"/>
        <v>6213.6</v>
      </c>
      <c r="T616" s="103">
        <f t="shared" si="1796"/>
        <v>6173.6</v>
      </c>
      <c r="U616" s="306">
        <f t="shared" si="1797"/>
        <v>6173.6</v>
      </c>
      <c r="V616" s="103">
        <f t="shared" si="1798"/>
        <v>6133.6</v>
      </c>
      <c r="W616" s="306">
        <f t="shared" si="1799"/>
        <v>6133.6</v>
      </c>
      <c r="X616" s="139"/>
      <c r="Y616" s="134"/>
      <c r="Z616" s="140"/>
      <c r="AA616" s="141"/>
      <c r="AB616" s="192">
        <v>741</v>
      </c>
    </row>
    <row r="617" spans="1:28" ht="12" customHeight="1" x14ac:dyDescent="0.2">
      <c r="A617" s="4"/>
      <c r="B617" s="756" t="s">
        <v>624</v>
      </c>
      <c r="C617" s="757"/>
      <c r="D617" s="757"/>
      <c r="E617" s="758"/>
      <c r="F617" s="380">
        <f>19.7*X2</f>
        <v>21354.799999999999</v>
      </c>
      <c r="G617" s="288">
        <f>+F617*$X$1</f>
        <v>21354.799999999999</v>
      </c>
      <c r="H617" s="102">
        <f t="shared" si="1784"/>
        <v>25354.799999999999</v>
      </c>
      <c r="I617" s="319">
        <f t="shared" si="1785"/>
        <v>25354.799999999999</v>
      </c>
      <c r="J617" s="102">
        <f t="shared" si="1786"/>
        <v>22164.799999999999</v>
      </c>
      <c r="K617" s="319">
        <f t="shared" si="1787"/>
        <v>22164.799999999999</v>
      </c>
      <c r="L617" s="102">
        <f t="shared" si="1788"/>
        <v>21854.799999999999</v>
      </c>
      <c r="M617" s="319">
        <f t="shared" si="1789"/>
        <v>21854.799999999999</v>
      </c>
      <c r="N617" s="102">
        <f t="shared" si="1790"/>
        <v>21784.799999999999</v>
      </c>
      <c r="O617" s="319">
        <f t="shared" si="1791"/>
        <v>21784.799999999999</v>
      </c>
      <c r="P617" s="102">
        <f t="shared" si="1792"/>
        <v>21744.799999999999</v>
      </c>
      <c r="Q617" s="319">
        <f t="shared" si="1793"/>
        <v>21744.799999999999</v>
      </c>
      <c r="R617" s="102">
        <f t="shared" si="1794"/>
        <v>21714.799999999999</v>
      </c>
      <c r="S617" s="319">
        <f t="shared" si="1795"/>
        <v>21714.799999999999</v>
      </c>
      <c r="T617" s="102">
        <f t="shared" si="1796"/>
        <v>21674.799999999999</v>
      </c>
      <c r="U617" s="319">
        <f t="shared" si="1797"/>
        <v>21674.799999999999</v>
      </c>
      <c r="V617" s="102">
        <f t="shared" si="1798"/>
        <v>21634.799999999999</v>
      </c>
      <c r="W617" s="319">
        <f t="shared" si="1799"/>
        <v>21634.799999999999</v>
      </c>
      <c r="X617" s="139"/>
      <c r="Y617" s="134"/>
      <c r="Z617" s="140"/>
      <c r="AA617" s="141"/>
      <c r="AB617" s="192">
        <v>742</v>
      </c>
    </row>
    <row r="618" spans="1:28" ht="12" customHeight="1" x14ac:dyDescent="0.2">
      <c r="A618" s="4"/>
      <c r="B618" s="759" t="s">
        <v>625</v>
      </c>
      <c r="C618" s="760"/>
      <c r="D618" s="760"/>
      <c r="E618" s="761"/>
      <c r="F618" s="379">
        <f>20.2*X2</f>
        <v>21896.799999999999</v>
      </c>
      <c r="G618" s="287">
        <f>+F618*$X$1</f>
        <v>21896.799999999999</v>
      </c>
      <c r="H618" s="103">
        <f t="shared" si="1784"/>
        <v>25896.799999999999</v>
      </c>
      <c r="I618" s="306">
        <f t="shared" si="1785"/>
        <v>25896.799999999999</v>
      </c>
      <c r="J618" s="103">
        <f t="shared" si="1786"/>
        <v>22706.799999999999</v>
      </c>
      <c r="K618" s="306">
        <f t="shared" si="1787"/>
        <v>22706.799999999999</v>
      </c>
      <c r="L618" s="103">
        <f t="shared" si="1788"/>
        <v>22396.799999999999</v>
      </c>
      <c r="M618" s="306">
        <f t="shared" si="1789"/>
        <v>22396.799999999999</v>
      </c>
      <c r="N618" s="103">
        <f t="shared" si="1790"/>
        <v>22326.799999999999</v>
      </c>
      <c r="O618" s="306">
        <f t="shared" si="1791"/>
        <v>22326.799999999999</v>
      </c>
      <c r="P618" s="103">
        <f t="shared" si="1792"/>
        <v>22286.799999999999</v>
      </c>
      <c r="Q618" s="306">
        <f t="shared" si="1793"/>
        <v>22286.799999999999</v>
      </c>
      <c r="R618" s="103">
        <f t="shared" si="1794"/>
        <v>22256.799999999999</v>
      </c>
      <c r="S618" s="306">
        <f t="shared" si="1795"/>
        <v>22256.799999999999</v>
      </c>
      <c r="T618" s="103">
        <f t="shared" si="1796"/>
        <v>22216.799999999999</v>
      </c>
      <c r="U618" s="306">
        <f t="shared" si="1797"/>
        <v>22216.799999999999</v>
      </c>
      <c r="V618" s="103">
        <f t="shared" si="1798"/>
        <v>22176.799999999999</v>
      </c>
      <c r="W618" s="306">
        <f t="shared" si="1799"/>
        <v>22176.799999999999</v>
      </c>
      <c r="X618" s="139"/>
      <c r="Y618" s="134"/>
      <c r="Z618" s="140"/>
      <c r="AA618" s="141"/>
      <c r="AB618" s="192">
        <v>743</v>
      </c>
    </row>
    <row r="619" spans="1:28" ht="12" customHeight="1" x14ac:dyDescent="0.2">
      <c r="A619" s="4"/>
      <c r="B619" s="756" t="s">
        <v>704</v>
      </c>
      <c r="C619" s="757"/>
      <c r="D619" s="757"/>
      <c r="E619" s="758"/>
      <c r="F619" s="380">
        <f>17*X2</f>
        <v>18428</v>
      </c>
      <c r="G619" s="288">
        <f t="shared" ref="G619" si="1807">+F619*$X$1</f>
        <v>18428</v>
      </c>
      <c r="H619" s="102">
        <f t="shared" si="1784"/>
        <v>22428</v>
      </c>
      <c r="I619" s="319">
        <f t="shared" si="1785"/>
        <v>22428</v>
      </c>
      <c r="J619" s="102">
        <f t="shared" si="1786"/>
        <v>19238</v>
      </c>
      <c r="K619" s="319">
        <f t="shared" si="1787"/>
        <v>19238</v>
      </c>
      <c r="L619" s="102">
        <f t="shared" si="1788"/>
        <v>18928</v>
      </c>
      <c r="M619" s="319">
        <f t="shared" si="1789"/>
        <v>18928</v>
      </c>
      <c r="N619" s="102">
        <f t="shared" si="1790"/>
        <v>18858</v>
      </c>
      <c r="O619" s="319">
        <f t="shared" si="1791"/>
        <v>18858</v>
      </c>
      <c r="P619" s="102">
        <f t="shared" si="1792"/>
        <v>18818</v>
      </c>
      <c r="Q619" s="319">
        <f t="shared" si="1793"/>
        <v>18818</v>
      </c>
      <c r="R619" s="102">
        <f t="shared" si="1794"/>
        <v>18788</v>
      </c>
      <c r="S619" s="319">
        <f t="shared" si="1795"/>
        <v>18788</v>
      </c>
      <c r="T619" s="102">
        <f t="shared" si="1796"/>
        <v>18748</v>
      </c>
      <c r="U619" s="319">
        <f t="shared" si="1797"/>
        <v>18748</v>
      </c>
      <c r="V619" s="102">
        <f t="shared" si="1798"/>
        <v>18708</v>
      </c>
      <c r="W619" s="319">
        <f t="shared" si="1799"/>
        <v>18708</v>
      </c>
      <c r="X619" s="139"/>
      <c r="Y619" s="134"/>
      <c r="Z619" s="140"/>
      <c r="AA619" s="141"/>
      <c r="AB619" s="192">
        <v>744</v>
      </c>
    </row>
    <row r="620" spans="1:28" ht="12" customHeight="1" x14ac:dyDescent="0.2">
      <c r="A620" s="4"/>
      <c r="B620" s="723" t="s">
        <v>924</v>
      </c>
      <c r="C620" s="724"/>
      <c r="D620" s="724"/>
      <c r="E620" s="725"/>
      <c r="F620" s="379">
        <f>4.9*X2</f>
        <v>5311.6</v>
      </c>
      <c r="G620" s="287">
        <f t="shared" ref="G620" si="1808">+F620*$X$1</f>
        <v>5311.6</v>
      </c>
      <c r="H620" s="103">
        <f t="shared" ref="H620" si="1809">F620+4000</f>
        <v>9311.6</v>
      </c>
      <c r="I620" s="306">
        <f t="shared" ref="I620" si="1810">+H620*$X$1</f>
        <v>9311.6</v>
      </c>
      <c r="J620" s="103">
        <f t="shared" ref="J620" si="1811">F620+810</f>
        <v>6121.6</v>
      </c>
      <c r="K620" s="306">
        <f t="shared" ref="K620" si="1812">+J620*$X$1</f>
        <v>6121.6</v>
      </c>
      <c r="L620" s="103">
        <f t="shared" ref="L620" si="1813">F620+500</f>
        <v>5811.6</v>
      </c>
      <c r="M620" s="306">
        <f t="shared" ref="M620" si="1814">+L620*$X$1</f>
        <v>5811.6</v>
      </c>
      <c r="N620" s="103">
        <f t="shared" ref="N620" si="1815">F620+430</f>
        <v>5741.6</v>
      </c>
      <c r="O620" s="306">
        <f t="shared" ref="O620" si="1816">+N620*$X$1</f>
        <v>5741.6</v>
      </c>
      <c r="P620" s="103">
        <f t="shared" ref="P620" si="1817">F620+390</f>
        <v>5701.6</v>
      </c>
      <c r="Q620" s="306">
        <f t="shared" ref="Q620" si="1818">+P620*$X$1</f>
        <v>5701.6</v>
      </c>
      <c r="R620" s="103">
        <f t="shared" ref="R620" si="1819">F620+360</f>
        <v>5671.6</v>
      </c>
      <c r="S620" s="306">
        <f t="shared" ref="S620" si="1820">+R620*$X$1</f>
        <v>5671.6</v>
      </c>
      <c r="T620" s="103">
        <f t="shared" ref="T620" si="1821">F620+320</f>
        <v>5631.6</v>
      </c>
      <c r="U620" s="306">
        <f t="shared" ref="U620" si="1822">+T620*$X$1</f>
        <v>5631.6</v>
      </c>
      <c r="V620" s="103">
        <f t="shared" ref="V620" si="1823">F620+280</f>
        <v>5591.6</v>
      </c>
      <c r="W620" s="306">
        <f t="shared" ref="W620" si="1824">+V620*$X$1</f>
        <v>5591.6</v>
      </c>
      <c r="X620" s="139"/>
      <c r="Y620" s="134"/>
      <c r="Z620" s="140"/>
      <c r="AA620" s="141"/>
      <c r="AB620" s="192">
        <v>745</v>
      </c>
    </row>
    <row r="621" spans="1:28" ht="12" customHeight="1" x14ac:dyDescent="0.2">
      <c r="A621" s="4"/>
      <c r="B621" s="723" t="s">
        <v>972</v>
      </c>
      <c r="C621" s="724"/>
      <c r="D621" s="724"/>
      <c r="E621" s="725"/>
      <c r="F621" s="380">
        <f>6.49*X2</f>
        <v>7035.16</v>
      </c>
      <c r="G621" s="288">
        <f t="shared" ref="G621:G622" si="1825">+F621*$X$1</f>
        <v>7035.16</v>
      </c>
      <c r="H621" s="102">
        <f t="shared" ref="H621:H622" si="1826">F621+4000</f>
        <v>11035.16</v>
      </c>
      <c r="I621" s="319">
        <f t="shared" ref="I621:I622" si="1827">+H621*$X$1</f>
        <v>11035.16</v>
      </c>
      <c r="J621" s="102">
        <f t="shared" ref="J621:J622" si="1828">F621+810</f>
        <v>7845.16</v>
      </c>
      <c r="K621" s="319">
        <f t="shared" ref="K621:K622" si="1829">+J621*$X$1</f>
        <v>7845.16</v>
      </c>
      <c r="L621" s="102">
        <f t="shared" ref="L621:L622" si="1830">F621+500</f>
        <v>7535.16</v>
      </c>
      <c r="M621" s="319">
        <f t="shared" ref="M621:M622" si="1831">+L621*$X$1</f>
        <v>7535.16</v>
      </c>
      <c r="N621" s="102">
        <f t="shared" ref="N621:N622" si="1832">F621+430</f>
        <v>7465.16</v>
      </c>
      <c r="O621" s="319">
        <f t="shared" ref="O621:O622" si="1833">+N621*$X$1</f>
        <v>7465.16</v>
      </c>
      <c r="P621" s="102">
        <f t="shared" ref="P621:P622" si="1834">F621+390</f>
        <v>7425.16</v>
      </c>
      <c r="Q621" s="319">
        <f t="shared" ref="Q621:Q622" si="1835">+P621*$X$1</f>
        <v>7425.16</v>
      </c>
      <c r="R621" s="102">
        <f t="shared" ref="R621:R622" si="1836">F621+360</f>
        <v>7395.16</v>
      </c>
      <c r="S621" s="319">
        <f t="shared" ref="S621:S622" si="1837">+R621*$X$1</f>
        <v>7395.16</v>
      </c>
      <c r="T621" s="102">
        <f t="shared" ref="T621:T622" si="1838">F621+320</f>
        <v>7355.16</v>
      </c>
      <c r="U621" s="319">
        <f t="shared" ref="U621:U622" si="1839">+T621*$X$1</f>
        <v>7355.16</v>
      </c>
      <c r="V621" s="102">
        <f t="shared" ref="V621:V622" si="1840">F621+280</f>
        <v>7315.16</v>
      </c>
      <c r="W621" s="319">
        <f t="shared" ref="W621:W622" si="1841">+V621*$X$1</f>
        <v>7315.16</v>
      </c>
      <c r="X621" s="139"/>
      <c r="Y621" s="134"/>
      <c r="Z621" s="140"/>
      <c r="AA621" s="141"/>
      <c r="AB621" s="192">
        <v>746</v>
      </c>
    </row>
    <row r="622" spans="1:28" ht="12" customHeight="1" x14ac:dyDescent="0.2">
      <c r="A622" s="4"/>
      <c r="B622" s="723" t="s">
        <v>963</v>
      </c>
      <c r="C622" s="724"/>
      <c r="D622" s="724"/>
      <c r="E622" s="725"/>
      <c r="F622" s="379">
        <f>4.077*X2</f>
        <v>4419.4679999999998</v>
      </c>
      <c r="G622" s="287">
        <f t="shared" si="1825"/>
        <v>4419.4679999999998</v>
      </c>
      <c r="H622" s="103">
        <f t="shared" si="1826"/>
        <v>8419.4680000000008</v>
      </c>
      <c r="I622" s="306">
        <f t="shared" si="1827"/>
        <v>8419.4680000000008</v>
      </c>
      <c r="J622" s="103">
        <f t="shared" si="1828"/>
        <v>5229.4679999999998</v>
      </c>
      <c r="K622" s="306">
        <f t="shared" si="1829"/>
        <v>5229.4679999999998</v>
      </c>
      <c r="L622" s="103">
        <f t="shared" si="1830"/>
        <v>4919.4679999999998</v>
      </c>
      <c r="M622" s="306">
        <f t="shared" si="1831"/>
        <v>4919.4679999999998</v>
      </c>
      <c r="N622" s="103">
        <f t="shared" si="1832"/>
        <v>4849.4679999999998</v>
      </c>
      <c r="O622" s="306">
        <f t="shared" si="1833"/>
        <v>4849.4679999999998</v>
      </c>
      <c r="P622" s="103">
        <f t="shared" si="1834"/>
        <v>4809.4679999999998</v>
      </c>
      <c r="Q622" s="306">
        <f t="shared" si="1835"/>
        <v>4809.4679999999998</v>
      </c>
      <c r="R622" s="103">
        <f t="shared" si="1836"/>
        <v>4779.4679999999998</v>
      </c>
      <c r="S622" s="306">
        <f t="shared" si="1837"/>
        <v>4779.4679999999998</v>
      </c>
      <c r="T622" s="103">
        <f t="shared" si="1838"/>
        <v>4739.4679999999998</v>
      </c>
      <c r="U622" s="306">
        <f t="shared" si="1839"/>
        <v>4739.4679999999998</v>
      </c>
      <c r="V622" s="103">
        <f t="shared" si="1840"/>
        <v>4699.4679999999998</v>
      </c>
      <c r="W622" s="306">
        <f t="shared" si="1841"/>
        <v>4699.4679999999998</v>
      </c>
      <c r="X622" s="139"/>
      <c r="Y622" s="134"/>
      <c r="Z622" s="140"/>
      <c r="AA622" s="141"/>
      <c r="AB622" s="192">
        <v>760</v>
      </c>
    </row>
    <row r="623" spans="1:28" ht="12" customHeight="1" x14ac:dyDescent="0.2">
      <c r="A623" s="4"/>
      <c r="B623" s="1192" t="s">
        <v>599</v>
      </c>
      <c r="C623" s="1193"/>
      <c r="D623" s="1193"/>
      <c r="E623" s="1193"/>
      <c r="F623" s="391"/>
      <c r="G623" s="391"/>
      <c r="H623" s="458">
        <v>1700</v>
      </c>
      <c r="I623" s="288">
        <f t="shared" ref="I623:K623" si="1842">+H623*$X$1</f>
        <v>1700</v>
      </c>
      <c r="J623" s="458">
        <v>810</v>
      </c>
      <c r="K623" s="288">
        <f t="shared" si="1842"/>
        <v>810</v>
      </c>
      <c r="L623" s="458">
        <v>600</v>
      </c>
      <c r="M623" s="288">
        <f t="shared" ref="M623" si="1843">+L623*$X$1</f>
        <v>600</v>
      </c>
      <c r="N623" s="458">
        <v>520</v>
      </c>
      <c r="O623" s="288">
        <f t="shared" ref="O623" si="1844">+N623*$X$1</f>
        <v>520</v>
      </c>
      <c r="P623" s="458">
        <v>480</v>
      </c>
      <c r="Q623" s="288">
        <f t="shared" ref="Q623" si="1845">+P623*$X$1</f>
        <v>480</v>
      </c>
      <c r="R623" s="458">
        <v>430</v>
      </c>
      <c r="S623" s="288">
        <f t="shared" ref="S623" si="1846">+R623*$X$1</f>
        <v>430</v>
      </c>
      <c r="T623" s="458">
        <v>390</v>
      </c>
      <c r="U623" s="288">
        <f t="shared" ref="U623" si="1847">+T623*$X$1</f>
        <v>390</v>
      </c>
      <c r="V623" s="458">
        <v>360</v>
      </c>
      <c r="W623" s="288">
        <f t="shared" ref="W623" si="1848">+V623*$X$1</f>
        <v>360</v>
      </c>
      <c r="X623" s="139"/>
      <c r="Y623" s="134"/>
      <c r="Z623" s="140"/>
      <c r="AA623" s="140"/>
      <c r="AB623" s="39"/>
    </row>
    <row r="624" spans="1:28" ht="9.75" customHeight="1" x14ac:dyDescent="0.2">
      <c r="A624" s="75"/>
      <c r="B624" s="108"/>
      <c r="C624" s="464"/>
      <c r="D624" s="464"/>
      <c r="E624" s="464"/>
      <c r="F624" s="334"/>
      <c r="G624" s="334"/>
      <c r="H624" s="117"/>
      <c r="I624" s="334"/>
      <c r="J624" s="117"/>
      <c r="K624" s="334"/>
      <c r="L624" s="117"/>
      <c r="M624" s="334"/>
      <c r="N624" s="117"/>
      <c r="O624" s="334"/>
      <c r="P624" s="117"/>
      <c r="Q624" s="334"/>
      <c r="R624" s="117"/>
      <c r="S624" s="334"/>
      <c r="T624" s="117"/>
      <c r="U624" s="334"/>
      <c r="V624" s="117"/>
      <c r="W624" s="334"/>
      <c r="X624" s="200"/>
      <c r="Y624" s="75"/>
      <c r="Z624" s="201"/>
      <c r="AA624" s="201"/>
      <c r="AB624" s="202"/>
    </row>
    <row r="625" spans="1:34" ht="14.25" customHeight="1" x14ac:dyDescent="0.2">
      <c r="B625" s="1146" t="s">
        <v>818</v>
      </c>
      <c r="C625" s="1147"/>
      <c r="D625" s="1147"/>
      <c r="E625" s="1147"/>
      <c r="F625" s="1147"/>
      <c r="G625" s="1147"/>
      <c r="H625" s="1147"/>
      <c r="I625" s="1147"/>
      <c r="J625" s="1147"/>
      <c r="K625" s="1147"/>
      <c r="L625" s="1147"/>
      <c r="M625" s="1147"/>
      <c r="N625" s="1147"/>
      <c r="O625" s="1147"/>
      <c r="P625" s="1147"/>
      <c r="Q625" s="1147"/>
      <c r="R625" s="1147"/>
      <c r="S625" s="1147"/>
      <c r="T625" s="1147"/>
      <c r="U625" s="1147"/>
      <c r="V625" s="1147"/>
      <c r="W625" s="1147"/>
      <c r="AB625" s="4"/>
      <c r="AF625" s="703"/>
      <c r="AG625" s="704"/>
      <c r="AH625" s="704"/>
    </row>
    <row r="626" spans="1:34" ht="12" customHeight="1" x14ac:dyDescent="0.2">
      <c r="B626" s="745" t="s">
        <v>11</v>
      </c>
      <c r="C626" s="745" t="s">
        <v>12</v>
      </c>
      <c r="D626" s="746"/>
      <c r="E626" s="746"/>
      <c r="F626" s="754" t="s">
        <v>287</v>
      </c>
      <c r="G626" s="754" t="s">
        <v>13</v>
      </c>
      <c r="H626" s="738" t="s">
        <v>810</v>
      </c>
      <c r="I626" s="738"/>
      <c r="J626" s="739"/>
      <c r="K626" s="739"/>
      <c r="L626" s="739"/>
      <c r="M626" s="739"/>
      <c r="N626" s="739"/>
      <c r="O626" s="739"/>
      <c r="P626" s="739"/>
      <c r="Q626" s="739"/>
      <c r="R626" s="739"/>
      <c r="S626" s="739"/>
      <c r="T626" s="739"/>
      <c r="U626" s="739"/>
      <c r="V626" s="739"/>
      <c r="W626" s="739"/>
      <c r="X626" s="715" t="s">
        <v>14</v>
      </c>
      <c r="Y626" s="716"/>
      <c r="Z626" s="716"/>
      <c r="AA626" s="716"/>
      <c r="AB626" s="721" t="s">
        <v>15</v>
      </c>
      <c r="AF626" s="703"/>
      <c r="AG626" s="704"/>
      <c r="AH626" s="704"/>
    </row>
    <row r="627" spans="1:34" ht="11.25" customHeight="1" x14ac:dyDescent="0.2">
      <c r="B627" s="746"/>
      <c r="C627" s="746"/>
      <c r="D627" s="746"/>
      <c r="E627" s="746"/>
      <c r="F627" s="755"/>
      <c r="G627" s="755"/>
      <c r="H627" s="473"/>
      <c r="I627" s="472" t="s">
        <v>288</v>
      </c>
      <c r="J627" s="473"/>
      <c r="K627" s="472" t="s">
        <v>289</v>
      </c>
      <c r="L627" s="473"/>
      <c r="M627" s="472" t="s">
        <v>561</v>
      </c>
      <c r="N627" s="473"/>
      <c r="O627" s="472" t="s">
        <v>17</v>
      </c>
      <c r="P627" s="473"/>
      <c r="Q627" s="472" t="s">
        <v>18</v>
      </c>
      <c r="R627" s="473"/>
      <c r="S627" s="472" t="s">
        <v>19</v>
      </c>
      <c r="T627" s="473"/>
      <c r="U627" s="472" t="s">
        <v>291</v>
      </c>
      <c r="V627" s="473"/>
      <c r="W627" s="472" t="s">
        <v>20</v>
      </c>
      <c r="X627" s="718"/>
      <c r="Y627" s="719"/>
      <c r="Z627" s="719"/>
      <c r="AA627" s="719"/>
      <c r="AB627" s="691"/>
    </row>
    <row r="628" spans="1:34" ht="12.6" customHeight="1" x14ac:dyDescent="0.2">
      <c r="A628" s="18"/>
      <c r="B628" s="793" t="s">
        <v>540</v>
      </c>
      <c r="C628" s="750"/>
      <c r="D628" s="750"/>
      <c r="E628" s="751"/>
      <c r="F628" s="306">
        <v>3500</v>
      </c>
      <c r="G628" s="255"/>
      <c r="H628" s="103"/>
      <c r="I628" s="306"/>
      <c r="J628" s="584">
        <f>F628+500</f>
        <v>4000</v>
      </c>
      <c r="K628" s="287">
        <f t="shared" ref="K628" si="1849">+J628*$X$1</f>
        <v>4000</v>
      </c>
      <c r="L628" s="584">
        <f t="shared" ref="L628:L638" si="1850">F628+450</f>
        <v>3950</v>
      </c>
      <c r="M628" s="287">
        <f t="shared" ref="M628" si="1851">+L628*$X$1</f>
        <v>3950</v>
      </c>
      <c r="N628" s="584">
        <f t="shared" ref="N628:N638" si="1852">F628+400</f>
        <v>3900</v>
      </c>
      <c r="O628" s="287">
        <f t="shared" ref="O628" si="1853">+N628*$X$1</f>
        <v>3900</v>
      </c>
      <c r="P628" s="584">
        <f t="shared" ref="P628:P638" si="1854">F628+350</f>
        <v>3850</v>
      </c>
      <c r="Q628" s="287">
        <f t="shared" ref="Q628" si="1855">+P628*$X$1</f>
        <v>3850</v>
      </c>
      <c r="R628" s="584">
        <f t="shared" ref="R628:R638" si="1856">F628+310</f>
        <v>3810</v>
      </c>
      <c r="S628" s="287">
        <f t="shared" ref="S628" si="1857">+R628*$X$1</f>
        <v>3810</v>
      </c>
      <c r="T628" s="584">
        <f t="shared" ref="T628:T638" si="1858">F628+280</f>
        <v>3780</v>
      </c>
      <c r="U628" s="287">
        <f t="shared" ref="U628" si="1859">+T628*$X$1</f>
        <v>3780</v>
      </c>
      <c r="V628" s="584">
        <f t="shared" ref="V628:V638" si="1860">F628+250</f>
        <v>3750</v>
      </c>
      <c r="W628" s="287">
        <f t="shared" ref="W628" si="1861">+V628*$X$1</f>
        <v>3750</v>
      </c>
      <c r="X628" s="142"/>
      <c r="Y628" s="143"/>
      <c r="Z628" s="143"/>
      <c r="AA628" s="143"/>
      <c r="AB628" s="417" t="s">
        <v>785</v>
      </c>
    </row>
    <row r="629" spans="1:34" ht="12.6" customHeight="1" x14ac:dyDescent="0.2">
      <c r="A629" s="18"/>
      <c r="B629" s="699" t="s">
        <v>393</v>
      </c>
      <c r="C629" s="978"/>
      <c r="D629" s="978"/>
      <c r="E629" s="979"/>
      <c r="F629" s="288">
        <v>1400</v>
      </c>
      <c r="G629" s="305"/>
      <c r="H629" s="458"/>
      <c r="I629" s="288"/>
      <c r="J629" s="458"/>
      <c r="K629" s="288"/>
      <c r="L629" s="458">
        <f t="shared" si="1850"/>
        <v>1850</v>
      </c>
      <c r="M629" s="288">
        <f t="shared" ref="M629" si="1862">+L629*$X$1</f>
        <v>1850</v>
      </c>
      <c r="N629" s="458">
        <f t="shared" si="1852"/>
        <v>1800</v>
      </c>
      <c r="O629" s="288">
        <f t="shared" ref="O629" si="1863">+N629*$X$1</f>
        <v>1800</v>
      </c>
      <c r="P629" s="458">
        <f t="shared" si="1854"/>
        <v>1750</v>
      </c>
      <c r="Q629" s="288">
        <f t="shared" ref="Q629" si="1864">+P629*$X$1</f>
        <v>1750</v>
      </c>
      <c r="R629" s="458">
        <f t="shared" si="1856"/>
        <v>1710</v>
      </c>
      <c r="S629" s="288">
        <f t="shared" ref="S629" si="1865">+R629*$X$1</f>
        <v>1710</v>
      </c>
      <c r="T629" s="458">
        <f t="shared" si="1858"/>
        <v>1680</v>
      </c>
      <c r="U629" s="288">
        <f t="shared" ref="U629" si="1866">+T629*$X$1</f>
        <v>1680</v>
      </c>
      <c r="V629" s="458">
        <f t="shared" si="1860"/>
        <v>1650</v>
      </c>
      <c r="W629" s="288">
        <f t="shared" ref="W629" si="1867">+V629*$X$1</f>
        <v>1650</v>
      </c>
      <c r="X629" s="142"/>
      <c r="Y629" s="143"/>
      <c r="Z629" s="143"/>
      <c r="AA629" s="143"/>
      <c r="AB629" s="32"/>
    </row>
    <row r="630" spans="1:34" ht="12.6" customHeight="1" x14ac:dyDescent="0.2">
      <c r="A630" s="18"/>
      <c r="B630" s="732" t="s">
        <v>439</v>
      </c>
      <c r="C630" s="733"/>
      <c r="D630" s="733"/>
      <c r="E630" s="734"/>
      <c r="F630" s="306">
        <v>3710</v>
      </c>
      <c r="G630" s="255"/>
      <c r="H630" s="584">
        <f>F630+1000</f>
        <v>4710</v>
      </c>
      <c r="I630" s="287">
        <f t="shared" ref="I630" si="1868">+H630*$X$1</f>
        <v>4710</v>
      </c>
      <c r="J630" s="584">
        <f t="shared" ref="J630:J638" si="1869">F630+500</f>
        <v>4210</v>
      </c>
      <c r="K630" s="287">
        <f t="shared" ref="K630:K638" si="1870">+J630*$X$1</f>
        <v>4210</v>
      </c>
      <c r="L630" s="584">
        <f t="shared" si="1850"/>
        <v>4160</v>
      </c>
      <c r="M630" s="287">
        <f t="shared" ref="M630:M638" si="1871">+L630*$X$1</f>
        <v>4160</v>
      </c>
      <c r="N630" s="584">
        <f t="shared" si="1852"/>
        <v>4110</v>
      </c>
      <c r="O630" s="287">
        <f t="shared" ref="O630:O638" si="1872">+N630*$X$1</f>
        <v>4110</v>
      </c>
      <c r="P630" s="584">
        <f t="shared" si="1854"/>
        <v>4060</v>
      </c>
      <c r="Q630" s="287">
        <f t="shared" ref="Q630:Q638" si="1873">+P630*$X$1</f>
        <v>4060</v>
      </c>
      <c r="R630" s="584">
        <f t="shared" si="1856"/>
        <v>4020</v>
      </c>
      <c r="S630" s="287">
        <f t="shared" ref="S630:S638" si="1874">+R630*$X$1</f>
        <v>4020</v>
      </c>
      <c r="T630" s="584">
        <f t="shared" si="1858"/>
        <v>3990</v>
      </c>
      <c r="U630" s="287">
        <f t="shared" ref="U630:U638" si="1875">+T630*$X$1</f>
        <v>3990</v>
      </c>
      <c r="V630" s="584">
        <f t="shared" si="1860"/>
        <v>3960</v>
      </c>
      <c r="W630" s="287">
        <f t="shared" ref="W630:W638" si="1876">+V630*$X$1</f>
        <v>3960</v>
      </c>
      <c r="X630" s="142"/>
      <c r="Y630" s="143"/>
      <c r="Z630" s="143"/>
      <c r="AA630" s="143"/>
      <c r="AB630" s="403" t="s">
        <v>786</v>
      </c>
    </row>
    <row r="631" spans="1:34" ht="12.6" customHeight="1" x14ac:dyDescent="0.2">
      <c r="A631" s="18"/>
      <c r="B631" s="699" t="s">
        <v>292</v>
      </c>
      <c r="C631" s="740"/>
      <c r="D631" s="740"/>
      <c r="E631" s="741"/>
      <c r="F631" s="319"/>
      <c r="G631" s="305"/>
      <c r="H631" s="458"/>
      <c r="I631" s="288"/>
      <c r="J631" s="458"/>
      <c r="K631" s="288"/>
      <c r="L631" s="458"/>
      <c r="M631" s="288"/>
      <c r="N631" s="458"/>
      <c r="O631" s="288"/>
      <c r="P631" s="458"/>
      <c r="Q631" s="288"/>
      <c r="R631" s="458"/>
      <c r="S631" s="288"/>
      <c r="T631" s="458"/>
      <c r="U631" s="288"/>
      <c r="V631" s="458"/>
      <c r="W631" s="288"/>
      <c r="X631" s="142"/>
      <c r="Y631" s="143"/>
      <c r="Z631" s="143"/>
      <c r="AA631" s="143"/>
      <c r="AB631" s="403" t="s">
        <v>787</v>
      </c>
    </row>
    <row r="632" spans="1:34" ht="12.6" customHeight="1" x14ac:dyDescent="0.2">
      <c r="A632" s="18"/>
      <c r="B632" s="1195" t="s">
        <v>293</v>
      </c>
      <c r="C632" s="1196"/>
      <c r="D632" s="1196"/>
      <c r="E632" s="1197"/>
      <c r="F632" s="631">
        <v>3043</v>
      </c>
      <c r="G632" s="255"/>
      <c r="H632" s="584"/>
      <c r="I632" s="287"/>
      <c r="J632" s="584">
        <f t="shared" si="1869"/>
        <v>3543</v>
      </c>
      <c r="K632" s="287">
        <f t="shared" si="1870"/>
        <v>3543</v>
      </c>
      <c r="L632" s="584">
        <f t="shared" si="1850"/>
        <v>3493</v>
      </c>
      <c r="M632" s="287">
        <f t="shared" si="1871"/>
        <v>3493</v>
      </c>
      <c r="N632" s="584">
        <f t="shared" si="1852"/>
        <v>3443</v>
      </c>
      <c r="O632" s="287">
        <f t="shared" si="1872"/>
        <v>3443</v>
      </c>
      <c r="P632" s="584">
        <f t="shared" si="1854"/>
        <v>3393</v>
      </c>
      <c r="Q632" s="287">
        <f t="shared" si="1873"/>
        <v>3393</v>
      </c>
      <c r="R632" s="584">
        <f t="shared" si="1856"/>
        <v>3353</v>
      </c>
      <c r="S632" s="287">
        <f t="shared" si="1874"/>
        <v>3353</v>
      </c>
      <c r="T632" s="584">
        <f t="shared" si="1858"/>
        <v>3323</v>
      </c>
      <c r="U632" s="287">
        <f t="shared" si="1875"/>
        <v>3323</v>
      </c>
      <c r="V632" s="584">
        <f t="shared" si="1860"/>
        <v>3293</v>
      </c>
      <c r="W632" s="287">
        <f t="shared" si="1876"/>
        <v>3293</v>
      </c>
      <c r="X632" s="142"/>
      <c r="Y632" s="143"/>
      <c r="Z632" s="143"/>
      <c r="AA632" s="143"/>
      <c r="AB632" s="403" t="s">
        <v>879</v>
      </c>
    </row>
    <row r="633" spans="1:34" ht="12.6" customHeight="1" x14ac:dyDescent="0.2">
      <c r="A633" s="18"/>
      <c r="B633" s="694" t="s">
        <v>294</v>
      </c>
      <c r="C633" s="695"/>
      <c r="D633" s="695"/>
      <c r="E633" s="695"/>
      <c r="F633" s="288">
        <v>2778</v>
      </c>
      <c r="G633" s="305"/>
      <c r="H633" s="458"/>
      <c r="I633" s="288"/>
      <c r="J633" s="458">
        <f t="shared" si="1869"/>
        <v>3278</v>
      </c>
      <c r="K633" s="288">
        <f t="shared" si="1870"/>
        <v>3278</v>
      </c>
      <c r="L633" s="458">
        <f t="shared" si="1850"/>
        <v>3228</v>
      </c>
      <c r="M633" s="288">
        <f t="shared" si="1871"/>
        <v>3228</v>
      </c>
      <c r="N633" s="458">
        <f t="shared" si="1852"/>
        <v>3178</v>
      </c>
      <c r="O633" s="288">
        <f t="shared" si="1872"/>
        <v>3178</v>
      </c>
      <c r="P633" s="458">
        <f t="shared" si="1854"/>
        <v>3128</v>
      </c>
      <c r="Q633" s="288">
        <f t="shared" si="1873"/>
        <v>3128</v>
      </c>
      <c r="R633" s="458">
        <f t="shared" si="1856"/>
        <v>3088</v>
      </c>
      <c r="S633" s="288">
        <f t="shared" si="1874"/>
        <v>3088</v>
      </c>
      <c r="T633" s="458">
        <f t="shared" si="1858"/>
        <v>3058</v>
      </c>
      <c r="U633" s="288">
        <f t="shared" si="1875"/>
        <v>3058</v>
      </c>
      <c r="V633" s="458">
        <f t="shared" si="1860"/>
        <v>3028</v>
      </c>
      <c r="W633" s="288">
        <f t="shared" si="1876"/>
        <v>3028</v>
      </c>
      <c r="X633" s="142"/>
      <c r="Y633" s="143"/>
      <c r="Z633" s="143"/>
      <c r="AA633" s="143"/>
      <c r="AB633" s="403" t="s">
        <v>788</v>
      </c>
    </row>
    <row r="634" spans="1:34" ht="12.6" customHeight="1" x14ac:dyDescent="0.2">
      <c r="A634" s="18"/>
      <c r="B634" s="729" t="s">
        <v>770</v>
      </c>
      <c r="C634" s="730"/>
      <c r="D634" s="730"/>
      <c r="E634" s="731"/>
      <c r="F634" s="306">
        <v>7526</v>
      </c>
      <c r="G634" s="255"/>
      <c r="H634" s="562">
        <f t="shared" ref="H634:H635" si="1877">F634+1000</f>
        <v>8526</v>
      </c>
      <c r="I634" s="287">
        <f t="shared" ref="I634:I635" si="1878">+H634*$X$1</f>
        <v>8526</v>
      </c>
      <c r="J634" s="562">
        <f t="shared" si="1869"/>
        <v>8026</v>
      </c>
      <c r="K634" s="287">
        <f t="shared" si="1870"/>
        <v>8026</v>
      </c>
      <c r="L634" s="562">
        <f t="shared" si="1850"/>
        <v>7976</v>
      </c>
      <c r="M634" s="287">
        <f t="shared" si="1871"/>
        <v>7976</v>
      </c>
      <c r="N634" s="562">
        <f t="shared" si="1852"/>
        <v>7926</v>
      </c>
      <c r="O634" s="287">
        <f t="shared" si="1872"/>
        <v>7926</v>
      </c>
      <c r="P634" s="562">
        <f t="shared" si="1854"/>
        <v>7876</v>
      </c>
      <c r="Q634" s="287">
        <f t="shared" si="1873"/>
        <v>7876</v>
      </c>
      <c r="R634" s="562">
        <f t="shared" si="1856"/>
        <v>7836</v>
      </c>
      <c r="S634" s="287">
        <f t="shared" si="1874"/>
        <v>7836</v>
      </c>
      <c r="T634" s="562">
        <f t="shared" si="1858"/>
        <v>7806</v>
      </c>
      <c r="U634" s="287">
        <f t="shared" si="1875"/>
        <v>7806</v>
      </c>
      <c r="V634" s="562">
        <f t="shared" si="1860"/>
        <v>7776</v>
      </c>
      <c r="W634" s="287">
        <f t="shared" si="1876"/>
        <v>7776</v>
      </c>
      <c r="X634" s="142"/>
      <c r="Y634" s="143"/>
      <c r="Z634" s="143"/>
      <c r="AA634" s="143"/>
      <c r="AB634" s="32"/>
    </row>
    <row r="635" spans="1:34" ht="12.6" customHeight="1" x14ac:dyDescent="0.2">
      <c r="A635" s="18"/>
      <c r="B635" s="699" t="s">
        <v>498</v>
      </c>
      <c r="C635" s="740"/>
      <c r="D635" s="740"/>
      <c r="E635" s="741"/>
      <c r="F635" s="319">
        <v>7314</v>
      </c>
      <c r="G635" s="305"/>
      <c r="H635" s="458">
        <f t="shared" si="1877"/>
        <v>8314</v>
      </c>
      <c r="I635" s="288">
        <f t="shared" si="1878"/>
        <v>8314</v>
      </c>
      <c r="J635" s="458">
        <f t="shared" si="1869"/>
        <v>7814</v>
      </c>
      <c r="K635" s="288">
        <f t="shared" si="1870"/>
        <v>7814</v>
      </c>
      <c r="L635" s="458">
        <f t="shared" si="1850"/>
        <v>7764</v>
      </c>
      <c r="M635" s="288">
        <f t="shared" si="1871"/>
        <v>7764</v>
      </c>
      <c r="N635" s="458">
        <f t="shared" si="1852"/>
        <v>7714</v>
      </c>
      <c r="O635" s="288">
        <f t="shared" si="1872"/>
        <v>7714</v>
      </c>
      <c r="P635" s="458">
        <f t="shared" si="1854"/>
        <v>7664</v>
      </c>
      <c r="Q635" s="288">
        <f t="shared" si="1873"/>
        <v>7664</v>
      </c>
      <c r="R635" s="458">
        <f t="shared" si="1856"/>
        <v>7624</v>
      </c>
      <c r="S635" s="288">
        <f t="shared" si="1874"/>
        <v>7624</v>
      </c>
      <c r="T635" s="458">
        <f t="shared" si="1858"/>
        <v>7594</v>
      </c>
      <c r="U635" s="288">
        <f t="shared" si="1875"/>
        <v>7594</v>
      </c>
      <c r="V635" s="458">
        <f t="shared" si="1860"/>
        <v>7564</v>
      </c>
      <c r="W635" s="288">
        <f t="shared" si="1876"/>
        <v>7564</v>
      </c>
      <c r="X635" s="142"/>
      <c r="Y635" s="143"/>
      <c r="Z635" s="143"/>
      <c r="AA635" s="143"/>
      <c r="AB635" s="32"/>
    </row>
    <row r="636" spans="1:34" ht="12.6" customHeight="1" x14ac:dyDescent="0.2">
      <c r="A636" s="4"/>
      <c r="B636" s="759" t="s">
        <v>445</v>
      </c>
      <c r="C636" s="733"/>
      <c r="D636" s="733"/>
      <c r="E636" s="734"/>
      <c r="F636" s="287">
        <v>1900</v>
      </c>
      <c r="G636" s="255"/>
      <c r="H636" s="540"/>
      <c r="I636" s="287"/>
      <c r="J636" s="562">
        <f t="shared" si="1869"/>
        <v>2400</v>
      </c>
      <c r="K636" s="287">
        <f t="shared" si="1870"/>
        <v>2400</v>
      </c>
      <c r="L636" s="562">
        <f t="shared" si="1850"/>
        <v>2350</v>
      </c>
      <c r="M636" s="287">
        <f t="shared" si="1871"/>
        <v>2350</v>
      </c>
      <c r="N636" s="562">
        <f t="shared" si="1852"/>
        <v>2300</v>
      </c>
      <c r="O636" s="287">
        <f t="shared" si="1872"/>
        <v>2300</v>
      </c>
      <c r="P636" s="562">
        <f t="shared" si="1854"/>
        <v>2250</v>
      </c>
      <c r="Q636" s="287">
        <f t="shared" si="1873"/>
        <v>2250</v>
      </c>
      <c r="R636" s="562">
        <f t="shared" si="1856"/>
        <v>2210</v>
      </c>
      <c r="S636" s="287">
        <f t="shared" si="1874"/>
        <v>2210</v>
      </c>
      <c r="T636" s="562">
        <f t="shared" si="1858"/>
        <v>2180</v>
      </c>
      <c r="U636" s="287">
        <f t="shared" si="1875"/>
        <v>2180</v>
      </c>
      <c r="V636" s="562">
        <f t="shared" si="1860"/>
        <v>2150</v>
      </c>
      <c r="W636" s="287">
        <f t="shared" si="1876"/>
        <v>2150</v>
      </c>
      <c r="X636" s="142"/>
      <c r="Y636" s="131"/>
      <c r="Z636" s="144"/>
      <c r="AA636" s="144"/>
      <c r="AB636" s="403" t="s">
        <v>444</v>
      </c>
    </row>
    <row r="637" spans="1:34" ht="12.6" customHeight="1" x14ac:dyDescent="0.2">
      <c r="A637" s="4"/>
      <c r="B637" s="756" t="s">
        <v>443</v>
      </c>
      <c r="C637" s="740"/>
      <c r="D637" s="740"/>
      <c r="E637" s="741"/>
      <c r="F637" s="288">
        <v>1900</v>
      </c>
      <c r="G637" s="305"/>
      <c r="H637" s="458"/>
      <c r="I637" s="288"/>
      <c r="J637" s="458">
        <f t="shared" si="1869"/>
        <v>2400</v>
      </c>
      <c r="K637" s="288">
        <f t="shared" si="1870"/>
        <v>2400</v>
      </c>
      <c r="L637" s="458">
        <f t="shared" si="1850"/>
        <v>2350</v>
      </c>
      <c r="M637" s="288">
        <f t="shared" si="1871"/>
        <v>2350</v>
      </c>
      <c r="N637" s="458">
        <f t="shared" si="1852"/>
        <v>2300</v>
      </c>
      <c r="O637" s="288">
        <f t="shared" si="1872"/>
        <v>2300</v>
      </c>
      <c r="P637" s="458">
        <f t="shared" si="1854"/>
        <v>2250</v>
      </c>
      <c r="Q637" s="288">
        <f t="shared" si="1873"/>
        <v>2250</v>
      </c>
      <c r="R637" s="458">
        <f t="shared" si="1856"/>
        <v>2210</v>
      </c>
      <c r="S637" s="288">
        <f t="shared" si="1874"/>
        <v>2210</v>
      </c>
      <c r="T637" s="458">
        <f t="shared" si="1858"/>
        <v>2180</v>
      </c>
      <c r="U637" s="288">
        <f t="shared" si="1875"/>
        <v>2180</v>
      </c>
      <c r="V637" s="458">
        <f t="shared" si="1860"/>
        <v>2150</v>
      </c>
      <c r="W637" s="288">
        <f t="shared" si="1876"/>
        <v>2150</v>
      </c>
      <c r="X637" s="142"/>
      <c r="Y637" s="131"/>
      <c r="Z637" s="144"/>
      <c r="AA637" s="144"/>
      <c r="AB637" s="403" t="s">
        <v>440</v>
      </c>
    </row>
    <row r="638" spans="1:34" ht="12.6" customHeight="1" x14ac:dyDescent="0.2">
      <c r="A638" s="4"/>
      <c r="B638" s="759" t="s">
        <v>441</v>
      </c>
      <c r="C638" s="733"/>
      <c r="D638" s="733"/>
      <c r="E638" s="734"/>
      <c r="F638" s="287">
        <v>2800</v>
      </c>
      <c r="G638" s="255"/>
      <c r="H638" s="540"/>
      <c r="I638" s="287"/>
      <c r="J638" s="562">
        <f t="shared" si="1869"/>
        <v>3300</v>
      </c>
      <c r="K638" s="287">
        <f t="shared" si="1870"/>
        <v>3300</v>
      </c>
      <c r="L638" s="562">
        <f t="shared" si="1850"/>
        <v>3250</v>
      </c>
      <c r="M638" s="287">
        <f t="shared" si="1871"/>
        <v>3250</v>
      </c>
      <c r="N638" s="562">
        <f t="shared" si="1852"/>
        <v>3200</v>
      </c>
      <c r="O638" s="287">
        <f t="shared" si="1872"/>
        <v>3200</v>
      </c>
      <c r="P638" s="562">
        <f t="shared" si="1854"/>
        <v>3150</v>
      </c>
      <c r="Q638" s="287">
        <f t="shared" si="1873"/>
        <v>3150</v>
      </c>
      <c r="R638" s="562">
        <f t="shared" si="1856"/>
        <v>3110</v>
      </c>
      <c r="S638" s="287">
        <f t="shared" si="1874"/>
        <v>3110</v>
      </c>
      <c r="T638" s="562">
        <f t="shared" si="1858"/>
        <v>3080</v>
      </c>
      <c r="U638" s="287">
        <f t="shared" si="1875"/>
        <v>3080</v>
      </c>
      <c r="V638" s="562">
        <f t="shared" si="1860"/>
        <v>3050</v>
      </c>
      <c r="W638" s="287">
        <f t="shared" si="1876"/>
        <v>3050</v>
      </c>
      <c r="X638" s="142"/>
      <c r="Y638" s="131"/>
      <c r="Z638" s="144"/>
      <c r="AA638" s="144"/>
      <c r="AB638" s="403" t="s">
        <v>442</v>
      </c>
    </row>
    <row r="639" spans="1:34" ht="12.6" customHeight="1" x14ac:dyDescent="0.2">
      <c r="A639" s="4"/>
      <c r="B639" s="748" t="s">
        <v>295</v>
      </c>
      <c r="C639" s="747"/>
      <c r="D639" s="747"/>
      <c r="E639" s="747"/>
      <c r="F639" s="100"/>
      <c r="G639" s="94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139"/>
      <c r="Y639" s="134"/>
      <c r="Z639" s="140"/>
      <c r="AA639" s="141"/>
      <c r="AB639" s="403">
        <v>986</v>
      </c>
    </row>
    <row r="640" spans="1:34" ht="12.6" customHeight="1" x14ac:dyDescent="0.2">
      <c r="A640" s="4"/>
      <c r="B640" s="736" t="s">
        <v>360</v>
      </c>
      <c r="C640" s="702"/>
      <c r="D640" s="702"/>
      <c r="E640" s="702"/>
      <c r="F640" s="392"/>
      <c r="G640" s="96"/>
      <c r="H640" s="670"/>
      <c r="I640" s="670"/>
      <c r="J640" s="670"/>
      <c r="K640" s="670"/>
      <c r="L640" s="670"/>
      <c r="M640" s="670"/>
      <c r="N640" s="670"/>
      <c r="O640" s="670"/>
      <c r="P640" s="670"/>
      <c r="Q640" s="670"/>
      <c r="R640" s="670"/>
      <c r="S640" s="670"/>
      <c r="T640" s="670"/>
      <c r="U640" s="670"/>
      <c r="V640" s="670"/>
      <c r="W640" s="670"/>
      <c r="X640" s="139"/>
      <c r="Y640" s="134"/>
      <c r="Z640" s="140"/>
      <c r="AA640" s="141"/>
      <c r="AB640" s="403">
        <v>987</v>
      </c>
    </row>
    <row r="641" spans="1:34" ht="12.6" customHeight="1" x14ac:dyDescent="0.2">
      <c r="A641" s="4"/>
      <c r="B641" s="748" t="s">
        <v>296</v>
      </c>
      <c r="C641" s="693"/>
      <c r="D641" s="693"/>
      <c r="E641" s="693"/>
      <c r="F641" s="93"/>
      <c r="G641" s="94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139"/>
      <c r="Y641" s="134"/>
      <c r="Z641" s="140"/>
      <c r="AA641" s="141"/>
      <c r="AB641" s="403">
        <v>989</v>
      </c>
    </row>
    <row r="642" spans="1:34" ht="12.6" customHeight="1" x14ac:dyDescent="0.2">
      <c r="A642" s="4"/>
      <c r="B642" s="108"/>
      <c r="C642" s="199"/>
      <c r="D642" s="199"/>
      <c r="E642" s="199"/>
      <c r="F642" s="117"/>
      <c r="G642" s="117"/>
      <c r="H642" s="117"/>
      <c r="I642" s="117"/>
      <c r="J642" s="117"/>
      <c r="K642" s="117"/>
      <c r="L642" s="117"/>
      <c r="M642" s="117"/>
      <c r="N642" s="117"/>
      <c r="O642" s="117"/>
      <c r="P642" s="117"/>
      <c r="Q642" s="117"/>
      <c r="R642" s="117"/>
      <c r="S642" s="117"/>
      <c r="T642" s="117"/>
      <c r="U642" s="117"/>
      <c r="V642" s="117"/>
      <c r="W642" s="117"/>
      <c r="X642" s="200"/>
      <c r="Y642" s="75"/>
      <c r="Z642" s="201"/>
      <c r="AA642" s="201"/>
      <c r="AB642" s="39"/>
    </row>
    <row r="643" spans="1:34" ht="12.6" customHeight="1" x14ac:dyDescent="0.2">
      <c r="A643" s="4"/>
      <c r="B643" s="108"/>
      <c r="C643" s="199"/>
      <c r="D643" s="199"/>
      <c r="E643" s="199"/>
      <c r="F643" s="117"/>
      <c r="G643" s="117"/>
      <c r="H643" s="117"/>
      <c r="I643" s="117"/>
      <c r="J643" s="117"/>
      <c r="K643" s="117"/>
      <c r="L643" s="117"/>
      <c r="M643" s="117"/>
      <c r="N643" s="117"/>
      <c r="O643" s="117"/>
      <c r="P643" s="117"/>
      <c r="Q643" s="117"/>
      <c r="R643" s="117"/>
      <c r="S643" s="117"/>
      <c r="T643" s="117"/>
      <c r="U643" s="117"/>
      <c r="V643" s="117"/>
      <c r="W643" s="117"/>
      <c r="X643" s="200"/>
      <c r="Y643" s="75"/>
      <c r="Z643" s="201"/>
      <c r="AA643" s="201"/>
      <c r="AB643" s="39"/>
    </row>
    <row r="644" spans="1:34" ht="12.6" customHeight="1" x14ac:dyDescent="0.2">
      <c r="A644" s="4"/>
      <c r="B644" s="108"/>
      <c r="C644" s="199"/>
      <c r="D644" s="199"/>
      <c r="E644" s="199"/>
      <c r="F644" s="117"/>
      <c r="G644" s="117"/>
      <c r="H644" s="117"/>
      <c r="I644" s="117"/>
      <c r="J644" s="117"/>
      <c r="K644" s="117"/>
      <c r="L644" s="117"/>
      <c r="M644" s="117"/>
      <c r="N644" s="117"/>
      <c r="O644" s="117"/>
      <c r="P644" s="117"/>
      <c r="Q644" s="117"/>
      <c r="R644" s="117"/>
      <c r="S644" s="117"/>
      <c r="T644" s="117"/>
      <c r="U644" s="117"/>
      <c r="V644" s="117"/>
      <c r="W644" s="117"/>
      <c r="X644" s="200"/>
      <c r="Y644" s="75"/>
      <c r="Z644" s="201"/>
      <c r="AA644" s="201"/>
      <c r="AB644" s="39"/>
    </row>
    <row r="645" spans="1:34" ht="15.75" customHeight="1" x14ac:dyDescent="0.2">
      <c r="B645" s="1146" t="s">
        <v>297</v>
      </c>
      <c r="C645" s="1147"/>
      <c r="D645" s="1147"/>
      <c r="E645" s="1147"/>
      <c r="F645" s="1147"/>
      <c r="G645" s="1147"/>
      <c r="H645" s="1147"/>
      <c r="I645" s="1147"/>
      <c r="J645" s="1147"/>
      <c r="K645" s="1147"/>
      <c r="L645" s="1147"/>
      <c r="M645" s="1147"/>
      <c r="N645" s="1147"/>
      <c r="O645" s="1147"/>
      <c r="P645" s="1147"/>
      <c r="Q645" s="1147"/>
      <c r="R645" s="1147"/>
      <c r="S645" s="1147"/>
      <c r="T645" s="1157"/>
      <c r="U645" s="1157"/>
      <c r="V645" s="1158"/>
      <c r="W645" s="1158"/>
      <c r="AB645" s="4"/>
    </row>
    <row r="646" spans="1:34" ht="14.25" customHeight="1" x14ac:dyDescent="0.2">
      <c r="B646" s="745" t="s">
        <v>11</v>
      </c>
      <c r="C646" s="745" t="s">
        <v>12</v>
      </c>
      <c r="D646" s="746"/>
      <c r="E646" s="746"/>
      <c r="F646" s="754" t="s">
        <v>287</v>
      </c>
      <c r="G646" s="754" t="s">
        <v>13</v>
      </c>
      <c r="H646" s="738" t="s">
        <v>809</v>
      </c>
      <c r="I646" s="738"/>
      <c r="J646" s="739"/>
      <c r="K646" s="739"/>
      <c r="L646" s="739"/>
      <c r="M646" s="739"/>
      <c r="N646" s="739"/>
      <c r="O646" s="739"/>
      <c r="P646" s="739"/>
      <c r="Q646" s="739"/>
      <c r="R646" s="739"/>
      <c r="S646" s="739"/>
      <c r="T646" s="739"/>
      <c r="U646" s="739"/>
      <c r="V646" s="739"/>
      <c r="W646" s="739"/>
      <c r="X646" s="715" t="s">
        <v>14</v>
      </c>
      <c r="Y646" s="1198"/>
      <c r="Z646" s="1198"/>
      <c r="AA646" s="1199"/>
      <c r="AB646" s="721" t="s">
        <v>15</v>
      </c>
      <c r="AF646" s="703" t="s">
        <v>3</v>
      </c>
      <c r="AG646" s="704"/>
      <c r="AH646" s="704"/>
    </row>
    <row r="647" spans="1:34" ht="12" customHeight="1" x14ac:dyDescent="0.2">
      <c r="B647" s="746"/>
      <c r="C647" s="746"/>
      <c r="D647" s="746"/>
      <c r="E647" s="746"/>
      <c r="F647" s="755"/>
      <c r="G647" s="755"/>
      <c r="H647" s="471"/>
      <c r="I647" s="472" t="s">
        <v>559</v>
      </c>
      <c r="J647" s="471"/>
      <c r="K647" s="472" t="s">
        <v>288</v>
      </c>
      <c r="L647" s="472"/>
      <c r="M647" s="472" t="s">
        <v>289</v>
      </c>
      <c r="N647" s="472"/>
      <c r="O647" s="472" t="s">
        <v>290</v>
      </c>
      <c r="P647" s="472"/>
      <c r="Q647" s="472" t="s">
        <v>18</v>
      </c>
      <c r="R647" s="472"/>
      <c r="S647" s="472" t="s">
        <v>19</v>
      </c>
      <c r="T647" s="472"/>
      <c r="U647" s="472" t="s">
        <v>291</v>
      </c>
      <c r="V647" s="472"/>
      <c r="W647" s="472" t="s">
        <v>20</v>
      </c>
      <c r="X647" s="1200"/>
      <c r="Y647" s="1201"/>
      <c r="Z647" s="1201"/>
      <c r="AA647" s="1202"/>
      <c r="AB647" s="691"/>
    </row>
    <row r="648" spans="1:34" ht="12.6" customHeight="1" x14ac:dyDescent="0.2">
      <c r="B648" s="866" t="s">
        <v>754</v>
      </c>
      <c r="C648" s="866"/>
      <c r="D648" s="866"/>
      <c r="E648" s="866"/>
      <c r="F648" s="523">
        <f>21.73*X2</f>
        <v>23555.32</v>
      </c>
      <c r="G648" s="306">
        <f>+F648*$X$1</f>
        <v>23555.32</v>
      </c>
      <c r="H648" s="103">
        <f>F648+3000</f>
        <v>26555.32</v>
      </c>
      <c r="I648" s="306">
        <f t="shared" ref="I648" si="1879">+H648*$X$1</f>
        <v>26555.32</v>
      </c>
      <c r="J648" s="71">
        <f>F648+600</f>
        <v>24155.32</v>
      </c>
      <c r="K648" s="287">
        <f>+J648*$X$1</f>
        <v>24155.32</v>
      </c>
      <c r="L648" s="603">
        <f>F648+310</f>
        <v>23865.32</v>
      </c>
      <c r="M648" s="287">
        <f>+L648*$X$1</f>
        <v>23865.32</v>
      </c>
      <c r="N648" s="603">
        <f>F648+250</f>
        <v>23805.32</v>
      </c>
      <c r="O648" s="287">
        <f>+N648*$X$1</f>
        <v>23805.32</v>
      </c>
      <c r="P648" s="603">
        <f>F648+200</f>
        <v>23755.32</v>
      </c>
      <c r="Q648" s="287">
        <f>+P648*$X$1</f>
        <v>23755.32</v>
      </c>
      <c r="R648" s="603">
        <f>F648+170</f>
        <v>23725.32</v>
      </c>
      <c r="S648" s="287">
        <f>+R648*$X$1</f>
        <v>23725.32</v>
      </c>
      <c r="T648" s="603">
        <f>F648+130</f>
        <v>23685.32</v>
      </c>
      <c r="U648" s="287">
        <f>+T648*$X$1</f>
        <v>23685.32</v>
      </c>
      <c r="V648" s="603">
        <f>F648+110</f>
        <v>23665.32</v>
      </c>
      <c r="W648" s="287">
        <f>+V648*$X$1</f>
        <v>23665.32</v>
      </c>
      <c r="X648" s="455"/>
      <c r="Y648" s="136"/>
      <c r="Z648" s="134"/>
      <c r="AA648" s="137"/>
      <c r="AB648" s="423" t="s">
        <v>755</v>
      </c>
    </row>
    <row r="649" spans="1:34" ht="12.6" customHeight="1" x14ac:dyDescent="0.2">
      <c r="B649" s="748" t="s">
        <v>298</v>
      </c>
      <c r="C649" s="748"/>
      <c r="D649" s="748"/>
      <c r="E649" s="748"/>
      <c r="F649" s="452"/>
      <c r="G649" s="458"/>
      <c r="H649" s="105"/>
      <c r="I649" s="105"/>
      <c r="J649" s="458"/>
      <c r="K649" s="458"/>
      <c r="L649" s="458"/>
      <c r="M649" s="458"/>
      <c r="N649" s="115"/>
      <c r="O649" s="458"/>
      <c r="P649" s="458"/>
      <c r="Q649" s="458"/>
      <c r="R649" s="458"/>
      <c r="S649" s="458"/>
      <c r="T649" s="458"/>
      <c r="U649" s="458"/>
      <c r="V649" s="280"/>
      <c r="W649" s="623"/>
      <c r="X649" s="134"/>
      <c r="Y649" s="134"/>
      <c r="Z649" s="134"/>
      <c r="AA649" s="137"/>
      <c r="AB649" s="422" t="s">
        <v>299</v>
      </c>
    </row>
    <row r="650" spans="1:34" ht="12.6" customHeight="1" x14ac:dyDescent="0.2">
      <c r="B650" s="736" t="s">
        <v>300</v>
      </c>
      <c r="C650" s="736"/>
      <c r="D650" s="736"/>
      <c r="E650" s="736"/>
      <c r="F650" s="116"/>
      <c r="G650" s="603"/>
      <c r="H650" s="101"/>
      <c r="I650" s="101"/>
      <c r="J650" s="603"/>
      <c r="K650" s="603"/>
      <c r="L650" s="603"/>
      <c r="M650" s="603"/>
      <c r="N650" s="114"/>
      <c r="O650" s="603"/>
      <c r="P650" s="603"/>
      <c r="Q650" s="603"/>
      <c r="R650" s="603"/>
      <c r="S650" s="603"/>
      <c r="T650" s="603"/>
      <c r="U650" s="603"/>
      <c r="V650" s="281"/>
      <c r="W650" s="624"/>
      <c r="X650" s="134"/>
      <c r="Y650" s="134"/>
      <c r="Z650" s="134"/>
      <c r="AA650" s="137"/>
      <c r="AB650" s="422" t="s">
        <v>301</v>
      </c>
    </row>
    <row r="651" spans="1:34" ht="12.6" customHeight="1" x14ac:dyDescent="0.2">
      <c r="B651" s="748" t="s">
        <v>719</v>
      </c>
      <c r="C651" s="748"/>
      <c r="D651" s="748"/>
      <c r="E651" s="748"/>
      <c r="F651" s="454">
        <f>20.59*X2</f>
        <v>22319.56</v>
      </c>
      <c r="G651" s="288">
        <f>+F651*$X$1</f>
        <v>22319.56</v>
      </c>
      <c r="H651" s="458">
        <f>F651+3000</f>
        <v>25319.56</v>
      </c>
      <c r="I651" s="288">
        <f t="shared" ref="I651" si="1880">+H651*$X$1</f>
        <v>25319.56</v>
      </c>
      <c r="J651" s="458">
        <f>F651+750</f>
        <v>23069.56</v>
      </c>
      <c r="K651" s="288">
        <f t="shared" ref="K651" si="1881">+J651*$X$1</f>
        <v>23069.56</v>
      </c>
      <c r="L651" s="458">
        <f>F651+540</f>
        <v>22859.56</v>
      </c>
      <c r="M651" s="288">
        <f t="shared" ref="M651" si="1882">+L651*$X$1</f>
        <v>22859.56</v>
      </c>
      <c r="N651" s="458">
        <f>F651+400</f>
        <v>22719.56</v>
      </c>
      <c r="O651" s="288">
        <f t="shared" ref="O651" si="1883">+N651*$X$1</f>
        <v>22719.56</v>
      </c>
      <c r="P651" s="458">
        <f>F651+350</f>
        <v>22669.56</v>
      </c>
      <c r="Q651" s="288">
        <f t="shared" ref="Q651" si="1884">+P651*$X$1</f>
        <v>22669.56</v>
      </c>
      <c r="R651" s="458">
        <f>F651+300</f>
        <v>22619.56</v>
      </c>
      <c r="S651" s="288">
        <f t="shared" ref="S651" si="1885">+R651*$X$1</f>
        <v>22619.56</v>
      </c>
      <c r="T651" s="458">
        <f>F651+250</f>
        <v>22569.56</v>
      </c>
      <c r="U651" s="288">
        <f t="shared" ref="U651" si="1886">+T651*$X$1</f>
        <v>22569.56</v>
      </c>
      <c r="V651" s="458">
        <f>F651+200</f>
        <v>22519.56</v>
      </c>
      <c r="W651" s="288">
        <f t="shared" ref="W651" si="1887">+V651*$X$1</f>
        <v>22519.56</v>
      </c>
      <c r="X651" s="449"/>
      <c r="Y651" s="136"/>
      <c r="Z651" s="134"/>
      <c r="AA651" s="137"/>
      <c r="AB651" s="422" t="s">
        <v>720</v>
      </c>
    </row>
    <row r="652" spans="1:34" ht="12.6" customHeight="1" x14ac:dyDescent="0.2">
      <c r="B652" s="736" t="s">
        <v>871</v>
      </c>
      <c r="C652" s="736"/>
      <c r="D652" s="736"/>
      <c r="E652" s="736"/>
      <c r="F652" s="453">
        <f>22.35*X2</f>
        <v>24227.4</v>
      </c>
      <c r="G652" s="287">
        <f>+F652*$X$1</f>
        <v>24227.4</v>
      </c>
      <c r="H652" s="103"/>
      <c r="I652" s="306"/>
      <c r="J652" s="103">
        <f>F652+1100</f>
        <v>25327.4</v>
      </c>
      <c r="K652" s="306">
        <f t="shared" ref="K652:K653" si="1888">+J652*$X$1</f>
        <v>25327.4</v>
      </c>
      <c r="L652" s="103">
        <f>F652+710</f>
        <v>24937.4</v>
      </c>
      <c r="M652" s="306">
        <f t="shared" ref="M652:M653" si="1889">+L652*$X$1</f>
        <v>24937.4</v>
      </c>
      <c r="N652" s="103">
        <f>F652+600</f>
        <v>24827.4</v>
      </c>
      <c r="O652" s="306">
        <f t="shared" ref="O652:O653" si="1890">+N652*$X$1</f>
        <v>24827.4</v>
      </c>
      <c r="P652" s="103">
        <f>F652+530</f>
        <v>24757.4</v>
      </c>
      <c r="Q652" s="306">
        <f t="shared" ref="Q652:Q653" si="1891">+P652*$X$1</f>
        <v>24757.4</v>
      </c>
      <c r="R652" s="103">
        <f>F652+490</f>
        <v>24717.4</v>
      </c>
      <c r="S652" s="306">
        <f t="shared" ref="S652:S653" si="1892">+R652*$X$1</f>
        <v>24717.4</v>
      </c>
      <c r="T652" s="103">
        <f>F652+450</f>
        <v>24677.4</v>
      </c>
      <c r="U652" s="306">
        <f t="shared" ref="U652:U653" si="1893">+T652*$X$1</f>
        <v>24677.4</v>
      </c>
      <c r="V652" s="103">
        <f>F652+400</f>
        <v>24627.4</v>
      </c>
      <c r="W652" s="306">
        <f t="shared" ref="W652:W653" si="1894">+V652*$X$1</f>
        <v>24627.4</v>
      </c>
      <c r="X652" s="520"/>
      <c r="Y652" s="136"/>
      <c r="Z652" s="134"/>
      <c r="AA652" s="137"/>
      <c r="AB652" s="422" t="s">
        <v>870</v>
      </c>
    </row>
    <row r="653" spans="1:34" ht="12.6" customHeight="1" x14ac:dyDescent="0.2">
      <c r="B653" s="748" t="s">
        <v>721</v>
      </c>
      <c r="C653" s="748"/>
      <c r="D653" s="748"/>
      <c r="E653" s="748"/>
      <c r="F653" s="454">
        <f>38.5*X2</f>
        <v>41734</v>
      </c>
      <c r="G653" s="288">
        <f>+F653*$X$1</f>
        <v>41734</v>
      </c>
      <c r="H653" s="458">
        <f>F653+3000</f>
        <v>44734</v>
      </c>
      <c r="I653" s="288">
        <f t="shared" ref="I653" si="1895">+H653*$X$1</f>
        <v>44734</v>
      </c>
      <c r="J653" s="458">
        <f>F653+750</f>
        <v>42484</v>
      </c>
      <c r="K653" s="288">
        <f t="shared" si="1888"/>
        <v>42484</v>
      </c>
      <c r="L653" s="458">
        <f>F653+540</f>
        <v>42274</v>
      </c>
      <c r="M653" s="288">
        <f t="shared" si="1889"/>
        <v>42274</v>
      </c>
      <c r="N653" s="458">
        <f>F653+400</f>
        <v>42134</v>
      </c>
      <c r="O653" s="288">
        <f t="shared" si="1890"/>
        <v>42134</v>
      </c>
      <c r="P653" s="458">
        <f>F653+350</f>
        <v>42084</v>
      </c>
      <c r="Q653" s="288">
        <f t="shared" si="1891"/>
        <v>42084</v>
      </c>
      <c r="R653" s="458">
        <f>F653+300</f>
        <v>42034</v>
      </c>
      <c r="S653" s="288">
        <f t="shared" si="1892"/>
        <v>42034</v>
      </c>
      <c r="T653" s="458">
        <f>F653+250</f>
        <v>41984</v>
      </c>
      <c r="U653" s="288">
        <f t="shared" si="1893"/>
        <v>41984</v>
      </c>
      <c r="V653" s="458">
        <f>F653+200</f>
        <v>41934</v>
      </c>
      <c r="W653" s="288">
        <f t="shared" si="1894"/>
        <v>41934</v>
      </c>
      <c r="X653" s="449"/>
      <c r="Y653" s="136"/>
      <c r="Z653" s="134"/>
      <c r="AA653" s="137"/>
      <c r="AB653" s="422" t="s">
        <v>722</v>
      </c>
    </row>
    <row r="654" spans="1:34" ht="12.6" customHeight="1" x14ac:dyDescent="0.2">
      <c r="B654" s="736" t="s">
        <v>864</v>
      </c>
      <c r="C654" s="736"/>
      <c r="D654" s="736"/>
      <c r="E654" s="736"/>
      <c r="F654" s="453"/>
      <c r="G654" s="287"/>
      <c r="H654" s="103"/>
      <c r="I654" s="306"/>
      <c r="J654" s="103"/>
      <c r="K654" s="306"/>
      <c r="L654" s="103"/>
      <c r="M654" s="306"/>
      <c r="N654" s="103"/>
      <c r="O654" s="306"/>
      <c r="P654" s="103"/>
      <c r="Q654" s="306"/>
      <c r="R654" s="103"/>
      <c r="S654" s="306"/>
      <c r="T654" s="103"/>
      <c r="U654" s="306"/>
      <c r="V654" s="103"/>
      <c r="W654" s="306"/>
      <c r="X654" s="519"/>
      <c r="Y654" s="136"/>
      <c r="Z654" s="134"/>
      <c r="AA654" s="137"/>
      <c r="AB654" s="422" t="s">
        <v>887</v>
      </c>
    </row>
    <row r="655" spans="1:34" ht="12.6" customHeight="1" x14ac:dyDescent="0.2">
      <c r="B655" s="748" t="s">
        <v>302</v>
      </c>
      <c r="C655" s="748"/>
      <c r="D655" s="748"/>
      <c r="E655" s="748"/>
      <c r="F655" s="452"/>
      <c r="G655" s="458"/>
      <c r="H655" s="105"/>
      <c r="I655" s="105"/>
      <c r="J655" s="458"/>
      <c r="K655" s="458"/>
      <c r="L655" s="458"/>
      <c r="M655" s="458"/>
      <c r="N655" s="458"/>
      <c r="O655" s="458"/>
      <c r="P655" s="115"/>
      <c r="Q655" s="458"/>
      <c r="R655" s="115"/>
      <c r="S655" s="458"/>
      <c r="T655" s="115"/>
      <c r="U655" s="458"/>
      <c r="V655" s="280"/>
      <c r="W655" s="625"/>
      <c r="X655" s="162"/>
      <c r="Y655" s="162"/>
      <c r="Z655" s="162"/>
      <c r="AA655" s="163"/>
      <c r="AB655" s="422" t="s">
        <v>303</v>
      </c>
    </row>
    <row r="656" spans="1:34" ht="12.6" customHeight="1" x14ac:dyDescent="0.2">
      <c r="B656" s="736" t="s">
        <v>304</v>
      </c>
      <c r="C656" s="736"/>
      <c r="D656" s="736"/>
      <c r="E656" s="736"/>
      <c r="F656" s="116"/>
      <c r="G656" s="603"/>
      <c r="H656" s="101"/>
      <c r="I656" s="101"/>
      <c r="J656" s="603"/>
      <c r="K656" s="603"/>
      <c r="L656" s="603"/>
      <c r="M656" s="603"/>
      <c r="N656" s="603"/>
      <c r="O656" s="603"/>
      <c r="P656" s="114"/>
      <c r="Q656" s="603"/>
      <c r="R656" s="114"/>
      <c r="S656" s="603"/>
      <c r="T656" s="114"/>
      <c r="U656" s="603"/>
      <c r="V656" s="626"/>
      <c r="W656" s="627"/>
      <c r="X656" s="162"/>
      <c r="Y656" s="162"/>
      <c r="Z656" s="162"/>
      <c r="AA656" s="163"/>
      <c r="AB656" s="422" t="s">
        <v>305</v>
      </c>
    </row>
    <row r="657" spans="1:38" ht="12.6" customHeight="1" x14ac:dyDescent="0.2">
      <c r="B657" s="748" t="s">
        <v>306</v>
      </c>
      <c r="C657" s="748"/>
      <c r="D657" s="748"/>
      <c r="E657" s="748"/>
      <c r="F657" s="452"/>
      <c r="G657" s="458"/>
      <c r="H657" s="105"/>
      <c r="I657" s="105"/>
      <c r="J657" s="458"/>
      <c r="K657" s="458"/>
      <c r="L657" s="458"/>
      <c r="M657" s="458"/>
      <c r="N657" s="458"/>
      <c r="O657" s="458"/>
      <c r="P657" s="115"/>
      <c r="Q657" s="458"/>
      <c r="R657" s="115"/>
      <c r="S657" s="458"/>
      <c r="T657" s="115"/>
      <c r="U657" s="458"/>
      <c r="V657" s="280"/>
      <c r="W657" s="625"/>
      <c r="X657" s="136"/>
      <c r="Y657" s="136"/>
      <c r="Z657" s="136"/>
      <c r="AA657" s="136"/>
      <c r="AB657" s="422" t="s">
        <v>424</v>
      </c>
    </row>
    <row r="658" spans="1:38" ht="12.6" customHeight="1" x14ac:dyDescent="0.2">
      <c r="B658" s="736" t="s">
        <v>727</v>
      </c>
      <c r="C658" s="736"/>
      <c r="D658" s="736"/>
      <c r="E658" s="736"/>
      <c r="F658" s="453">
        <f>36*X2</f>
        <v>39024</v>
      </c>
      <c r="G658" s="287">
        <f t="shared" ref="G658:G660" si="1896">+F658*$X$1</f>
        <v>39024</v>
      </c>
      <c r="H658" s="603">
        <f>F658+4000</f>
        <v>43024</v>
      </c>
      <c r="I658" s="287">
        <f t="shared" ref="I658" si="1897">+H658*$X$1</f>
        <v>43024</v>
      </c>
      <c r="J658" s="603">
        <f>F658+800</f>
        <v>39824</v>
      </c>
      <c r="K658" s="287">
        <f t="shared" ref="K658" si="1898">+J658*$X$1</f>
        <v>39824</v>
      </c>
      <c r="L658" s="103">
        <f>F658+600</f>
        <v>39624</v>
      </c>
      <c r="M658" s="306">
        <f>+L658*$X$1</f>
        <v>39624</v>
      </c>
      <c r="N658" s="103">
        <f>F658+500</f>
        <v>39524</v>
      </c>
      <c r="O658" s="306">
        <f>+N658*$X$1</f>
        <v>39524</v>
      </c>
      <c r="P658" s="103">
        <f>F658+440</f>
        <v>39464</v>
      </c>
      <c r="Q658" s="306">
        <f t="shared" ref="Q658:Q666" si="1899">+P658*$X$1</f>
        <v>39464</v>
      </c>
      <c r="R658" s="103">
        <f>F658+400</f>
        <v>39424</v>
      </c>
      <c r="S658" s="306">
        <f t="shared" ref="S658:S666" si="1900">+R658*$X$1</f>
        <v>39424</v>
      </c>
      <c r="T658" s="603">
        <f>F658+370</f>
        <v>39394</v>
      </c>
      <c r="U658" s="287">
        <f t="shared" ref="U658" si="1901">+T658*$X$1</f>
        <v>39394</v>
      </c>
      <c r="V658" s="603">
        <f>F658+340</f>
        <v>39364</v>
      </c>
      <c r="W658" s="287">
        <f t="shared" ref="W658" si="1902">+V658*$X$1</f>
        <v>39364</v>
      </c>
      <c r="X658" s="451"/>
      <c r="Y658" s="136"/>
      <c r="Z658" s="134"/>
      <c r="AA658" s="137"/>
      <c r="AB658" s="422" t="s">
        <v>728</v>
      </c>
    </row>
    <row r="659" spans="1:38" s="1" customFormat="1" ht="12.6" customHeight="1" x14ac:dyDescent="0.2">
      <c r="A659" s="19"/>
      <c r="B659" s="692" t="s">
        <v>203</v>
      </c>
      <c r="C659" s="693"/>
      <c r="D659" s="693"/>
      <c r="E659" s="693"/>
      <c r="F659" s="288">
        <v>4780</v>
      </c>
      <c r="G659" s="290">
        <f t="shared" si="1896"/>
        <v>4780</v>
      </c>
      <c r="H659" s="458"/>
      <c r="I659" s="288"/>
      <c r="J659" s="89"/>
      <c r="K659" s="288"/>
      <c r="L659" s="458"/>
      <c r="M659" s="288"/>
      <c r="N659" s="458"/>
      <c r="O659" s="288"/>
      <c r="P659" s="458">
        <f t="shared" ref="P659:P666" si="1903">F659+200</f>
        <v>4980</v>
      </c>
      <c r="Q659" s="288">
        <f t="shared" si="1899"/>
        <v>4980</v>
      </c>
      <c r="R659" s="458">
        <f t="shared" ref="R659:R666" si="1904">F659+170</f>
        <v>4950</v>
      </c>
      <c r="S659" s="288">
        <f t="shared" si="1900"/>
        <v>4950</v>
      </c>
      <c r="T659" s="458">
        <f t="shared" ref="T659:T666" si="1905">F659+130</f>
        <v>4910</v>
      </c>
      <c r="U659" s="288">
        <f t="shared" ref="U659:U666" si="1906">+T659*$X$1</f>
        <v>4910</v>
      </c>
      <c r="V659" s="458">
        <f t="shared" ref="V659:V666" si="1907">F659+110</f>
        <v>4890</v>
      </c>
      <c r="W659" s="288">
        <f t="shared" ref="W659:W666" si="1908">+V659*$X$1</f>
        <v>4890</v>
      </c>
      <c r="X659" s="726"/>
      <c r="Y659" s="799"/>
      <c r="Z659" s="799"/>
      <c r="AA659" s="728"/>
      <c r="AB659" s="192">
        <v>965</v>
      </c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spans="1:38" s="1" customFormat="1" ht="12.6" customHeight="1" x14ac:dyDescent="0.2">
      <c r="A660" s="19"/>
      <c r="B660" s="732" t="s">
        <v>204</v>
      </c>
      <c r="C660" s="733"/>
      <c r="D660" s="733"/>
      <c r="E660" s="734"/>
      <c r="F660" s="287">
        <v>7340</v>
      </c>
      <c r="G660" s="289">
        <f t="shared" si="1896"/>
        <v>7340</v>
      </c>
      <c r="H660" s="667"/>
      <c r="I660" s="287"/>
      <c r="J660" s="71"/>
      <c r="K660" s="287"/>
      <c r="L660" s="667"/>
      <c r="M660" s="287"/>
      <c r="N660" s="667"/>
      <c r="O660" s="287"/>
      <c r="P660" s="667">
        <f t="shared" si="1903"/>
        <v>7540</v>
      </c>
      <c r="Q660" s="287">
        <f t="shared" si="1899"/>
        <v>7540</v>
      </c>
      <c r="R660" s="667">
        <f t="shared" si="1904"/>
        <v>7510</v>
      </c>
      <c r="S660" s="287">
        <f t="shared" si="1900"/>
        <v>7510</v>
      </c>
      <c r="T660" s="667">
        <f t="shared" si="1905"/>
        <v>7470</v>
      </c>
      <c r="U660" s="287">
        <f t="shared" si="1906"/>
        <v>7470</v>
      </c>
      <c r="V660" s="667">
        <f t="shared" si="1907"/>
        <v>7450</v>
      </c>
      <c r="W660" s="287">
        <f t="shared" si="1908"/>
        <v>7450</v>
      </c>
      <c r="X660" s="153"/>
      <c r="Y660" s="154"/>
      <c r="Z660" s="154"/>
      <c r="AA660" s="155"/>
      <c r="AB660" s="415">
        <v>967</v>
      </c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spans="1:38" s="1" customFormat="1" ht="12.6" customHeight="1" x14ac:dyDescent="0.2">
      <c r="A661" s="19"/>
      <c r="B661" s="699" t="s">
        <v>354</v>
      </c>
      <c r="C661" s="740"/>
      <c r="D661" s="740"/>
      <c r="E661" s="741"/>
      <c r="F661" s="288">
        <v>4485</v>
      </c>
      <c r="G661" s="290">
        <f t="shared" ref="G661" si="1909">+F661*$X$1</f>
        <v>4485</v>
      </c>
      <c r="H661" s="458"/>
      <c r="I661" s="288"/>
      <c r="J661" s="89"/>
      <c r="K661" s="288"/>
      <c r="L661" s="458"/>
      <c r="M661" s="288"/>
      <c r="N661" s="458"/>
      <c r="O661" s="288"/>
      <c r="P661" s="458">
        <f t="shared" si="1903"/>
        <v>4685</v>
      </c>
      <c r="Q661" s="288">
        <f t="shared" si="1899"/>
        <v>4685</v>
      </c>
      <c r="R661" s="458">
        <f t="shared" si="1904"/>
        <v>4655</v>
      </c>
      <c r="S661" s="288">
        <f t="shared" si="1900"/>
        <v>4655</v>
      </c>
      <c r="T661" s="458">
        <f t="shared" si="1905"/>
        <v>4615</v>
      </c>
      <c r="U661" s="288">
        <f t="shared" si="1906"/>
        <v>4615</v>
      </c>
      <c r="V661" s="458">
        <f t="shared" si="1907"/>
        <v>4595</v>
      </c>
      <c r="W661" s="288">
        <f t="shared" si="1908"/>
        <v>4595</v>
      </c>
      <c r="X661" s="726"/>
      <c r="Y661" s="799"/>
      <c r="Z661" s="799"/>
      <c r="AA661" s="728"/>
      <c r="AB661" s="415">
        <v>968</v>
      </c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spans="1:38" s="1" customFormat="1" ht="12.6" customHeight="1" x14ac:dyDescent="0.2">
      <c r="A662" s="19"/>
      <c r="B662" s="677" t="s">
        <v>205</v>
      </c>
      <c r="C662" s="678"/>
      <c r="D662" s="678"/>
      <c r="E662" s="678"/>
      <c r="F662" s="287">
        <v>12106</v>
      </c>
      <c r="G662" s="289">
        <f t="shared" ref="G662" si="1910">+F662*$X$1</f>
        <v>12106</v>
      </c>
      <c r="H662" s="667"/>
      <c r="I662" s="287"/>
      <c r="J662" s="71"/>
      <c r="K662" s="287"/>
      <c r="L662" s="667"/>
      <c r="M662" s="287"/>
      <c r="N662" s="667"/>
      <c r="O662" s="287"/>
      <c r="P662" s="667">
        <f t="shared" si="1903"/>
        <v>12306</v>
      </c>
      <c r="Q662" s="287">
        <f t="shared" si="1899"/>
        <v>12306</v>
      </c>
      <c r="R662" s="667">
        <f t="shared" si="1904"/>
        <v>12276</v>
      </c>
      <c r="S662" s="287">
        <f t="shared" si="1900"/>
        <v>12276</v>
      </c>
      <c r="T662" s="667">
        <f t="shared" si="1905"/>
        <v>12236</v>
      </c>
      <c r="U662" s="287">
        <f t="shared" si="1906"/>
        <v>12236</v>
      </c>
      <c r="V662" s="667">
        <f t="shared" si="1907"/>
        <v>12216</v>
      </c>
      <c r="W662" s="287">
        <f t="shared" si="1908"/>
        <v>12216</v>
      </c>
      <c r="X662" s="726"/>
      <c r="Y662" s="799"/>
      <c r="Z662" s="799"/>
      <c r="AA662" s="728"/>
      <c r="AB662" s="415">
        <v>969</v>
      </c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spans="1:38" s="1" customFormat="1" ht="12.6" customHeight="1" x14ac:dyDescent="0.2">
      <c r="A663" s="19"/>
      <c r="B663" s="699" t="s">
        <v>371</v>
      </c>
      <c r="C663" s="740"/>
      <c r="D663" s="740"/>
      <c r="E663" s="741"/>
      <c r="F663" s="288">
        <v>11100</v>
      </c>
      <c r="G663" s="290">
        <f t="shared" ref="G663" si="1911">+F663*$X$1</f>
        <v>11100</v>
      </c>
      <c r="H663" s="458"/>
      <c r="I663" s="288"/>
      <c r="J663" s="89"/>
      <c r="K663" s="288"/>
      <c r="L663" s="458"/>
      <c r="M663" s="288"/>
      <c r="N663" s="458"/>
      <c r="O663" s="288"/>
      <c r="P663" s="458">
        <f t="shared" si="1903"/>
        <v>11300</v>
      </c>
      <c r="Q663" s="288">
        <f t="shared" si="1899"/>
        <v>11300</v>
      </c>
      <c r="R663" s="458">
        <f t="shared" si="1904"/>
        <v>11270</v>
      </c>
      <c r="S663" s="288">
        <f t="shared" si="1900"/>
        <v>11270</v>
      </c>
      <c r="T663" s="458">
        <f t="shared" si="1905"/>
        <v>11230</v>
      </c>
      <c r="U663" s="288">
        <f t="shared" si="1906"/>
        <v>11230</v>
      </c>
      <c r="V663" s="458">
        <f t="shared" si="1907"/>
        <v>11210</v>
      </c>
      <c r="W663" s="288">
        <f t="shared" si="1908"/>
        <v>11210</v>
      </c>
      <c r="X663" s="216"/>
      <c r="Y663" s="218"/>
      <c r="Z663" s="218"/>
      <c r="AA663" s="217"/>
      <c r="AB663" s="415" t="s">
        <v>451</v>
      </c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spans="1:38" s="1" customFormat="1" ht="12.6" customHeight="1" x14ac:dyDescent="0.2">
      <c r="A664" s="19"/>
      <c r="B664" s="677" t="s">
        <v>206</v>
      </c>
      <c r="C664" s="678"/>
      <c r="D664" s="678"/>
      <c r="E664" s="678"/>
      <c r="F664" s="287">
        <v>3090</v>
      </c>
      <c r="G664" s="289">
        <f t="shared" ref="G664" si="1912">+F664*$X$1</f>
        <v>3090</v>
      </c>
      <c r="H664" s="667"/>
      <c r="I664" s="287"/>
      <c r="J664" s="71"/>
      <c r="K664" s="287"/>
      <c r="L664" s="667"/>
      <c r="M664" s="287"/>
      <c r="N664" s="667"/>
      <c r="O664" s="287"/>
      <c r="P664" s="667">
        <f t="shared" si="1903"/>
        <v>3290</v>
      </c>
      <c r="Q664" s="287">
        <f t="shared" si="1899"/>
        <v>3290</v>
      </c>
      <c r="R664" s="667">
        <f t="shared" si="1904"/>
        <v>3260</v>
      </c>
      <c r="S664" s="287">
        <f t="shared" si="1900"/>
        <v>3260</v>
      </c>
      <c r="T664" s="667">
        <f t="shared" si="1905"/>
        <v>3220</v>
      </c>
      <c r="U664" s="287">
        <f t="shared" si="1906"/>
        <v>3220</v>
      </c>
      <c r="V664" s="667">
        <f t="shared" si="1907"/>
        <v>3200</v>
      </c>
      <c r="W664" s="287">
        <f t="shared" si="1908"/>
        <v>3200</v>
      </c>
      <c r="X664" s="726"/>
      <c r="Y664" s="799"/>
      <c r="Z664" s="799"/>
      <c r="AA664" s="728"/>
      <c r="AB664" s="415">
        <v>970</v>
      </c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spans="1:38" s="1" customFormat="1" ht="12.6" customHeight="1" x14ac:dyDescent="0.2">
      <c r="A665" s="19"/>
      <c r="B665" s="692" t="s">
        <v>207</v>
      </c>
      <c r="C665" s="693"/>
      <c r="D665" s="693"/>
      <c r="E665" s="693"/>
      <c r="F665" s="288">
        <v>3193</v>
      </c>
      <c r="G665" s="290">
        <f t="shared" ref="G665" si="1913">+F665*$X$1</f>
        <v>3193</v>
      </c>
      <c r="H665" s="458"/>
      <c r="I665" s="288"/>
      <c r="J665" s="89"/>
      <c r="K665" s="288"/>
      <c r="L665" s="458"/>
      <c r="M665" s="288"/>
      <c r="N665" s="458"/>
      <c r="O665" s="288"/>
      <c r="P665" s="458">
        <f t="shared" si="1903"/>
        <v>3393</v>
      </c>
      <c r="Q665" s="288">
        <f t="shared" si="1899"/>
        <v>3393</v>
      </c>
      <c r="R665" s="458">
        <f t="shared" si="1904"/>
        <v>3363</v>
      </c>
      <c r="S665" s="288">
        <f t="shared" si="1900"/>
        <v>3363</v>
      </c>
      <c r="T665" s="458">
        <f t="shared" si="1905"/>
        <v>3323</v>
      </c>
      <c r="U665" s="288">
        <f t="shared" si="1906"/>
        <v>3323</v>
      </c>
      <c r="V665" s="458">
        <f t="shared" si="1907"/>
        <v>3303</v>
      </c>
      <c r="W665" s="288">
        <f t="shared" si="1908"/>
        <v>3303</v>
      </c>
      <c r="X665" s="726"/>
      <c r="Y665" s="799"/>
      <c r="Z665" s="799"/>
      <c r="AA665" s="728"/>
      <c r="AB665" s="415">
        <v>971</v>
      </c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spans="1:38" s="1" customFormat="1" ht="12.6" customHeight="1" x14ac:dyDescent="0.2">
      <c r="A666" s="19"/>
      <c r="B666" s="732" t="s">
        <v>372</v>
      </c>
      <c r="C666" s="733"/>
      <c r="D666" s="733"/>
      <c r="E666" s="734"/>
      <c r="F666" s="287">
        <v>5394</v>
      </c>
      <c r="G666" s="289">
        <f t="shared" ref="G666" si="1914">+F666*$X$1</f>
        <v>5394</v>
      </c>
      <c r="H666" s="667"/>
      <c r="I666" s="287"/>
      <c r="J666" s="71"/>
      <c r="K666" s="287"/>
      <c r="L666" s="667"/>
      <c r="M666" s="287"/>
      <c r="N666" s="667"/>
      <c r="O666" s="287"/>
      <c r="P666" s="667">
        <f t="shared" si="1903"/>
        <v>5594</v>
      </c>
      <c r="Q666" s="287">
        <f t="shared" si="1899"/>
        <v>5594</v>
      </c>
      <c r="R666" s="667">
        <f t="shared" si="1904"/>
        <v>5564</v>
      </c>
      <c r="S666" s="287">
        <f t="shared" si="1900"/>
        <v>5564</v>
      </c>
      <c r="T666" s="667">
        <f t="shared" si="1905"/>
        <v>5524</v>
      </c>
      <c r="U666" s="287">
        <f t="shared" si="1906"/>
        <v>5524</v>
      </c>
      <c r="V666" s="667">
        <f t="shared" si="1907"/>
        <v>5504</v>
      </c>
      <c r="W666" s="287">
        <f t="shared" si="1908"/>
        <v>5504</v>
      </c>
      <c r="X666" s="153"/>
      <c r="Y666" s="154"/>
      <c r="Z666" s="154"/>
      <c r="AA666" s="155"/>
      <c r="AB666" s="415">
        <v>972</v>
      </c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spans="1:38" s="1" customFormat="1" ht="12.6" customHeight="1" x14ac:dyDescent="0.2">
      <c r="A667" s="19"/>
      <c r="B667" s="692" t="s">
        <v>208</v>
      </c>
      <c r="C667" s="693"/>
      <c r="D667" s="693"/>
      <c r="E667" s="693"/>
      <c r="F667" s="458"/>
      <c r="G667" s="458"/>
      <c r="H667" s="280"/>
      <c r="I667" s="280"/>
      <c r="J667" s="89"/>
      <c r="K667" s="458"/>
      <c r="L667" s="458"/>
      <c r="M667" s="458"/>
      <c r="N667" s="458"/>
      <c r="O667" s="458"/>
      <c r="P667" s="458"/>
      <c r="Q667" s="458"/>
      <c r="R667" s="458"/>
      <c r="S667" s="458"/>
      <c r="T667" s="458"/>
      <c r="U667" s="458"/>
      <c r="V667" s="458"/>
      <c r="W667" s="458"/>
      <c r="X667" s="682"/>
      <c r="Y667" s="995"/>
      <c r="Z667" s="995"/>
      <c r="AA667" s="960"/>
      <c r="AB667" s="192">
        <v>980</v>
      </c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spans="1:38" s="1" customFormat="1" ht="12.6" customHeight="1" x14ac:dyDescent="0.2">
      <c r="A668" s="19"/>
      <c r="B668" s="677" t="s">
        <v>209</v>
      </c>
      <c r="C668" s="702"/>
      <c r="D668" s="702"/>
      <c r="E668" s="702"/>
      <c r="F668" s="103"/>
      <c r="G668" s="638"/>
      <c r="H668" s="281"/>
      <c r="I668" s="281"/>
      <c r="J668" s="71"/>
      <c r="K668" s="638"/>
      <c r="L668" s="638"/>
      <c r="M668" s="638"/>
      <c r="N668" s="638"/>
      <c r="O668" s="638"/>
      <c r="P668" s="638"/>
      <c r="Q668" s="638"/>
      <c r="R668" s="638"/>
      <c r="S668" s="638"/>
      <c r="T668" s="638"/>
      <c r="U668" s="638"/>
      <c r="V668" s="638"/>
      <c r="W668" s="638"/>
      <c r="X668" s="682"/>
      <c r="Y668" s="995"/>
      <c r="Z668" s="995"/>
      <c r="AA668" s="960"/>
      <c r="AB668" s="192">
        <v>981</v>
      </c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spans="1:38" s="1" customFormat="1" ht="12.6" customHeight="1" x14ac:dyDescent="0.2">
      <c r="A669" s="19"/>
      <c r="B669" s="699" t="s">
        <v>467</v>
      </c>
      <c r="C669" s="1021"/>
      <c r="D669" s="1021"/>
      <c r="E669" s="1022"/>
      <c r="F669" s="102"/>
      <c r="G669" s="458"/>
      <c r="H669" s="280"/>
      <c r="I669" s="280"/>
      <c r="J669" s="89"/>
      <c r="K669" s="458"/>
      <c r="L669" s="458"/>
      <c r="M669" s="458"/>
      <c r="N669" s="458"/>
      <c r="O669" s="458"/>
      <c r="P669" s="458"/>
      <c r="Q669" s="458"/>
      <c r="R669" s="458"/>
      <c r="S669" s="458"/>
      <c r="T669" s="458"/>
      <c r="U669" s="458"/>
      <c r="V669" s="458"/>
      <c r="W669" s="458"/>
      <c r="X669" s="682"/>
      <c r="Y669" s="995"/>
      <c r="Z669" s="995"/>
      <c r="AA669" s="960"/>
      <c r="AB669" s="192">
        <v>982</v>
      </c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spans="1:38" s="1" customFormat="1" ht="12.6" customHeight="1" x14ac:dyDescent="0.2">
      <c r="A670" s="19"/>
      <c r="B670" s="732" t="s">
        <v>500</v>
      </c>
      <c r="C670" s="958"/>
      <c r="D670" s="958"/>
      <c r="E670" s="959"/>
      <c r="F670" s="103"/>
      <c r="G670" s="638"/>
      <c r="H670" s="281"/>
      <c r="I670" s="281"/>
      <c r="J670" s="71"/>
      <c r="K670" s="638"/>
      <c r="L670" s="638"/>
      <c r="M670" s="638"/>
      <c r="N670" s="638"/>
      <c r="O670" s="638"/>
      <c r="P670" s="638"/>
      <c r="Q670" s="638"/>
      <c r="R670" s="638"/>
      <c r="S670" s="638"/>
      <c r="T670" s="638"/>
      <c r="U670" s="638"/>
      <c r="V670" s="638"/>
      <c r="W670" s="638"/>
      <c r="X670" s="682"/>
      <c r="Y670" s="995"/>
      <c r="Z670" s="995"/>
      <c r="AA670" s="960"/>
      <c r="AB670" s="192">
        <v>983</v>
      </c>
      <c r="AC670" s="4"/>
      <c r="AD670" s="4"/>
      <c r="AE670" s="4"/>
      <c r="AF670" s="4"/>
      <c r="AG670" s="4"/>
      <c r="AH670" s="4"/>
      <c r="AI670" s="4"/>
      <c r="AJ670" s="4"/>
      <c r="AK670" s="4"/>
      <c r="AL670" s="4"/>
    </row>
    <row r="671" spans="1:38" s="1" customFormat="1" ht="12.6" customHeight="1" x14ac:dyDescent="0.2">
      <c r="A671" s="19"/>
      <c r="B671" s="699" t="s">
        <v>210</v>
      </c>
      <c r="C671" s="1021"/>
      <c r="D671" s="1021"/>
      <c r="E671" s="1022"/>
      <c r="F671" s="458"/>
      <c r="G671" s="458"/>
      <c r="H671" s="280"/>
      <c r="I671" s="280"/>
      <c r="J671" s="89"/>
      <c r="K671" s="458"/>
      <c r="L671" s="458"/>
      <c r="M671" s="458"/>
      <c r="N671" s="458"/>
      <c r="O671" s="458"/>
      <c r="P671" s="458"/>
      <c r="Q671" s="458"/>
      <c r="R671" s="458"/>
      <c r="S671" s="458"/>
      <c r="T671" s="458"/>
      <c r="U671" s="458"/>
      <c r="V671" s="458"/>
      <c r="W671" s="458"/>
      <c r="X671" s="682"/>
      <c r="Y671" s="995"/>
      <c r="Z671" s="995"/>
      <c r="AA671" s="960"/>
      <c r="AB671" s="192">
        <v>984</v>
      </c>
      <c r="AC671" s="4"/>
      <c r="AD671" s="4"/>
      <c r="AE671" s="4"/>
      <c r="AF671" s="4"/>
      <c r="AG671" s="4"/>
      <c r="AH671" s="4"/>
      <c r="AI671" s="4"/>
      <c r="AJ671" s="4"/>
      <c r="AK671" s="4"/>
      <c r="AL671" s="4"/>
    </row>
    <row r="672" spans="1:38" s="1" customFormat="1" ht="12.6" customHeight="1" x14ac:dyDescent="0.2">
      <c r="A672" s="19"/>
      <c r="B672" s="732" t="s">
        <v>211</v>
      </c>
      <c r="C672" s="958"/>
      <c r="D672" s="958"/>
      <c r="E672" s="959"/>
      <c r="F672" s="638"/>
      <c r="G672" s="638"/>
      <c r="H672" s="281"/>
      <c r="I672" s="281"/>
      <c r="J672" s="71"/>
      <c r="K672" s="638"/>
      <c r="L672" s="638"/>
      <c r="M672" s="638"/>
      <c r="N672" s="638"/>
      <c r="O672" s="638"/>
      <c r="P672" s="638"/>
      <c r="Q672" s="638"/>
      <c r="R672" s="638"/>
      <c r="S672" s="638"/>
      <c r="T672" s="638"/>
      <c r="U672" s="638"/>
      <c r="V672" s="638"/>
      <c r="W672" s="638"/>
      <c r="X672" s="682"/>
      <c r="Y672" s="995"/>
      <c r="Z672" s="995"/>
      <c r="AA672" s="960"/>
      <c r="AB672" s="192">
        <v>985</v>
      </c>
      <c r="AC672" s="4"/>
      <c r="AD672" s="4"/>
      <c r="AE672" s="4"/>
      <c r="AF672" s="4"/>
      <c r="AG672" s="4"/>
      <c r="AH672" s="4"/>
      <c r="AI672" s="4"/>
      <c r="AJ672" s="4"/>
      <c r="AK672" s="4"/>
      <c r="AL672" s="4"/>
    </row>
    <row r="673" spans="1:38" s="1" customFormat="1" ht="12.6" customHeight="1" x14ac:dyDescent="0.2">
      <c r="A673" s="19"/>
      <c r="B673" s="679" t="s">
        <v>952</v>
      </c>
      <c r="C673" s="680"/>
      <c r="D673" s="680"/>
      <c r="E673" s="681"/>
      <c r="F673" s="454">
        <f>21.75*X2</f>
        <v>23577</v>
      </c>
      <c r="G673" s="288">
        <f>+F673*$X$1</f>
        <v>23577</v>
      </c>
      <c r="H673" s="458">
        <f>F673+3000</f>
        <v>26577</v>
      </c>
      <c r="I673" s="288">
        <f t="shared" ref="I673" si="1915">+H673*$X$1</f>
        <v>26577</v>
      </c>
      <c r="J673" s="458">
        <f>F673+750</f>
        <v>24327</v>
      </c>
      <c r="K673" s="288">
        <f t="shared" ref="K673" si="1916">+J673*$X$1</f>
        <v>24327</v>
      </c>
      <c r="L673" s="458">
        <f>F673+540</f>
        <v>24117</v>
      </c>
      <c r="M673" s="288">
        <f t="shared" ref="M673" si="1917">+L673*$X$1</f>
        <v>24117</v>
      </c>
      <c r="N673" s="458">
        <f>F673+400</f>
        <v>23977</v>
      </c>
      <c r="O673" s="288">
        <f t="shared" ref="O673" si="1918">+N673*$X$1</f>
        <v>23977</v>
      </c>
      <c r="P673" s="458">
        <f>F673+350</f>
        <v>23927</v>
      </c>
      <c r="Q673" s="288">
        <f t="shared" ref="Q673" si="1919">+P673*$X$1</f>
        <v>23927</v>
      </c>
      <c r="R673" s="458">
        <f>F673+300</f>
        <v>23877</v>
      </c>
      <c r="S673" s="288">
        <f t="shared" ref="S673" si="1920">+R673*$X$1</f>
        <v>23877</v>
      </c>
      <c r="T673" s="458">
        <f>F673+250</f>
        <v>23827</v>
      </c>
      <c r="U673" s="288">
        <f t="shared" ref="U673" si="1921">+T673*$X$1</f>
        <v>23827</v>
      </c>
      <c r="V673" s="458">
        <f>F673+200</f>
        <v>23777</v>
      </c>
      <c r="W673" s="288">
        <f t="shared" ref="W673" si="1922">+V673*$X$1</f>
        <v>23777</v>
      </c>
      <c r="X673" s="726"/>
      <c r="Y673" s="727"/>
      <c r="Z673" s="727"/>
      <c r="AA673" s="728"/>
      <c r="AB673" s="192">
        <v>990</v>
      </c>
      <c r="AC673" s="4"/>
      <c r="AD673" s="4"/>
      <c r="AE673" s="4"/>
      <c r="AF673" s="4"/>
      <c r="AG673" s="4"/>
      <c r="AH673" s="128"/>
      <c r="AI673" s="4"/>
      <c r="AJ673" s="4"/>
      <c r="AK673" s="4"/>
      <c r="AL673" s="4"/>
    </row>
    <row r="674" spans="1:38" ht="12.6" customHeight="1" x14ac:dyDescent="0.2">
      <c r="B674" s="736" t="s">
        <v>724</v>
      </c>
      <c r="C674" s="736"/>
      <c r="D674" s="736"/>
      <c r="E674" s="736"/>
      <c r="F674" s="453">
        <f>23*X2</f>
        <v>24932</v>
      </c>
      <c r="G674" s="287">
        <f>+F674*$X$1</f>
        <v>24932</v>
      </c>
      <c r="H674" s="638">
        <f>F674+3500</f>
        <v>28432</v>
      </c>
      <c r="I674" s="287">
        <f t="shared" ref="I674:I675" si="1923">+H674*$X$1</f>
        <v>28432</v>
      </c>
      <c r="J674" s="638">
        <f>F674+1100</f>
        <v>26032</v>
      </c>
      <c r="K674" s="287">
        <f t="shared" ref="K674:K675" si="1924">+J674*$X$1</f>
        <v>26032</v>
      </c>
      <c r="L674" s="638">
        <f>F674+800</f>
        <v>25732</v>
      </c>
      <c r="M674" s="287">
        <f t="shared" ref="M674:M675" si="1925">+L674*$X$1</f>
        <v>25732</v>
      </c>
      <c r="N674" s="638">
        <f>F674+600</f>
        <v>25532</v>
      </c>
      <c r="O674" s="287">
        <f t="shared" ref="O674:O675" si="1926">+N674*$X$1</f>
        <v>25532</v>
      </c>
      <c r="P674" s="638">
        <f>F674+500</f>
        <v>25432</v>
      </c>
      <c r="Q674" s="287">
        <f t="shared" ref="Q674:Q675" si="1927">+P674*$X$1</f>
        <v>25432</v>
      </c>
      <c r="R674" s="638">
        <f>F674+410</f>
        <v>25342</v>
      </c>
      <c r="S674" s="287">
        <f t="shared" ref="S674:S675" si="1928">+R674*$X$1</f>
        <v>25342</v>
      </c>
      <c r="T674" s="638">
        <f>F674+350</f>
        <v>25282</v>
      </c>
      <c r="U674" s="287">
        <f t="shared" ref="U674:U675" si="1929">+T674*$X$1</f>
        <v>25282</v>
      </c>
      <c r="V674" s="638">
        <f>F674+290</f>
        <v>25222</v>
      </c>
      <c r="W674" s="287">
        <f t="shared" ref="W674:W675" si="1930">+V674*$X$1</f>
        <v>25222</v>
      </c>
      <c r="X674" s="451"/>
      <c r="Y674" s="136"/>
      <c r="Z674" s="134"/>
      <c r="AA674" s="137"/>
      <c r="AB674" s="422" t="s">
        <v>723</v>
      </c>
    </row>
    <row r="675" spans="1:38" s="1" customFormat="1" ht="12.6" customHeight="1" x14ac:dyDescent="0.2">
      <c r="A675" s="19"/>
      <c r="B675" s="679" t="s">
        <v>926</v>
      </c>
      <c r="C675" s="680"/>
      <c r="D675" s="680"/>
      <c r="E675" s="681"/>
      <c r="F675" s="454">
        <f>18.44*X2</f>
        <v>19988.960000000003</v>
      </c>
      <c r="G675" s="288">
        <f>+F675*$X$1</f>
        <v>19988.960000000003</v>
      </c>
      <c r="H675" s="458">
        <f>F675+3000</f>
        <v>22988.960000000003</v>
      </c>
      <c r="I675" s="288">
        <f t="shared" si="1923"/>
        <v>22988.960000000003</v>
      </c>
      <c r="J675" s="458">
        <f>F675+750</f>
        <v>20738.960000000003</v>
      </c>
      <c r="K675" s="288">
        <f t="shared" si="1924"/>
        <v>20738.960000000003</v>
      </c>
      <c r="L675" s="458">
        <f>F675+540</f>
        <v>20528.960000000003</v>
      </c>
      <c r="M675" s="288">
        <f t="shared" si="1925"/>
        <v>20528.960000000003</v>
      </c>
      <c r="N675" s="458">
        <f>F675+400</f>
        <v>20388.960000000003</v>
      </c>
      <c r="O675" s="288">
        <f t="shared" si="1926"/>
        <v>20388.960000000003</v>
      </c>
      <c r="P675" s="458">
        <f>F675+350</f>
        <v>20338.960000000003</v>
      </c>
      <c r="Q675" s="288">
        <f t="shared" si="1927"/>
        <v>20338.960000000003</v>
      </c>
      <c r="R675" s="458">
        <f>F675+300</f>
        <v>20288.960000000003</v>
      </c>
      <c r="S675" s="288">
        <f t="shared" si="1928"/>
        <v>20288.960000000003</v>
      </c>
      <c r="T675" s="458">
        <f>F675+250</f>
        <v>20238.960000000003</v>
      </c>
      <c r="U675" s="288">
        <f t="shared" si="1929"/>
        <v>20238.960000000003</v>
      </c>
      <c r="V675" s="458">
        <f>F675+200</f>
        <v>20188.960000000003</v>
      </c>
      <c r="W675" s="288">
        <f t="shared" si="1930"/>
        <v>20188.960000000003</v>
      </c>
      <c r="X675" s="726"/>
      <c r="Y675" s="727"/>
      <c r="Z675" s="727"/>
      <c r="AA675" s="728"/>
      <c r="AB675" s="192">
        <v>993</v>
      </c>
      <c r="AC675" s="4"/>
      <c r="AD675" s="4"/>
      <c r="AE675" s="4"/>
      <c r="AF675" s="4"/>
      <c r="AG675" s="4"/>
      <c r="AH675" s="128"/>
      <c r="AI675" s="4"/>
      <c r="AJ675" s="4"/>
      <c r="AK675" s="4"/>
      <c r="AL675" s="4"/>
    </row>
    <row r="676" spans="1:38" ht="12.6" customHeight="1" x14ac:dyDescent="0.2">
      <c r="B676" s="736" t="s">
        <v>872</v>
      </c>
      <c r="C676" s="736"/>
      <c r="D676" s="736"/>
      <c r="E676" s="736"/>
      <c r="F676" s="453">
        <f>23.6*X2</f>
        <v>25582.400000000001</v>
      </c>
      <c r="G676" s="287">
        <f t="shared" ref="G676" si="1931">+F676*$X$1</f>
        <v>25582.400000000001</v>
      </c>
      <c r="H676" s="638">
        <f>F676+3000</f>
        <v>28582.400000000001</v>
      </c>
      <c r="I676" s="287">
        <f t="shared" ref="I676:I677" si="1932">+H676*$X$1</f>
        <v>28582.400000000001</v>
      </c>
      <c r="J676" s="638">
        <f>F676+750</f>
        <v>26332.400000000001</v>
      </c>
      <c r="K676" s="287">
        <f t="shared" ref="K676:K677" si="1933">+J676*$X$1</f>
        <v>26332.400000000001</v>
      </c>
      <c r="L676" s="638">
        <f>F676+540</f>
        <v>26122.400000000001</v>
      </c>
      <c r="M676" s="287">
        <f t="shared" ref="M676:M677" si="1934">+L676*$X$1</f>
        <v>26122.400000000001</v>
      </c>
      <c r="N676" s="638">
        <f>F676+400</f>
        <v>25982.400000000001</v>
      </c>
      <c r="O676" s="287">
        <f t="shared" ref="O676:O677" si="1935">+N676*$X$1</f>
        <v>25982.400000000001</v>
      </c>
      <c r="P676" s="638">
        <f>F676+350</f>
        <v>25932.400000000001</v>
      </c>
      <c r="Q676" s="287">
        <f t="shared" ref="Q676:Q677" si="1936">+P676*$X$1</f>
        <v>25932.400000000001</v>
      </c>
      <c r="R676" s="638">
        <f>F676+300</f>
        <v>25882.400000000001</v>
      </c>
      <c r="S676" s="287">
        <f t="shared" ref="S676:S677" si="1937">+R676*$X$1</f>
        <v>25882.400000000001</v>
      </c>
      <c r="T676" s="638">
        <f>F676+250</f>
        <v>25832.400000000001</v>
      </c>
      <c r="U676" s="287">
        <f t="shared" ref="U676:U677" si="1938">+T676*$X$1</f>
        <v>25832.400000000001</v>
      </c>
      <c r="V676" s="638">
        <f>F676+200</f>
        <v>25782.400000000001</v>
      </c>
      <c r="W676" s="287">
        <f t="shared" ref="W676:W677" si="1939">+V676*$X$1</f>
        <v>25782.400000000001</v>
      </c>
      <c r="X676" s="520"/>
      <c r="Y676" s="136"/>
      <c r="Z676" s="134"/>
      <c r="AA676" s="137"/>
      <c r="AB676" s="422" t="s">
        <v>873</v>
      </c>
    </row>
    <row r="677" spans="1:38" ht="12.6" customHeight="1" x14ac:dyDescent="0.2">
      <c r="B677" s="748" t="s">
        <v>725</v>
      </c>
      <c r="C677" s="748"/>
      <c r="D677" s="748"/>
      <c r="E677" s="748"/>
      <c r="F677" s="454">
        <f>36.297*X2</f>
        <v>39345.947999999997</v>
      </c>
      <c r="G677" s="288">
        <f t="shared" ref="G677:G685" si="1940">+F677*$X$1</f>
        <v>39345.947999999997</v>
      </c>
      <c r="H677" s="458">
        <f>F677+3500</f>
        <v>42845.947999999997</v>
      </c>
      <c r="I677" s="288">
        <f t="shared" si="1932"/>
        <v>42845.947999999997</v>
      </c>
      <c r="J677" s="458">
        <f>F677+1100</f>
        <v>40445.947999999997</v>
      </c>
      <c r="K677" s="288">
        <f t="shared" si="1933"/>
        <v>40445.947999999997</v>
      </c>
      <c r="L677" s="458">
        <f>F677+800</f>
        <v>40145.947999999997</v>
      </c>
      <c r="M677" s="288">
        <f t="shared" si="1934"/>
        <v>40145.947999999997</v>
      </c>
      <c r="N677" s="458">
        <f>F677+600</f>
        <v>39945.947999999997</v>
      </c>
      <c r="O677" s="288">
        <f t="shared" si="1935"/>
        <v>39945.947999999997</v>
      </c>
      <c r="P677" s="458">
        <f>F677+500</f>
        <v>39845.947999999997</v>
      </c>
      <c r="Q677" s="288">
        <f t="shared" si="1936"/>
        <v>39845.947999999997</v>
      </c>
      <c r="R677" s="458">
        <f>F677+410</f>
        <v>39755.947999999997</v>
      </c>
      <c r="S677" s="288">
        <f t="shared" si="1937"/>
        <v>39755.947999999997</v>
      </c>
      <c r="T677" s="458">
        <f>F677+350</f>
        <v>39695.947999999997</v>
      </c>
      <c r="U677" s="288">
        <f t="shared" si="1938"/>
        <v>39695.947999999997</v>
      </c>
      <c r="V677" s="458">
        <f>F677+290</f>
        <v>39635.947999999997</v>
      </c>
      <c r="W677" s="288">
        <f t="shared" si="1939"/>
        <v>39635.947999999997</v>
      </c>
      <c r="X677" s="451"/>
      <c r="Y677" s="136"/>
      <c r="Z677" s="134"/>
      <c r="AA677" s="137"/>
      <c r="AB677" s="422" t="s">
        <v>726</v>
      </c>
    </row>
    <row r="678" spans="1:38" s="1" customFormat="1" ht="12.6" customHeight="1" x14ac:dyDescent="0.2">
      <c r="A678" s="19"/>
      <c r="B678" s="732" t="s">
        <v>552</v>
      </c>
      <c r="C678" s="733"/>
      <c r="D678" s="733"/>
      <c r="E678" s="734"/>
      <c r="F678" s="289">
        <v>9116</v>
      </c>
      <c r="G678" s="289">
        <f t="shared" si="1940"/>
        <v>9116</v>
      </c>
      <c r="H678" s="638">
        <f>F678+2500</f>
        <v>11616</v>
      </c>
      <c r="I678" s="287">
        <f t="shared" ref="I678" si="1941">+H678*$X$1</f>
        <v>11616</v>
      </c>
      <c r="J678" s="71">
        <f>F678+600</f>
        <v>9716</v>
      </c>
      <c r="K678" s="287">
        <f>+J678*$X$1</f>
        <v>9716</v>
      </c>
      <c r="L678" s="638">
        <f>F678+310</f>
        <v>9426</v>
      </c>
      <c r="M678" s="287">
        <f>+L678*$X$1</f>
        <v>9426</v>
      </c>
      <c r="N678" s="638">
        <f>F678+250</f>
        <v>9366</v>
      </c>
      <c r="O678" s="287">
        <f>+N678*$X$1</f>
        <v>9366</v>
      </c>
      <c r="P678" s="638">
        <f>F678+200</f>
        <v>9316</v>
      </c>
      <c r="Q678" s="287">
        <f>+P678*$X$1</f>
        <v>9316</v>
      </c>
      <c r="R678" s="638">
        <f>F678+170</f>
        <v>9286</v>
      </c>
      <c r="S678" s="287">
        <f>+R678*$X$1</f>
        <v>9286</v>
      </c>
      <c r="T678" s="638">
        <f>F678+130</f>
        <v>9246</v>
      </c>
      <c r="U678" s="287">
        <f>+T678*$X$1</f>
        <v>9246</v>
      </c>
      <c r="V678" s="638">
        <f>F678+110</f>
        <v>9226</v>
      </c>
      <c r="W678" s="287">
        <f>+V678*$X$1</f>
        <v>9226</v>
      </c>
      <c r="X678" s="726"/>
      <c r="Y678" s="727"/>
      <c r="Z678" s="727"/>
      <c r="AA678" s="728"/>
      <c r="AB678" s="192">
        <v>1010</v>
      </c>
      <c r="AC678" s="4"/>
      <c r="AD678" s="4"/>
      <c r="AE678" s="4"/>
      <c r="AF678" s="4"/>
      <c r="AG678" s="4"/>
      <c r="AH678" s="128"/>
      <c r="AI678" s="4"/>
      <c r="AJ678" s="4"/>
      <c r="AK678" s="4"/>
      <c r="AL678" s="4"/>
    </row>
    <row r="679" spans="1:38" s="1" customFormat="1" ht="12.6" customHeight="1" x14ac:dyDescent="0.2">
      <c r="A679" s="19"/>
      <c r="B679" s="699" t="s">
        <v>553</v>
      </c>
      <c r="C679" s="740"/>
      <c r="D679" s="740"/>
      <c r="E679" s="741"/>
      <c r="F679" s="288">
        <v>20824</v>
      </c>
      <c r="G679" s="288">
        <f t="shared" si="1940"/>
        <v>20824</v>
      </c>
      <c r="H679" s="458">
        <f>F679+2500</f>
        <v>23324</v>
      </c>
      <c r="I679" s="288">
        <f t="shared" ref="I679" si="1942">+H679*$X$1</f>
        <v>23324</v>
      </c>
      <c r="J679" s="89">
        <f>F679+600</f>
        <v>21424</v>
      </c>
      <c r="K679" s="288">
        <f>+J679*$X$1</f>
        <v>21424</v>
      </c>
      <c r="L679" s="458">
        <f>F679+310</f>
        <v>21134</v>
      </c>
      <c r="M679" s="288">
        <f t="shared" ref="M679:M680" si="1943">+L679*$X$1</f>
        <v>21134</v>
      </c>
      <c r="N679" s="458">
        <f>F679+250</f>
        <v>21074</v>
      </c>
      <c r="O679" s="288">
        <f t="shared" ref="O679:O680" si="1944">+N679*$X$1</f>
        <v>21074</v>
      </c>
      <c r="P679" s="458">
        <f>F679+200</f>
        <v>21024</v>
      </c>
      <c r="Q679" s="288">
        <f t="shared" ref="Q679:Q680" si="1945">+P679*$X$1</f>
        <v>21024</v>
      </c>
      <c r="R679" s="458">
        <f>F679+170</f>
        <v>20994</v>
      </c>
      <c r="S679" s="288">
        <f t="shared" ref="S679:S680" si="1946">+R679*$X$1</f>
        <v>20994</v>
      </c>
      <c r="T679" s="458">
        <f>F679+130</f>
        <v>20954</v>
      </c>
      <c r="U679" s="288">
        <f t="shared" ref="U679:U680" si="1947">+T679*$X$1</f>
        <v>20954</v>
      </c>
      <c r="V679" s="458">
        <f>F679+110</f>
        <v>20934</v>
      </c>
      <c r="W679" s="288">
        <f t="shared" ref="W679:W680" si="1948">+V679*$X$1</f>
        <v>20934</v>
      </c>
      <c r="X679" s="726"/>
      <c r="Y679" s="727"/>
      <c r="Z679" s="727"/>
      <c r="AA679" s="728"/>
      <c r="AB679" s="192">
        <v>1011</v>
      </c>
      <c r="AC679" s="4"/>
      <c r="AD679" s="4"/>
      <c r="AE679" s="4"/>
      <c r="AF679" s="4"/>
      <c r="AG679" s="4"/>
      <c r="AH679" s="128"/>
      <c r="AI679" s="4"/>
      <c r="AJ679" s="4"/>
      <c r="AK679" s="4"/>
      <c r="AL679" s="4"/>
    </row>
    <row r="680" spans="1:38" s="1" customFormat="1" ht="12.6" customHeight="1" x14ac:dyDescent="0.2">
      <c r="A680" s="19"/>
      <c r="B680" s="679" t="s">
        <v>953</v>
      </c>
      <c r="C680" s="680"/>
      <c r="D680" s="680"/>
      <c r="E680" s="681"/>
      <c r="F680" s="453">
        <f>9.45*X2</f>
        <v>10243.799999999999</v>
      </c>
      <c r="G680" s="287">
        <f>+F680*$X$1</f>
        <v>10243.799999999999</v>
      </c>
      <c r="H680" s="638"/>
      <c r="I680" s="287"/>
      <c r="J680" s="638">
        <f>F680+1500</f>
        <v>11743.8</v>
      </c>
      <c r="K680" s="287">
        <f t="shared" ref="K680" si="1949">+J680*$X$1</f>
        <v>11743.8</v>
      </c>
      <c r="L680" s="638">
        <f>F680+1100</f>
        <v>11343.8</v>
      </c>
      <c r="M680" s="287">
        <f t="shared" si="1943"/>
        <v>11343.8</v>
      </c>
      <c r="N680" s="638">
        <f>F680+850</f>
        <v>11093.8</v>
      </c>
      <c r="O680" s="287">
        <f t="shared" si="1944"/>
        <v>11093.8</v>
      </c>
      <c r="P680" s="638">
        <f>F680+750</f>
        <v>10993.8</v>
      </c>
      <c r="Q680" s="287">
        <f t="shared" si="1945"/>
        <v>10993.8</v>
      </c>
      <c r="R680" s="638">
        <f>F680+650</f>
        <v>10893.8</v>
      </c>
      <c r="S680" s="287">
        <f t="shared" si="1946"/>
        <v>10893.8</v>
      </c>
      <c r="T680" s="638">
        <f>F680+550</f>
        <v>10793.8</v>
      </c>
      <c r="U680" s="287">
        <f t="shared" si="1947"/>
        <v>10793.8</v>
      </c>
      <c r="V680" s="638">
        <f>F680+450</f>
        <v>10693.8</v>
      </c>
      <c r="W680" s="287">
        <f t="shared" si="1948"/>
        <v>10693.8</v>
      </c>
      <c r="X680" s="726"/>
      <c r="Y680" s="727"/>
      <c r="Z680" s="727"/>
      <c r="AA680" s="728"/>
      <c r="AB680" s="192">
        <v>1020</v>
      </c>
      <c r="AC680" s="4"/>
      <c r="AD680" s="4"/>
      <c r="AE680" s="4"/>
      <c r="AF680" s="4"/>
      <c r="AG680" s="4"/>
      <c r="AH680" s="128"/>
      <c r="AI680" s="4"/>
      <c r="AJ680" s="4"/>
      <c r="AK680" s="4"/>
      <c r="AL680" s="4"/>
    </row>
    <row r="681" spans="1:38" ht="12.6" customHeight="1" x14ac:dyDescent="0.2">
      <c r="B681" s="748" t="s">
        <v>654</v>
      </c>
      <c r="C681" s="748"/>
      <c r="D681" s="748"/>
      <c r="E681" s="748"/>
      <c r="F681" s="380">
        <f>3.04*X2</f>
        <v>3295.36</v>
      </c>
      <c r="G681" s="288">
        <f t="shared" si="1940"/>
        <v>3295.36</v>
      </c>
      <c r="H681" s="105"/>
      <c r="I681" s="105"/>
      <c r="J681" s="280"/>
      <c r="K681" s="280"/>
      <c r="L681" s="458">
        <f>F681+310</f>
        <v>3605.36</v>
      </c>
      <c r="M681" s="288">
        <f>+L681*$X$1</f>
        <v>3605.36</v>
      </c>
      <c r="N681" s="458">
        <f>F681+250</f>
        <v>3545.36</v>
      </c>
      <c r="O681" s="288">
        <f>+N681*$X$1</f>
        <v>3545.36</v>
      </c>
      <c r="P681" s="458">
        <f>F681+200</f>
        <v>3495.36</v>
      </c>
      <c r="Q681" s="288">
        <f>+P681*$X$1</f>
        <v>3495.36</v>
      </c>
      <c r="R681" s="458">
        <f>F681+170</f>
        <v>3465.36</v>
      </c>
      <c r="S681" s="288">
        <f>+R681*$X$1</f>
        <v>3465.36</v>
      </c>
      <c r="T681" s="458">
        <f>F681+130</f>
        <v>3425.36</v>
      </c>
      <c r="U681" s="288">
        <f>+T681*$X$1</f>
        <v>3425.36</v>
      </c>
      <c r="V681" s="458">
        <f>F681+110</f>
        <v>3405.36</v>
      </c>
      <c r="W681" s="288">
        <f>+V681*$X$1</f>
        <v>3405.36</v>
      </c>
      <c r="X681" s="424"/>
      <c r="Y681" s="136"/>
      <c r="Z681" s="134"/>
      <c r="AA681" s="137"/>
      <c r="AB681" s="422" t="s">
        <v>655</v>
      </c>
    </row>
    <row r="682" spans="1:38" ht="12.6" customHeight="1" x14ac:dyDescent="0.2">
      <c r="B682" s="736" t="s">
        <v>659</v>
      </c>
      <c r="C682" s="736"/>
      <c r="D682" s="736"/>
      <c r="E682" s="736"/>
      <c r="F682" s="379">
        <f>11.3*X2</f>
        <v>12249.2</v>
      </c>
      <c r="G682" s="287">
        <f t="shared" si="1940"/>
        <v>12249.2</v>
      </c>
      <c r="H682" s="101"/>
      <c r="I682" s="101"/>
      <c r="J682" s="71">
        <f>F682+600</f>
        <v>12849.2</v>
      </c>
      <c r="K682" s="287">
        <f>+J682*$X$1</f>
        <v>12849.2</v>
      </c>
      <c r="L682" s="603">
        <f>F682+310</f>
        <v>12559.2</v>
      </c>
      <c r="M682" s="287">
        <f t="shared" ref="M682" si="1950">+L682*$X$1</f>
        <v>12559.2</v>
      </c>
      <c r="N682" s="603">
        <f>F682+250</f>
        <v>12499.2</v>
      </c>
      <c r="O682" s="287">
        <f t="shared" ref="O682" si="1951">+N682*$X$1</f>
        <v>12499.2</v>
      </c>
      <c r="P682" s="603">
        <f>F682+200</f>
        <v>12449.2</v>
      </c>
      <c r="Q682" s="287">
        <f t="shared" ref="Q682" si="1952">+P682*$X$1</f>
        <v>12449.2</v>
      </c>
      <c r="R682" s="603">
        <f>F682+170</f>
        <v>12419.2</v>
      </c>
      <c r="S682" s="287">
        <f t="shared" ref="S682" si="1953">+R682*$X$1</f>
        <v>12419.2</v>
      </c>
      <c r="T682" s="603">
        <f>F682+130</f>
        <v>12379.2</v>
      </c>
      <c r="U682" s="287">
        <f t="shared" ref="U682" si="1954">+T682*$X$1</f>
        <v>12379.2</v>
      </c>
      <c r="V682" s="603">
        <f>F682+110</f>
        <v>12359.2</v>
      </c>
      <c r="W682" s="287">
        <f t="shared" ref="W682" si="1955">+V682*$X$1</f>
        <v>12359.2</v>
      </c>
      <c r="X682" s="425"/>
      <c r="Y682" s="136"/>
      <c r="Z682" s="134"/>
      <c r="AA682" s="137"/>
      <c r="AB682" s="422" t="s">
        <v>660</v>
      </c>
    </row>
    <row r="683" spans="1:38" ht="12.6" customHeight="1" x14ac:dyDescent="0.2">
      <c r="B683" s="748" t="s">
        <v>488</v>
      </c>
      <c r="C683" s="748"/>
      <c r="D683" s="748"/>
      <c r="E683" s="748"/>
      <c r="F683" s="380">
        <f>4.3*X2</f>
        <v>4661.2</v>
      </c>
      <c r="G683" s="288">
        <f t="shared" si="1940"/>
        <v>4661.2</v>
      </c>
      <c r="H683" s="105"/>
      <c r="I683" s="105"/>
      <c r="J683" s="458">
        <f>F683+600</f>
        <v>5261.2</v>
      </c>
      <c r="K683" s="288">
        <f t="shared" ref="K683" si="1956">+J683*$X$1</f>
        <v>5261.2</v>
      </c>
      <c r="L683" s="458">
        <f>F683+300</f>
        <v>4961.2</v>
      </c>
      <c r="M683" s="288">
        <f t="shared" ref="M683:M685" si="1957">+L683*$X$1</f>
        <v>4961.2</v>
      </c>
      <c r="N683" s="458">
        <f>F683+230</f>
        <v>4891.2</v>
      </c>
      <c r="O683" s="288">
        <f t="shared" ref="O683:O685" si="1958">+N683*$X$1</f>
        <v>4891.2</v>
      </c>
      <c r="P683" s="458">
        <f>F683+170</f>
        <v>4831.2</v>
      </c>
      <c r="Q683" s="288">
        <f t="shared" ref="Q683:Q685" si="1959">+P683*$X$1</f>
        <v>4831.2</v>
      </c>
      <c r="R683" s="458">
        <f>F683+130</f>
        <v>4791.2</v>
      </c>
      <c r="S683" s="288">
        <f t="shared" ref="S683:S685" si="1960">+R683*$X$1</f>
        <v>4791.2</v>
      </c>
      <c r="T683" s="458">
        <f>F683+100</f>
        <v>4761.2</v>
      </c>
      <c r="U683" s="288">
        <f t="shared" ref="U683:U685" si="1961">+T683*$X$1</f>
        <v>4761.2</v>
      </c>
      <c r="V683" s="458">
        <f>F683+70</f>
        <v>4731.2</v>
      </c>
      <c r="W683" s="288">
        <f t="shared" ref="W683:W685" si="1962">+V683*$X$1</f>
        <v>4731.2</v>
      </c>
      <c r="X683" s="232"/>
      <c r="Y683" s="136"/>
      <c r="Z683" s="134"/>
      <c r="AA683" s="137"/>
      <c r="AB683" s="422" t="s">
        <v>418</v>
      </c>
    </row>
    <row r="684" spans="1:38" s="1" customFormat="1" ht="12.6" customHeight="1" x14ac:dyDescent="0.2">
      <c r="A684" s="19"/>
      <c r="B684" s="679" t="s">
        <v>951</v>
      </c>
      <c r="C684" s="680"/>
      <c r="D684" s="680"/>
      <c r="E684" s="681"/>
      <c r="F684" s="379">
        <f>22.49*X2</f>
        <v>24379.16</v>
      </c>
      <c r="G684" s="287">
        <f t="shared" ref="G684" si="1963">+F684*$X$1</f>
        <v>24379.16</v>
      </c>
      <c r="H684" s="638">
        <f>F684+2500</f>
        <v>26879.16</v>
      </c>
      <c r="I684" s="287">
        <f t="shared" ref="I684" si="1964">+H684*$X$1</f>
        <v>26879.16</v>
      </c>
      <c r="J684" s="71">
        <f>F684+600</f>
        <v>24979.16</v>
      </c>
      <c r="K684" s="287">
        <f>+J684*$X$1</f>
        <v>24979.16</v>
      </c>
      <c r="L684" s="638">
        <f>F684+310</f>
        <v>24689.16</v>
      </c>
      <c r="M684" s="287">
        <f t="shared" ref="M684" si="1965">+L684*$X$1</f>
        <v>24689.16</v>
      </c>
      <c r="N684" s="638">
        <f>F684+250</f>
        <v>24629.16</v>
      </c>
      <c r="O684" s="287">
        <f t="shared" ref="O684" si="1966">+N684*$X$1</f>
        <v>24629.16</v>
      </c>
      <c r="P684" s="638">
        <f>F684+200</f>
        <v>24579.16</v>
      </c>
      <c r="Q684" s="287">
        <f t="shared" ref="Q684" si="1967">+P684*$X$1</f>
        <v>24579.16</v>
      </c>
      <c r="R684" s="638">
        <f>F684+170</f>
        <v>24549.16</v>
      </c>
      <c r="S684" s="287">
        <f t="shared" ref="S684" si="1968">+R684*$X$1</f>
        <v>24549.16</v>
      </c>
      <c r="T684" s="638">
        <f>F684+130</f>
        <v>24509.16</v>
      </c>
      <c r="U684" s="287">
        <f t="shared" ref="U684" si="1969">+T684*$X$1</f>
        <v>24509.16</v>
      </c>
      <c r="V684" s="638">
        <f>F684+110</f>
        <v>24489.16</v>
      </c>
      <c r="W684" s="287">
        <f t="shared" ref="W684" si="1970">+V684*$X$1</f>
        <v>24489.16</v>
      </c>
      <c r="X684" s="726"/>
      <c r="Y684" s="727"/>
      <c r="Z684" s="727"/>
      <c r="AA684" s="728"/>
      <c r="AB684" s="192">
        <v>10506</v>
      </c>
      <c r="AC684" s="4"/>
      <c r="AD684" s="4"/>
      <c r="AE684" s="4"/>
      <c r="AF684" s="4"/>
      <c r="AG684" s="4"/>
      <c r="AH684" s="128"/>
      <c r="AI684" s="4"/>
      <c r="AJ684" s="4"/>
      <c r="AK684" s="4"/>
      <c r="AL684" s="4"/>
    </row>
    <row r="685" spans="1:38" s="1" customFormat="1" ht="12.6" customHeight="1" x14ac:dyDescent="0.2">
      <c r="A685" s="19"/>
      <c r="B685" s="679" t="s">
        <v>925</v>
      </c>
      <c r="C685" s="680"/>
      <c r="D685" s="680"/>
      <c r="E685" s="681"/>
      <c r="F685" s="380">
        <f>29.6*X2</f>
        <v>32086.400000000001</v>
      </c>
      <c r="G685" s="288">
        <f t="shared" si="1940"/>
        <v>32086.400000000001</v>
      </c>
      <c r="H685" s="458">
        <f>F685+2500</f>
        <v>34586.400000000001</v>
      </c>
      <c r="I685" s="288">
        <f t="shared" ref="I685" si="1971">+H685*$X$1</f>
        <v>34586.400000000001</v>
      </c>
      <c r="J685" s="89">
        <f>F685+600</f>
        <v>32686.400000000001</v>
      </c>
      <c r="K685" s="288">
        <f>+J685*$X$1</f>
        <v>32686.400000000001</v>
      </c>
      <c r="L685" s="458">
        <f>F685+310</f>
        <v>32396.400000000001</v>
      </c>
      <c r="M685" s="288">
        <f t="shared" si="1957"/>
        <v>32396.400000000001</v>
      </c>
      <c r="N685" s="458">
        <f>F685+250</f>
        <v>32336.400000000001</v>
      </c>
      <c r="O685" s="288">
        <f t="shared" si="1958"/>
        <v>32336.400000000001</v>
      </c>
      <c r="P685" s="458">
        <f>F685+200</f>
        <v>32286.400000000001</v>
      </c>
      <c r="Q685" s="288">
        <f t="shared" si="1959"/>
        <v>32286.400000000001</v>
      </c>
      <c r="R685" s="458">
        <f>F685+170</f>
        <v>32256.400000000001</v>
      </c>
      <c r="S685" s="288">
        <f t="shared" si="1960"/>
        <v>32256.400000000001</v>
      </c>
      <c r="T685" s="458">
        <f>F685+130</f>
        <v>32216.400000000001</v>
      </c>
      <c r="U685" s="288">
        <f t="shared" si="1961"/>
        <v>32216.400000000001</v>
      </c>
      <c r="V685" s="458">
        <f>F685+110</f>
        <v>32196.400000000001</v>
      </c>
      <c r="W685" s="288">
        <f t="shared" si="1962"/>
        <v>32196.400000000001</v>
      </c>
      <c r="X685" s="726"/>
      <c r="Y685" s="727"/>
      <c r="Z685" s="727"/>
      <c r="AA685" s="728"/>
      <c r="AB685" s="192">
        <v>10507</v>
      </c>
      <c r="AC685" s="4"/>
      <c r="AD685" s="4"/>
      <c r="AE685" s="4"/>
      <c r="AF685" s="4"/>
      <c r="AG685" s="4"/>
      <c r="AH685" s="128"/>
      <c r="AI685" s="4"/>
      <c r="AJ685" s="4"/>
      <c r="AK685" s="4"/>
      <c r="AL685" s="4"/>
    </row>
    <row r="686" spans="1:38" ht="12.6" customHeight="1" x14ac:dyDescent="0.2">
      <c r="A686" s="10"/>
      <c r="B686" s="1194" t="s">
        <v>307</v>
      </c>
      <c r="C686" s="1194"/>
      <c r="D686" s="1194"/>
      <c r="E686" s="1194"/>
      <c r="F686" s="379">
        <f>35.1*X2</f>
        <v>38048.400000000001</v>
      </c>
      <c r="G686" s="287">
        <f t="shared" ref="G686" si="1972">+F686*$X$1</f>
        <v>38048.400000000001</v>
      </c>
      <c r="H686" s="101"/>
      <c r="I686" s="101"/>
      <c r="J686" s="71">
        <f>F686+600</f>
        <v>38648.400000000001</v>
      </c>
      <c r="K686" s="287">
        <f>+J686*$X$1</f>
        <v>38648.400000000001</v>
      </c>
      <c r="L686" s="638">
        <f>F686+300</f>
        <v>38348.400000000001</v>
      </c>
      <c r="M686" s="287">
        <f t="shared" ref="M686" si="1973">+L686*$X$1</f>
        <v>38348.400000000001</v>
      </c>
      <c r="N686" s="638">
        <f>F686+200</f>
        <v>38248.400000000001</v>
      </c>
      <c r="O686" s="287">
        <f t="shared" ref="O686" si="1974">+N686*$X$1</f>
        <v>38248.400000000001</v>
      </c>
      <c r="P686" s="638">
        <f>F686+150</f>
        <v>38198.400000000001</v>
      </c>
      <c r="Q686" s="287">
        <f t="shared" ref="Q686" si="1975">+P686*$X$1</f>
        <v>38198.400000000001</v>
      </c>
      <c r="R686" s="638">
        <f>F686+120</f>
        <v>38168.400000000001</v>
      </c>
      <c r="S686" s="287">
        <f t="shared" ref="S686" si="1976">+R686*$X$1</f>
        <v>38168.400000000001</v>
      </c>
      <c r="T686" s="638">
        <f>F686+90</f>
        <v>38138.400000000001</v>
      </c>
      <c r="U686" s="287">
        <f t="shared" ref="U686" si="1977">+T686*$X$1</f>
        <v>38138.400000000001</v>
      </c>
      <c r="V686" s="638"/>
      <c r="W686" s="287"/>
      <c r="X686" s="134"/>
      <c r="Y686" s="138"/>
      <c r="Z686" s="134"/>
      <c r="AA686" s="137"/>
      <c r="AB686" s="422" t="s">
        <v>434</v>
      </c>
    </row>
    <row r="687" spans="1:38" ht="12.6" customHeight="1" x14ac:dyDescent="0.2">
      <c r="A687" s="10"/>
      <c r="B687" s="1071" t="s">
        <v>433</v>
      </c>
      <c r="C687" s="1071"/>
      <c r="D687" s="1071"/>
      <c r="E687" s="1071"/>
      <c r="F687" s="288"/>
      <c r="G687" s="288"/>
      <c r="H687" s="105"/>
      <c r="I687" s="105"/>
      <c r="J687" s="458"/>
      <c r="K687" s="288"/>
      <c r="L687" s="458"/>
      <c r="M687" s="288"/>
      <c r="N687" s="458"/>
      <c r="O687" s="288"/>
      <c r="P687" s="458"/>
      <c r="Q687" s="288"/>
      <c r="R687" s="458"/>
      <c r="S687" s="288"/>
      <c r="T687" s="458"/>
      <c r="U687" s="288"/>
      <c r="V687" s="640"/>
      <c r="W687" s="625"/>
      <c r="X687" s="134"/>
      <c r="Y687" s="138"/>
      <c r="Z687" s="134"/>
      <c r="AA687" s="137"/>
      <c r="AB687" s="422" t="s">
        <v>308</v>
      </c>
    </row>
    <row r="688" spans="1:38" s="1" customFormat="1" ht="12.6" customHeight="1" x14ac:dyDescent="0.2">
      <c r="A688" s="19"/>
      <c r="B688" s="677" t="s">
        <v>856</v>
      </c>
      <c r="C688" s="678"/>
      <c r="D688" s="678"/>
      <c r="E688" s="678"/>
      <c r="F688" s="287">
        <v>20176</v>
      </c>
      <c r="G688" s="287">
        <f t="shared" ref="G688" si="1978">+F688*$X$1</f>
        <v>20176</v>
      </c>
      <c r="H688" s="638"/>
      <c r="I688" s="287"/>
      <c r="J688" s="71"/>
      <c r="K688" s="287"/>
      <c r="L688" s="638">
        <f>F688+300</f>
        <v>20476</v>
      </c>
      <c r="M688" s="287">
        <f t="shared" ref="M688:M689" si="1979">+L688*$X$1</f>
        <v>20476</v>
      </c>
      <c r="N688" s="638">
        <f>F688+230</f>
        <v>20406</v>
      </c>
      <c r="O688" s="287">
        <f t="shared" ref="O688:O689" si="1980">+N688*$X$1</f>
        <v>20406</v>
      </c>
      <c r="P688" s="638">
        <f>F688+170</f>
        <v>20346</v>
      </c>
      <c r="Q688" s="287">
        <f t="shared" ref="Q688:Q689" si="1981">+P688*$X$1</f>
        <v>20346</v>
      </c>
      <c r="R688" s="638">
        <f>F688+130</f>
        <v>20306</v>
      </c>
      <c r="S688" s="287">
        <f t="shared" ref="S688:S689" si="1982">+R688*$X$1</f>
        <v>20306</v>
      </c>
      <c r="T688" s="638">
        <f>F688+100</f>
        <v>20276</v>
      </c>
      <c r="U688" s="287">
        <f t="shared" ref="U688:U689" si="1983">+T688*$X$1</f>
        <v>20276</v>
      </c>
      <c r="V688" s="638">
        <f>F688+70</f>
        <v>20246</v>
      </c>
      <c r="W688" s="287">
        <f t="shared" ref="W688:W689" si="1984">+V688*$X$1</f>
        <v>20246</v>
      </c>
      <c r="X688" s="726"/>
      <c r="Y688" s="727"/>
      <c r="Z688" s="727"/>
      <c r="AA688" s="728"/>
      <c r="AB688" s="192" t="s">
        <v>854</v>
      </c>
      <c r="AC688" s="4"/>
      <c r="AD688" s="4"/>
      <c r="AE688" s="4"/>
      <c r="AF688" s="4"/>
      <c r="AG688" s="4"/>
      <c r="AH688" s="128"/>
      <c r="AI688" s="4"/>
      <c r="AJ688" s="4"/>
      <c r="AK688" s="4"/>
      <c r="AL688" s="4"/>
    </row>
    <row r="689" spans="1:38" s="1" customFormat="1" ht="12.6" customHeight="1" x14ac:dyDescent="0.2">
      <c r="A689" s="19"/>
      <c r="B689" s="692" t="s">
        <v>857</v>
      </c>
      <c r="C689" s="693"/>
      <c r="D689" s="693"/>
      <c r="E689" s="693"/>
      <c r="F689" s="288">
        <v>11058</v>
      </c>
      <c r="G689" s="288">
        <f t="shared" ref="G689" si="1985">+F689*$X$1</f>
        <v>11058</v>
      </c>
      <c r="H689" s="458"/>
      <c r="I689" s="288"/>
      <c r="J689" s="89"/>
      <c r="K689" s="288"/>
      <c r="L689" s="458">
        <f>F689+300</f>
        <v>11358</v>
      </c>
      <c r="M689" s="288">
        <f t="shared" si="1979"/>
        <v>11358</v>
      </c>
      <c r="N689" s="458">
        <f>F689+230</f>
        <v>11288</v>
      </c>
      <c r="O689" s="288">
        <f t="shared" si="1980"/>
        <v>11288</v>
      </c>
      <c r="P689" s="458">
        <f>F689+170</f>
        <v>11228</v>
      </c>
      <c r="Q689" s="288">
        <f t="shared" si="1981"/>
        <v>11228</v>
      </c>
      <c r="R689" s="458">
        <f>F689+130</f>
        <v>11188</v>
      </c>
      <c r="S689" s="288">
        <f t="shared" si="1982"/>
        <v>11188</v>
      </c>
      <c r="T689" s="458">
        <f>F689+100</f>
        <v>11158</v>
      </c>
      <c r="U689" s="288">
        <f t="shared" si="1983"/>
        <v>11158</v>
      </c>
      <c r="V689" s="458">
        <f>F689+70</f>
        <v>11128</v>
      </c>
      <c r="W689" s="288">
        <f t="shared" si="1984"/>
        <v>11128</v>
      </c>
      <c r="X689" s="726"/>
      <c r="Y689" s="727"/>
      <c r="Z689" s="727"/>
      <c r="AA689" s="728"/>
      <c r="AB689" s="192" t="s">
        <v>855</v>
      </c>
      <c r="AC689" s="4"/>
      <c r="AD689" s="4"/>
      <c r="AE689" s="4"/>
      <c r="AF689" s="4"/>
      <c r="AG689" s="4"/>
      <c r="AH689" s="128"/>
      <c r="AI689" s="4"/>
      <c r="AJ689" s="4"/>
      <c r="AK689" s="4"/>
      <c r="AL689" s="4"/>
    </row>
    <row r="690" spans="1:38" ht="12.6" customHeight="1" x14ac:dyDescent="0.2">
      <c r="A690" s="203"/>
      <c r="B690" s="736" t="s">
        <v>532</v>
      </c>
      <c r="C690" s="678"/>
      <c r="D690" s="678"/>
      <c r="E690" s="678"/>
      <c r="F690" s="287">
        <v>18624</v>
      </c>
      <c r="G690" s="287">
        <f t="shared" ref="G690" si="1986">+F690*$X$1</f>
        <v>18624</v>
      </c>
      <c r="H690" s="281"/>
      <c r="I690" s="281"/>
      <c r="J690" s="638">
        <f t="shared" ref="J690:J698" si="1987">F690+500</f>
        <v>19124</v>
      </c>
      <c r="K690" s="287">
        <f t="shared" ref="K690:K692" si="1988">+J690*$X$1</f>
        <v>19124</v>
      </c>
      <c r="L690" s="638">
        <f>F690+410</f>
        <v>19034</v>
      </c>
      <c r="M690" s="287">
        <f>+L690*$X$1</f>
        <v>19034</v>
      </c>
      <c r="N690" s="638">
        <f>F690+370</f>
        <v>18994</v>
      </c>
      <c r="O690" s="287">
        <f>+N690*$X$1</f>
        <v>18994</v>
      </c>
      <c r="P690" s="638">
        <f>F690+330</f>
        <v>18954</v>
      </c>
      <c r="Q690" s="287">
        <f>+P690*$X$1</f>
        <v>18954</v>
      </c>
      <c r="R690" s="638">
        <f>F690+290</f>
        <v>18914</v>
      </c>
      <c r="S690" s="287">
        <f>+R690*$X$1</f>
        <v>18914</v>
      </c>
      <c r="T690" s="638">
        <f>F690+240</f>
        <v>18864</v>
      </c>
      <c r="U690" s="287">
        <f t="shared" ref="U690:U693" si="1989">+T690*$X$1</f>
        <v>18864</v>
      </c>
      <c r="V690" s="639"/>
      <c r="W690" s="287"/>
      <c r="X690" s="308"/>
      <c r="Y690" s="308"/>
      <c r="Z690" s="308"/>
      <c r="AA690" s="308"/>
      <c r="AB690" s="422" t="s">
        <v>661</v>
      </c>
    </row>
    <row r="691" spans="1:38" ht="12.6" customHeight="1" x14ac:dyDescent="0.2">
      <c r="A691" s="203"/>
      <c r="B691" s="742" t="s">
        <v>414</v>
      </c>
      <c r="C691" s="743"/>
      <c r="D691" s="743"/>
      <c r="E691" s="743"/>
      <c r="F691" s="288">
        <v>20890</v>
      </c>
      <c r="G691" s="288">
        <f t="shared" ref="G691:G696" si="1990">+F691*$X$1</f>
        <v>20890</v>
      </c>
      <c r="H691" s="280"/>
      <c r="I691" s="280"/>
      <c r="J691" s="458"/>
      <c r="K691" s="288"/>
      <c r="L691" s="458">
        <f>F691+300</f>
        <v>21190</v>
      </c>
      <c r="M691" s="288">
        <f t="shared" ref="M691:M693" si="1991">+L691*$X$1</f>
        <v>21190</v>
      </c>
      <c r="N691" s="458">
        <f>F691+230</f>
        <v>21120</v>
      </c>
      <c r="O691" s="288">
        <f t="shared" ref="O691:O693" si="1992">+N691*$X$1</f>
        <v>21120</v>
      </c>
      <c r="P691" s="458">
        <f>F691+170</f>
        <v>21060</v>
      </c>
      <c r="Q691" s="288">
        <f t="shared" ref="Q691:Q693" si="1993">+P691*$X$1</f>
        <v>21060</v>
      </c>
      <c r="R691" s="458">
        <f>F691+130</f>
        <v>21020</v>
      </c>
      <c r="S691" s="288">
        <f t="shared" ref="S691:S693" si="1994">+R691*$X$1</f>
        <v>21020</v>
      </c>
      <c r="T691" s="458">
        <f>F691+100</f>
        <v>20990</v>
      </c>
      <c r="U691" s="288">
        <f t="shared" si="1989"/>
        <v>20990</v>
      </c>
      <c r="V691" s="458">
        <f>F691+70</f>
        <v>20960</v>
      </c>
      <c r="W691" s="288">
        <f t="shared" ref="W691:W693" si="1995">+V691*$X$1</f>
        <v>20960</v>
      </c>
      <c r="X691" s="151"/>
      <c r="Y691" s="151"/>
      <c r="Z691" s="151"/>
      <c r="AA691" s="151"/>
      <c r="AB691" s="422" t="s">
        <v>417</v>
      </c>
    </row>
    <row r="692" spans="1:38" ht="12.6" customHeight="1" x14ac:dyDescent="0.2">
      <c r="A692" s="203"/>
      <c r="B692" s="866" t="s">
        <v>531</v>
      </c>
      <c r="C692" s="807"/>
      <c r="D692" s="807"/>
      <c r="E692" s="807"/>
      <c r="F692" s="287">
        <v>21780</v>
      </c>
      <c r="G692" s="287">
        <f t="shared" ref="G692:G693" si="1996">+F692*$X$1</f>
        <v>21780</v>
      </c>
      <c r="H692" s="638">
        <f>F692+2500</f>
        <v>24280</v>
      </c>
      <c r="I692" s="287">
        <f t="shared" ref="I692" si="1997">+H692*$X$1</f>
        <v>24280</v>
      </c>
      <c r="J692" s="638">
        <f>F692+600</f>
        <v>22380</v>
      </c>
      <c r="K692" s="287">
        <f t="shared" si="1988"/>
        <v>22380</v>
      </c>
      <c r="L692" s="638">
        <f>F692+300</f>
        <v>22080</v>
      </c>
      <c r="M692" s="287">
        <f t="shared" si="1991"/>
        <v>22080</v>
      </c>
      <c r="N692" s="638">
        <f>F692+230</f>
        <v>22010</v>
      </c>
      <c r="O692" s="287">
        <f t="shared" si="1992"/>
        <v>22010</v>
      </c>
      <c r="P692" s="638">
        <f>F692+170</f>
        <v>21950</v>
      </c>
      <c r="Q692" s="287">
        <f t="shared" si="1993"/>
        <v>21950</v>
      </c>
      <c r="R692" s="638">
        <f>F692+130</f>
        <v>21910</v>
      </c>
      <c r="S692" s="287">
        <f t="shared" si="1994"/>
        <v>21910</v>
      </c>
      <c r="T692" s="638">
        <f>F692+100</f>
        <v>21880</v>
      </c>
      <c r="U692" s="287">
        <f t="shared" si="1989"/>
        <v>21880</v>
      </c>
      <c r="V692" s="638">
        <f>F692+70</f>
        <v>21850</v>
      </c>
      <c r="W692" s="287">
        <f t="shared" si="1995"/>
        <v>21850</v>
      </c>
      <c r="X692" s="308"/>
      <c r="Y692" s="308"/>
      <c r="Z692" s="308"/>
      <c r="AA692" s="308"/>
      <c r="AB692" s="422" t="s">
        <v>533</v>
      </c>
    </row>
    <row r="693" spans="1:38" ht="12.6" customHeight="1" x14ac:dyDescent="0.2">
      <c r="A693" s="203"/>
      <c r="B693" s="742" t="s">
        <v>757</v>
      </c>
      <c r="C693" s="743"/>
      <c r="D693" s="743"/>
      <c r="E693" s="743"/>
      <c r="F693" s="288">
        <v>21603</v>
      </c>
      <c r="G693" s="288">
        <f t="shared" si="1996"/>
        <v>21603</v>
      </c>
      <c r="H693" s="458">
        <f>F693+2500</f>
        <v>24103</v>
      </c>
      <c r="I693" s="288">
        <f t="shared" ref="I693" si="1998">+H693*$X$1</f>
        <v>24103</v>
      </c>
      <c r="J693" s="458">
        <f>F693+600</f>
        <v>22203</v>
      </c>
      <c r="K693" s="288">
        <f t="shared" ref="K693" si="1999">+J693*$X$1</f>
        <v>22203</v>
      </c>
      <c r="L693" s="458">
        <f>F693+300</f>
        <v>21903</v>
      </c>
      <c r="M693" s="288">
        <f t="shared" si="1991"/>
        <v>21903</v>
      </c>
      <c r="N693" s="458">
        <f>F693+230</f>
        <v>21833</v>
      </c>
      <c r="O693" s="288">
        <f t="shared" si="1992"/>
        <v>21833</v>
      </c>
      <c r="P693" s="458">
        <f>F693+170</f>
        <v>21773</v>
      </c>
      <c r="Q693" s="288">
        <f t="shared" si="1993"/>
        <v>21773</v>
      </c>
      <c r="R693" s="458">
        <f>F693+130</f>
        <v>21733</v>
      </c>
      <c r="S693" s="288">
        <f t="shared" si="1994"/>
        <v>21733</v>
      </c>
      <c r="T693" s="458">
        <f>F693+100</f>
        <v>21703</v>
      </c>
      <c r="U693" s="288">
        <f t="shared" si="1989"/>
        <v>21703</v>
      </c>
      <c r="V693" s="458">
        <f>F693+70</f>
        <v>21673</v>
      </c>
      <c r="W693" s="288">
        <f t="shared" si="1995"/>
        <v>21673</v>
      </c>
      <c r="X693" s="456"/>
      <c r="Y693" s="456"/>
      <c r="Z693" s="456"/>
      <c r="AA693" s="456"/>
      <c r="AB693" s="422" t="s">
        <v>758</v>
      </c>
    </row>
    <row r="694" spans="1:38" ht="12.6" customHeight="1" x14ac:dyDescent="0.2">
      <c r="A694" s="203"/>
      <c r="B694" s="866" t="s">
        <v>413</v>
      </c>
      <c r="C694" s="807"/>
      <c r="D694" s="807"/>
      <c r="E694" s="807"/>
      <c r="F694" s="287">
        <v>23148</v>
      </c>
      <c r="G694" s="287">
        <f t="shared" si="1990"/>
        <v>23148</v>
      </c>
      <c r="H694" s="281"/>
      <c r="I694" s="281"/>
      <c r="J694" s="638">
        <f t="shared" si="1987"/>
        <v>23648</v>
      </c>
      <c r="K694" s="287">
        <f t="shared" ref="K694:K698" si="2000">+J694*$X$1</f>
        <v>23648</v>
      </c>
      <c r="L694" s="103">
        <f>F694+410</f>
        <v>23558</v>
      </c>
      <c r="M694" s="306">
        <f>+L694*$X$1</f>
        <v>23558</v>
      </c>
      <c r="N694" s="103">
        <f>F694+370</f>
        <v>23518</v>
      </c>
      <c r="O694" s="306">
        <f>+N694*$X$1</f>
        <v>23518</v>
      </c>
      <c r="P694" s="103">
        <f>F694+330</f>
        <v>23478</v>
      </c>
      <c r="Q694" s="306">
        <f>+P694*$X$1</f>
        <v>23478</v>
      </c>
      <c r="R694" s="103">
        <f>F694+290</f>
        <v>23438</v>
      </c>
      <c r="S694" s="306">
        <f>+R694*$X$1</f>
        <v>23438</v>
      </c>
      <c r="T694" s="638">
        <f>F694+240</f>
        <v>23388</v>
      </c>
      <c r="U694" s="287">
        <f t="shared" ref="U694:U698" si="2001">+T694*$X$1</f>
        <v>23388</v>
      </c>
      <c r="V694" s="309"/>
      <c r="W694" s="287"/>
      <c r="X694" s="151"/>
      <c r="Y694" s="151"/>
      <c r="Z694" s="151"/>
      <c r="AA694" s="151"/>
      <c r="AB694" s="422" t="s">
        <v>416</v>
      </c>
    </row>
    <row r="695" spans="1:38" ht="12.6" customHeight="1" x14ac:dyDescent="0.2">
      <c r="A695" s="203"/>
      <c r="B695" s="742" t="s">
        <v>534</v>
      </c>
      <c r="C695" s="743"/>
      <c r="D695" s="743"/>
      <c r="E695" s="743"/>
      <c r="F695" s="380">
        <f>15.3*X2</f>
        <v>16585.2</v>
      </c>
      <c r="G695" s="288">
        <f t="shared" ref="G695" si="2002">+F695*$X$1</f>
        <v>16585.2</v>
      </c>
      <c r="H695" s="280"/>
      <c r="I695" s="280"/>
      <c r="J695" s="458">
        <f t="shared" si="1987"/>
        <v>17085.2</v>
      </c>
      <c r="K695" s="288">
        <f t="shared" si="2000"/>
        <v>17085.2</v>
      </c>
      <c r="L695" s="102">
        <f>F695+410</f>
        <v>16995.2</v>
      </c>
      <c r="M695" s="319">
        <f>+L695*$X$1</f>
        <v>16995.2</v>
      </c>
      <c r="N695" s="102">
        <f>F695+370</f>
        <v>16955.2</v>
      </c>
      <c r="O695" s="319">
        <f>+N695*$X$1</f>
        <v>16955.2</v>
      </c>
      <c r="P695" s="102">
        <f>F695+330</f>
        <v>16915.2</v>
      </c>
      <c r="Q695" s="319">
        <f>+P695*$X$1</f>
        <v>16915.2</v>
      </c>
      <c r="R695" s="102">
        <f>F695+290</f>
        <v>16875.2</v>
      </c>
      <c r="S695" s="319">
        <f>+R695*$X$1</f>
        <v>16875.2</v>
      </c>
      <c r="T695" s="458">
        <f>F695+240</f>
        <v>16825.2</v>
      </c>
      <c r="U695" s="288">
        <f t="shared" si="2001"/>
        <v>16825.2</v>
      </c>
      <c r="V695" s="498"/>
      <c r="W695" s="288"/>
      <c r="X695" s="310"/>
      <c r="Y695" s="310"/>
      <c r="Z695" s="310"/>
      <c r="AA695" s="310"/>
      <c r="AB695" s="422" t="s">
        <v>662</v>
      </c>
    </row>
    <row r="696" spans="1:38" ht="12.6" customHeight="1" x14ac:dyDescent="0.2">
      <c r="A696" s="203"/>
      <c r="B696" s="862" t="s">
        <v>464</v>
      </c>
      <c r="C696" s="853"/>
      <c r="D696" s="853"/>
      <c r="E696" s="853"/>
      <c r="F696" s="549">
        <f>8.8*X2</f>
        <v>9539.2000000000007</v>
      </c>
      <c r="G696" s="544">
        <f t="shared" si="1990"/>
        <v>9539.2000000000007</v>
      </c>
      <c r="H696" s="545"/>
      <c r="I696" s="545"/>
      <c r="J696" s="663">
        <f t="shared" si="1987"/>
        <v>10039.200000000001</v>
      </c>
      <c r="K696" s="544">
        <f t="shared" si="2000"/>
        <v>10039.200000000001</v>
      </c>
      <c r="L696" s="556">
        <f>F696+410</f>
        <v>9949.2000000000007</v>
      </c>
      <c r="M696" s="543">
        <f>+L696*$X$1</f>
        <v>9949.2000000000007</v>
      </c>
      <c r="N696" s="556">
        <f>F696+370</f>
        <v>9909.2000000000007</v>
      </c>
      <c r="O696" s="543">
        <f>+N696*$X$1</f>
        <v>9909.2000000000007</v>
      </c>
      <c r="P696" s="556">
        <f>F696+330</f>
        <v>9869.2000000000007</v>
      </c>
      <c r="Q696" s="543">
        <f>+P696*$X$1</f>
        <v>9869.2000000000007</v>
      </c>
      <c r="R696" s="556">
        <f>F696+290</f>
        <v>9829.2000000000007</v>
      </c>
      <c r="S696" s="543">
        <f>+R696*$X$1</f>
        <v>9829.2000000000007</v>
      </c>
      <c r="T696" s="663">
        <f>F696+240</f>
        <v>9779.2000000000007</v>
      </c>
      <c r="U696" s="544">
        <f t="shared" si="2001"/>
        <v>9779.2000000000007</v>
      </c>
      <c r="V696" s="663"/>
      <c r="W696" s="544"/>
      <c r="X696" s="151"/>
      <c r="Y696" s="151"/>
      <c r="Z696" s="151"/>
      <c r="AA696" s="151"/>
      <c r="AB696" s="422" t="s">
        <v>644</v>
      </c>
    </row>
    <row r="697" spans="1:38" ht="12.6" customHeight="1" x14ac:dyDescent="0.2">
      <c r="A697" s="203"/>
      <c r="B697" s="742" t="s">
        <v>665</v>
      </c>
      <c r="C697" s="743"/>
      <c r="D697" s="743"/>
      <c r="E697" s="743"/>
      <c r="F697" s="380">
        <f>16.8*X2</f>
        <v>18211.2</v>
      </c>
      <c r="G697" s="288">
        <f t="shared" ref="G697" si="2003">+F697*$X$1</f>
        <v>18211.2</v>
      </c>
      <c r="H697" s="280"/>
      <c r="I697" s="280"/>
      <c r="J697" s="458">
        <f t="shared" si="1987"/>
        <v>18711.2</v>
      </c>
      <c r="K697" s="288">
        <f t="shared" si="2000"/>
        <v>18711.2</v>
      </c>
      <c r="L697" s="102">
        <f>F697+410</f>
        <v>18621.2</v>
      </c>
      <c r="M697" s="319">
        <f>+L697*$X$1</f>
        <v>18621.2</v>
      </c>
      <c r="N697" s="102">
        <f>F697+370</f>
        <v>18581.2</v>
      </c>
      <c r="O697" s="319">
        <f>+N697*$X$1</f>
        <v>18581.2</v>
      </c>
      <c r="P697" s="102">
        <f>F697+330</f>
        <v>18541.2</v>
      </c>
      <c r="Q697" s="319">
        <f>+P697*$X$1</f>
        <v>18541.2</v>
      </c>
      <c r="R697" s="102">
        <f>F697+290</f>
        <v>18501.2</v>
      </c>
      <c r="S697" s="319">
        <f>+R697*$X$1</f>
        <v>18501.2</v>
      </c>
      <c r="T697" s="458">
        <f>F697+240</f>
        <v>18451.2</v>
      </c>
      <c r="U697" s="288">
        <f t="shared" si="2001"/>
        <v>18451.2</v>
      </c>
      <c r="V697" s="458"/>
      <c r="W697" s="288"/>
      <c r="X697" s="393"/>
      <c r="Y697" s="393"/>
      <c r="Z697" s="393"/>
      <c r="AA697" s="393"/>
      <c r="AB697" s="422" t="s">
        <v>645</v>
      </c>
    </row>
    <row r="698" spans="1:38" ht="12.6" customHeight="1" x14ac:dyDescent="0.2">
      <c r="A698" s="203"/>
      <c r="B698" s="862" t="s">
        <v>463</v>
      </c>
      <c r="C698" s="853"/>
      <c r="D698" s="853"/>
      <c r="E698" s="853"/>
      <c r="F698" s="549">
        <f>11.45*X2</f>
        <v>12411.8</v>
      </c>
      <c r="G698" s="544">
        <f t="shared" ref="G698" si="2004">+F698*$X$1</f>
        <v>12411.8</v>
      </c>
      <c r="H698" s="553"/>
      <c r="I698" s="553"/>
      <c r="J698" s="663">
        <f t="shared" si="1987"/>
        <v>12911.8</v>
      </c>
      <c r="K698" s="544">
        <f t="shared" si="2000"/>
        <v>12911.8</v>
      </c>
      <c r="L698" s="556">
        <f>F698+410</f>
        <v>12821.8</v>
      </c>
      <c r="M698" s="543">
        <f>+L698*$X$1</f>
        <v>12821.8</v>
      </c>
      <c r="N698" s="556">
        <f>F698+370</f>
        <v>12781.8</v>
      </c>
      <c r="O698" s="543">
        <f>+N698*$X$1</f>
        <v>12781.8</v>
      </c>
      <c r="P698" s="556">
        <f>F698+330</f>
        <v>12741.8</v>
      </c>
      <c r="Q698" s="543">
        <f>+P698*$X$1</f>
        <v>12741.8</v>
      </c>
      <c r="R698" s="556">
        <f>F698+290</f>
        <v>12701.8</v>
      </c>
      <c r="S698" s="543">
        <f>+R698*$X$1</f>
        <v>12701.8</v>
      </c>
      <c r="T698" s="663">
        <f>F698+240</f>
        <v>12651.8</v>
      </c>
      <c r="U698" s="544">
        <f t="shared" si="2001"/>
        <v>12651.8</v>
      </c>
      <c r="V698" s="663"/>
      <c r="W698" s="544"/>
      <c r="X698" s="151"/>
      <c r="Y698" s="151"/>
      <c r="Z698" s="151"/>
      <c r="AA698" s="151"/>
      <c r="AB698" s="422" t="s">
        <v>646</v>
      </c>
    </row>
    <row r="699" spans="1:38" ht="9.75" customHeight="1" x14ac:dyDescent="0.2">
      <c r="A699" s="203"/>
      <c r="B699" s="108"/>
      <c r="C699" s="511"/>
      <c r="D699" s="511"/>
      <c r="E699" s="511"/>
      <c r="F699" s="427"/>
      <c r="G699" s="334"/>
      <c r="H699" s="117"/>
      <c r="I699" s="334"/>
      <c r="J699" s="117"/>
      <c r="K699" s="334"/>
      <c r="L699" s="117"/>
      <c r="M699" s="334"/>
      <c r="N699" s="117"/>
      <c r="O699" s="334"/>
      <c r="P699" s="117"/>
      <c r="Q699" s="334"/>
      <c r="R699" s="117"/>
      <c r="S699" s="334"/>
      <c r="T699" s="117"/>
      <c r="U699" s="334"/>
      <c r="V699" s="75"/>
      <c r="W699" s="467"/>
      <c r="X699" s="510"/>
      <c r="Y699" s="510"/>
      <c r="Z699" s="510"/>
      <c r="AA699" s="510"/>
      <c r="AB699" s="428"/>
    </row>
    <row r="700" spans="1:38" ht="19.5" customHeight="1" x14ac:dyDescent="0.2">
      <c r="A700" s="28"/>
      <c r="B700" s="1127" t="s">
        <v>309</v>
      </c>
      <c r="C700" s="1128"/>
      <c r="D700" s="1128"/>
      <c r="E700" s="1128"/>
      <c r="F700" s="1128"/>
      <c r="G700" s="1128"/>
      <c r="H700" s="1128"/>
      <c r="I700" s="1128"/>
      <c r="J700" s="1128"/>
      <c r="K700" s="1128"/>
      <c r="L700" s="1128"/>
      <c r="M700" s="1128"/>
      <c r="N700" s="1128"/>
      <c r="O700" s="1128"/>
      <c r="P700" s="1128"/>
      <c r="Q700" s="1128"/>
      <c r="R700" s="1128"/>
      <c r="S700" s="1128"/>
      <c r="T700" s="1128"/>
      <c r="U700" s="1128"/>
      <c r="V700" s="1128"/>
      <c r="W700" s="1129"/>
      <c r="AF700" s="703"/>
      <c r="AG700" s="704"/>
      <c r="AH700" s="704"/>
    </row>
    <row r="701" spans="1:38" ht="12.6" customHeight="1" x14ac:dyDescent="0.2">
      <c r="A701" s="18"/>
      <c r="B701" s="987"/>
      <c r="C701" s="988"/>
      <c r="D701" s="988"/>
      <c r="E701" s="988"/>
      <c r="F701" s="988"/>
      <c r="G701" s="989"/>
      <c r="H701" s="487"/>
      <c r="I701" s="488" t="s">
        <v>289</v>
      </c>
      <c r="J701" s="488"/>
      <c r="K701" s="488" t="s">
        <v>17</v>
      </c>
      <c r="L701" s="488"/>
      <c r="M701" s="488" t="s">
        <v>18</v>
      </c>
      <c r="N701" s="488"/>
      <c r="O701" s="488" t="s">
        <v>19</v>
      </c>
      <c r="P701" s="488"/>
      <c r="Q701" s="488" t="s">
        <v>291</v>
      </c>
      <c r="R701" s="488"/>
      <c r="S701" s="488" t="s">
        <v>20</v>
      </c>
      <c r="T701" s="488"/>
      <c r="U701" s="488" t="s">
        <v>21</v>
      </c>
      <c r="V701" s="488"/>
      <c r="W701" s="488" t="s">
        <v>22</v>
      </c>
    </row>
    <row r="702" spans="1:38" ht="12.6" customHeight="1" x14ac:dyDescent="0.2">
      <c r="A702" s="980"/>
      <c r="B702" s="990" t="s">
        <v>505</v>
      </c>
      <c r="C702" s="991"/>
      <c r="D702" s="991"/>
      <c r="E702" s="991"/>
      <c r="F702" s="991"/>
      <c r="G702" s="992"/>
      <c r="H702" s="293"/>
      <c r="I702" s="394"/>
      <c r="J702" s="395"/>
      <c r="K702" s="365"/>
      <c r="L702" s="292">
        <v>100</v>
      </c>
      <c r="M702" s="365">
        <f>+L702*$X$1</f>
        <v>100</v>
      </c>
      <c r="N702" s="458">
        <v>60</v>
      </c>
      <c r="O702" s="365">
        <f>+N702*$X$1</f>
        <v>60</v>
      </c>
      <c r="P702" s="458">
        <v>45</v>
      </c>
      <c r="Q702" s="365">
        <f>+P702*$X$1</f>
        <v>45</v>
      </c>
      <c r="R702" s="458">
        <v>40</v>
      </c>
      <c r="S702" s="365">
        <f>+R702*$X$1</f>
        <v>40</v>
      </c>
      <c r="T702" s="458">
        <v>36</v>
      </c>
      <c r="U702" s="366">
        <f>+T702*$X$1</f>
        <v>36</v>
      </c>
      <c r="V702" s="458">
        <v>31</v>
      </c>
      <c r="W702" s="365">
        <f>+V702*$X$1</f>
        <v>31</v>
      </c>
    </row>
    <row r="703" spans="1:38" ht="12.6" customHeight="1" x14ac:dyDescent="0.2">
      <c r="A703" s="980"/>
      <c r="B703" s="1124" t="s">
        <v>310</v>
      </c>
      <c r="C703" s="1125"/>
      <c r="D703" s="1125"/>
      <c r="E703" s="1125"/>
      <c r="F703" s="1125"/>
      <c r="G703" s="1126"/>
      <c r="H703" s="75"/>
      <c r="I703" s="396"/>
      <c r="J703" s="397">
        <v>200</v>
      </c>
      <c r="K703" s="367">
        <f>+J703*$X$1</f>
        <v>200</v>
      </c>
      <c r="L703" s="398">
        <v>160</v>
      </c>
      <c r="M703" s="399">
        <f>+L703*$X$1</f>
        <v>160</v>
      </c>
      <c r="N703" s="112">
        <v>130</v>
      </c>
      <c r="O703" s="399">
        <f>+N703*$X$1</f>
        <v>130</v>
      </c>
      <c r="P703" s="112">
        <v>110</v>
      </c>
      <c r="Q703" s="399">
        <f>+P703*$X$1</f>
        <v>110</v>
      </c>
      <c r="R703" s="112">
        <v>90</v>
      </c>
      <c r="S703" s="399">
        <f>+R703*$X$1</f>
        <v>90</v>
      </c>
      <c r="T703" s="112">
        <v>70</v>
      </c>
      <c r="U703" s="399">
        <f>+T703*$X$1</f>
        <v>70</v>
      </c>
      <c r="V703" s="112">
        <v>55</v>
      </c>
      <c r="W703" s="399">
        <f>+V703*$X$1</f>
        <v>55</v>
      </c>
    </row>
    <row r="704" spans="1:38" ht="12.6" customHeight="1" x14ac:dyDescent="0.2">
      <c r="A704" s="980"/>
      <c r="B704" s="990" t="s">
        <v>506</v>
      </c>
      <c r="C704" s="991"/>
      <c r="D704" s="991"/>
      <c r="E704" s="991"/>
      <c r="F704" s="991"/>
      <c r="G704" s="992"/>
      <c r="H704" s="292"/>
      <c r="I704" s="365"/>
      <c r="J704" s="292"/>
      <c r="K704" s="365"/>
      <c r="L704" s="292">
        <v>100</v>
      </c>
      <c r="M704" s="365">
        <f>+L704*$X$1</f>
        <v>100</v>
      </c>
      <c r="N704" s="458">
        <v>80</v>
      </c>
      <c r="O704" s="365">
        <f>+N704*$X$1</f>
        <v>80</v>
      </c>
      <c r="P704" s="458">
        <v>75</v>
      </c>
      <c r="Q704" s="365">
        <f>+P704*$X$1</f>
        <v>75</v>
      </c>
      <c r="R704" s="458">
        <v>65</v>
      </c>
      <c r="S704" s="365">
        <f>+R704*$X$1</f>
        <v>65</v>
      </c>
      <c r="T704" s="458">
        <v>55</v>
      </c>
      <c r="U704" s="366">
        <f>+T704*$X$1</f>
        <v>55</v>
      </c>
      <c r="V704" s="458">
        <v>50</v>
      </c>
      <c r="W704" s="365">
        <f>+V704*$X$1</f>
        <v>50</v>
      </c>
    </row>
    <row r="705" spans="1:35" ht="12.6" customHeight="1" x14ac:dyDescent="0.2">
      <c r="A705" s="980"/>
      <c r="B705" s="1178" t="s">
        <v>504</v>
      </c>
      <c r="C705" s="1179"/>
      <c r="D705" s="1179"/>
      <c r="E705" s="1179"/>
      <c r="F705" s="1179"/>
      <c r="G705" s="1180"/>
      <c r="H705" s="400">
        <v>330</v>
      </c>
      <c r="I705" s="367">
        <f>+H705*$X$1</f>
        <v>330</v>
      </c>
      <c r="J705" s="400">
        <v>240</v>
      </c>
      <c r="K705" s="367">
        <f>+J705*$X$1</f>
        <v>240</v>
      </c>
      <c r="L705" s="400">
        <v>190</v>
      </c>
      <c r="M705" s="367">
        <f>+L705*$X$1</f>
        <v>190</v>
      </c>
      <c r="N705" s="470">
        <v>170</v>
      </c>
      <c r="O705" s="367">
        <f>+N705*$X$1</f>
        <v>170</v>
      </c>
      <c r="P705" s="470">
        <v>150</v>
      </c>
      <c r="Q705" s="367">
        <f>+P705*$X$1</f>
        <v>150</v>
      </c>
      <c r="R705" s="470">
        <v>130</v>
      </c>
      <c r="S705" s="367">
        <f>+R705*$X$1</f>
        <v>130</v>
      </c>
      <c r="T705" s="470">
        <v>110</v>
      </c>
      <c r="U705" s="399">
        <f>+T705*$X$1</f>
        <v>110</v>
      </c>
      <c r="V705" s="470">
        <v>95</v>
      </c>
      <c r="W705" s="367">
        <f>+V705*$X$1</f>
        <v>95</v>
      </c>
    </row>
    <row r="706" spans="1:35" ht="12.75" customHeight="1" x14ac:dyDescent="0.2">
      <c r="A706" s="980"/>
      <c r="B706" s="1154" t="s">
        <v>846</v>
      </c>
      <c r="C706" s="1155"/>
      <c r="D706" s="1155"/>
      <c r="E706" s="1155"/>
      <c r="F706" s="1155"/>
      <c r="G706" s="1155"/>
      <c r="H706" s="1155"/>
      <c r="I706" s="1155"/>
      <c r="J706" s="1155"/>
      <c r="K706" s="1155"/>
      <c r="L706" s="1155"/>
      <c r="M706" s="1155"/>
      <c r="N706" s="1155"/>
      <c r="O706" s="1155"/>
      <c r="P706" s="1155"/>
      <c r="Q706" s="1155"/>
      <c r="R706" s="1155"/>
      <c r="S706" s="1155"/>
      <c r="T706" s="1155"/>
      <c r="U706" s="1155"/>
      <c r="V706" s="1155"/>
      <c r="W706" s="1156"/>
    </row>
    <row r="707" spans="1:35" ht="13.5" customHeight="1" x14ac:dyDescent="0.2">
      <c r="A707" s="980"/>
      <c r="B707" s="1181" t="s">
        <v>573</v>
      </c>
      <c r="C707" s="1160"/>
      <c r="D707" s="1160"/>
      <c r="E707" s="1160"/>
      <c r="F707" s="1160"/>
      <c r="G707" s="1182"/>
      <c r="H707" s="1065"/>
      <c r="I707" s="1117" t="s">
        <v>289</v>
      </c>
      <c r="J707" s="1065"/>
      <c r="K707" s="1117" t="s">
        <v>17</v>
      </c>
      <c r="L707" s="1117"/>
      <c r="M707" s="1117" t="s">
        <v>18</v>
      </c>
      <c r="N707" s="1117"/>
      <c r="O707" s="1117" t="s">
        <v>19</v>
      </c>
      <c r="P707" s="1117"/>
      <c r="Q707" s="1117" t="s">
        <v>291</v>
      </c>
      <c r="R707" s="1117"/>
      <c r="S707" s="1117" t="s">
        <v>20</v>
      </c>
      <c r="T707" s="1117"/>
      <c r="U707" s="1117" t="s">
        <v>21</v>
      </c>
      <c r="V707" s="1117"/>
      <c r="W707" s="1117" t="s">
        <v>22</v>
      </c>
    </row>
    <row r="708" spans="1:35" ht="11.25" customHeight="1" x14ac:dyDescent="0.2">
      <c r="A708" s="980"/>
      <c r="B708" s="893"/>
      <c r="C708" s="894"/>
      <c r="D708" s="894"/>
      <c r="E708" s="894"/>
      <c r="F708" s="894"/>
      <c r="G708" s="895"/>
      <c r="H708" s="1066"/>
      <c r="I708" s="1177"/>
      <c r="J708" s="1066"/>
      <c r="K708" s="1177"/>
      <c r="L708" s="1118"/>
      <c r="M708" s="1118"/>
      <c r="N708" s="1118"/>
      <c r="O708" s="1118"/>
      <c r="P708" s="1118"/>
      <c r="Q708" s="1118"/>
      <c r="R708" s="1118"/>
      <c r="S708" s="1118"/>
      <c r="T708" s="1118"/>
      <c r="U708" s="1118"/>
      <c r="V708" s="1118"/>
      <c r="W708" s="1118"/>
      <c r="AB708" s="59"/>
      <c r="AC708" s="59"/>
      <c r="AD708" s="59"/>
      <c r="AE708" s="59"/>
      <c r="AF708" s="59"/>
      <c r="AG708" s="59"/>
      <c r="AH708" s="59"/>
      <c r="AI708" s="59"/>
    </row>
    <row r="709" spans="1:35" ht="12.6" customHeight="1" x14ac:dyDescent="0.2">
      <c r="A709" s="980"/>
      <c r="B709" s="984" t="s">
        <v>571</v>
      </c>
      <c r="C709" s="985"/>
      <c r="D709" s="985"/>
      <c r="E709" s="985"/>
      <c r="F709" s="985"/>
      <c r="G709" s="986"/>
      <c r="H709" s="294">
        <v>510</v>
      </c>
      <c r="I709" s="368">
        <f>+H709*$X$1</f>
        <v>510</v>
      </c>
      <c r="J709" s="89">
        <v>410</v>
      </c>
      <c r="K709" s="368">
        <f>+J709*$X$1</f>
        <v>410</v>
      </c>
      <c r="L709" s="458">
        <v>360</v>
      </c>
      <c r="M709" s="365">
        <f>+L709*$X$1</f>
        <v>360</v>
      </c>
      <c r="N709" s="458">
        <v>320</v>
      </c>
      <c r="O709" s="365">
        <f>+N709*$X$1</f>
        <v>320</v>
      </c>
      <c r="P709" s="458">
        <v>270</v>
      </c>
      <c r="Q709" s="365">
        <f>+P709*$X$1</f>
        <v>270</v>
      </c>
      <c r="R709" s="458">
        <v>250</v>
      </c>
      <c r="S709" s="365">
        <f>+R709*$X$1</f>
        <v>250</v>
      </c>
      <c r="T709" s="458">
        <v>230</v>
      </c>
      <c r="U709" s="365">
        <f>+T709*$X$1</f>
        <v>230</v>
      </c>
      <c r="V709" s="458">
        <v>220</v>
      </c>
      <c r="W709" s="365">
        <f>+V709*$X$1</f>
        <v>220</v>
      </c>
    </row>
    <row r="710" spans="1:35" ht="12.6" customHeight="1" x14ac:dyDescent="0.2">
      <c r="A710" s="980"/>
      <c r="B710" s="981" t="s">
        <v>568</v>
      </c>
      <c r="C710" s="982"/>
      <c r="D710" s="982"/>
      <c r="E710" s="982"/>
      <c r="F710" s="982"/>
      <c r="G710" s="983"/>
      <c r="H710" s="92">
        <v>570</v>
      </c>
      <c r="I710" s="401">
        <f>+H710*$X$1</f>
        <v>570</v>
      </c>
      <c r="J710" s="71">
        <v>480</v>
      </c>
      <c r="K710" s="401">
        <f>+J710*$X$1</f>
        <v>480</v>
      </c>
      <c r="L710" s="470">
        <v>450</v>
      </c>
      <c r="M710" s="367">
        <f>+L710*$X$1</f>
        <v>450</v>
      </c>
      <c r="N710" s="470">
        <v>410</v>
      </c>
      <c r="O710" s="367">
        <f>+N710*$X$1</f>
        <v>410</v>
      </c>
      <c r="P710" s="470">
        <v>380</v>
      </c>
      <c r="Q710" s="367">
        <f>+P710*$X$1</f>
        <v>380</v>
      </c>
      <c r="R710" s="470">
        <v>350</v>
      </c>
      <c r="S710" s="367">
        <f>+R710*$X$1</f>
        <v>350</v>
      </c>
      <c r="T710" s="470">
        <v>330</v>
      </c>
      <c r="U710" s="367">
        <f>+T710*$X$1</f>
        <v>330</v>
      </c>
      <c r="V710" s="470">
        <v>310</v>
      </c>
      <c r="W710" s="367">
        <f>+V710*$X$1</f>
        <v>310</v>
      </c>
    </row>
    <row r="711" spans="1:35" ht="12.6" customHeight="1" x14ac:dyDescent="0.2">
      <c r="A711" s="980"/>
      <c r="B711" s="984" t="s">
        <v>570</v>
      </c>
      <c r="C711" s="985"/>
      <c r="D711" s="985"/>
      <c r="E711" s="985"/>
      <c r="F711" s="985"/>
      <c r="G711" s="986"/>
      <c r="H711" s="294">
        <v>780</v>
      </c>
      <c r="I711" s="368">
        <f>+H711*$X$1</f>
        <v>780</v>
      </c>
      <c r="J711" s="89">
        <v>700</v>
      </c>
      <c r="K711" s="368">
        <f>+J711*$X$1</f>
        <v>700</v>
      </c>
      <c r="L711" s="458">
        <v>600</v>
      </c>
      <c r="M711" s="365">
        <f>+L711*$X$1</f>
        <v>600</v>
      </c>
      <c r="N711" s="458">
        <v>550</v>
      </c>
      <c r="O711" s="365">
        <f>+N711*$X$1</f>
        <v>550</v>
      </c>
      <c r="P711" s="458">
        <v>510</v>
      </c>
      <c r="Q711" s="365">
        <f>+P711*$X$1</f>
        <v>510</v>
      </c>
      <c r="R711" s="458">
        <v>490</v>
      </c>
      <c r="S711" s="365">
        <f>+R711*$X$1</f>
        <v>490</v>
      </c>
      <c r="T711" s="458">
        <v>480</v>
      </c>
      <c r="U711" s="365">
        <f>+T711*$X$1</f>
        <v>480</v>
      </c>
      <c r="V711" s="458">
        <v>460</v>
      </c>
      <c r="W711" s="365">
        <f>+V711*$X$1</f>
        <v>460</v>
      </c>
    </row>
    <row r="712" spans="1:35" ht="12.6" customHeight="1" x14ac:dyDescent="0.2">
      <c r="A712" s="980"/>
      <c r="B712" s="981" t="s">
        <v>569</v>
      </c>
      <c r="C712" s="982"/>
      <c r="D712" s="982"/>
      <c r="E712" s="982"/>
      <c r="F712" s="982"/>
      <c r="G712" s="983"/>
      <c r="H712" s="92">
        <v>1060</v>
      </c>
      <c r="I712" s="485">
        <f>+H712*$X$1</f>
        <v>1060</v>
      </c>
      <c r="J712" s="71">
        <v>920</v>
      </c>
      <c r="K712" s="486">
        <f>+J712*$X$1</f>
        <v>920</v>
      </c>
      <c r="L712" s="470">
        <v>800</v>
      </c>
      <c r="M712" s="367">
        <f>+L712*$X$1</f>
        <v>800</v>
      </c>
      <c r="N712" s="470">
        <v>740</v>
      </c>
      <c r="O712" s="367">
        <f>+N712*$X$1</f>
        <v>740</v>
      </c>
      <c r="P712" s="470">
        <v>710</v>
      </c>
      <c r="Q712" s="367">
        <f>+P712*$X$1</f>
        <v>710</v>
      </c>
      <c r="R712" s="470">
        <v>690</v>
      </c>
      <c r="S712" s="367">
        <f>+R712*$X$1</f>
        <v>690</v>
      </c>
      <c r="T712" s="470">
        <v>670</v>
      </c>
      <c r="U712" s="367">
        <f>+T712*$X$1</f>
        <v>670</v>
      </c>
      <c r="V712" s="470">
        <v>650</v>
      </c>
      <c r="W712" s="367">
        <f>+V712*$X$1</f>
        <v>650</v>
      </c>
    </row>
    <row r="713" spans="1:35" ht="6" customHeight="1" x14ac:dyDescent="0.2">
      <c r="A713" s="203"/>
      <c r="B713" s="204"/>
      <c r="C713" s="204"/>
      <c r="D713" s="204"/>
      <c r="E713" s="204"/>
      <c r="F713" s="205"/>
      <c r="G713" s="205"/>
      <c r="H713" s="75"/>
      <c r="I713" s="206"/>
      <c r="J713" s="206"/>
      <c r="K713" s="206"/>
      <c r="L713" s="206"/>
      <c r="M713" s="206"/>
      <c r="N713" s="206"/>
      <c r="O713" s="206"/>
      <c r="P713" s="206"/>
      <c r="Q713" s="206"/>
      <c r="R713" s="206"/>
      <c r="S713" s="206"/>
      <c r="T713" s="206"/>
      <c r="U713" s="206"/>
      <c r="V713" s="75"/>
      <c r="W713" s="198"/>
      <c r="X713" s="197"/>
      <c r="Y713" s="197"/>
      <c r="Z713" s="197"/>
      <c r="AA713" s="197"/>
      <c r="AB713" s="207"/>
    </row>
    <row r="714" spans="1:35" ht="13.5" customHeight="1" x14ac:dyDescent="0.2">
      <c r="B714" s="1122" t="s">
        <v>511</v>
      </c>
      <c r="C714" s="1123"/>
      <c r="D714" s="1123"/>
      <c r="E714" s="1123"/>
      <c r="F714" s="1123"/>
      <c r="G714" s="1123"/>
      <c r="H714" s="1123"/>
      <c r="I714" s="1123"/>
      <c r="J714" s="1123"/>
      <c r="K714" s="69" t="s">
        <v>507</v>
      </c>
      <c r="L714" s="70">
        <v>29</v>
      </c>
      <c r="M714" s="364">
        <f>+L714*$X$1</f>
        <v>29</v>
      </c>
      <c r="N714" s="68"/>
      <c r="O714" s="69" t="s">
        <v>508</v>
      </c>
      <c r="P714" s="70">
        <v>27</v>
      </c>
      <c r="Q714" s="364">
        <f>+P714*$X$1</f>
        <v>27</v>
      </c>
      <c r="R714" s="46"/>
      <c r="S714" s="46"/>
      <c r="T714" s="46"/>
      <c r="U714" s="46"/>
      <c r="V714" s="46"/>
      <c r="W714" s="46"/>
    </row>
    <row r="715" spans="1:35" ht="10.5" customHeight="1" x14ac:dyDescent="0.2">
      <c r="B715" s="49"/>
      <c r="C715" s="171"/>
      <c r="D715" s="171"/>
      <c r="E715" s="171"/>
      <c r="F715" s="171"/>
      <c r="G715" s="171"/>
      <c r="H715" s="171"/>
      <c r="I715" s="171"/>
      <c r="J715" s="171"/>
      <c r="K715" s="50"/>
      <c r="L715" s="51"/>
      <c r="M715" s="52"/>
      <c r="N715" s="46"/>
      <c r="O715" s="50"/>
      <c r="P715" s="51"/>
      <c r="Q715" s="52"/>
      <c r="R715" s="46"/>
      <c r="S715" s="46"/>
      <c r="T715" s="46"/>
      <c r="U715" s="46"/>
      <c r="V715" s="46"/>
      <c r="W715" s="46"/>
    </row>
    <row r="716" spans="1:35" x14ac:dyDescent="0.2">
      <c r="B716" s="3"/>
      <c r="C716" s="1075" t="s">
        <v>311</v>
      </c>
      <c r="D716" s="1076"/>
      <c r="E716" s="1076"/>
      <c r="F716" s="1076"/>
      <c r="G716" s="1076"/>
      <c r="H716" s="1076"/>
      <c r="I716" s="1076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7"/>
      <c r="W716" s="7"/>
    </row>
    <row r="717" spans="1:35" ht="12.6" customHeight="1" x14ac:dyDescent="0.2">
      <c r="B717" s="3"/>
      <c r="C717" s="1119" t="s">
        <v>312</v>
      </c>
      <c r="D717" s="1120"/>
      <c r="E717" s="1120"/>
      <c r="F717" s="1120"/>
      <c r="G717" s="1121"/>
      <c r="H717" s="429"/>
      <c r="I717" s="426"/>
      <c r="J717" s="4"/>
      <c r="K717" s="4"/>
      <c r="L717" s="37"/>
      <c r="M717" s="3"/>
      <c r="N717" s="3"/>
      <c r="O717" s="3"/>
      <c r="P717" s="3"/>
      <c r="Q717" s="3"/>
      <c r="R717" s="3"/>
      <c r="S717" s="3"/>
      <c r="T717" s="3"/>
      <c r="U717" s="3"/>
      <c r="V717" s="7"/>
      <c r="W717" s="7"/>
    </row>
    <row r="718" spans="1:35" ht="12.6" customHeight="1" x14ac:dyDescent="0.2">
      <c r="B718" s="3"/>
      <c r="C718" s="1174" t="s">
        <v>313</v>
      </c>
      <c r="D718" s="1175"/>
      <c r="E718" s="1175"/>
      <c r="F718" s="1175"/>
      <c r="G718" s="1176"/>
      <c r="H718" s="41"/>
      <c r="I718" s="430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7"/>
      <c r="W718" s="7"/>
    </row>
    <row r="719" spans="1:35" ht="12.6" customHeight="1" x14ac:dyDescent="0.2">
      <c r="B719" s="3"/>
      <c r="C719" s="1174" t="s">
        <v>314</v>
      </c>
      <c r="D719" s="1175"/>
      <c r="E719" s="1175"/>
      <c r="F719" s="1175"/>
      <c r="G719" s="1176"/>
      <c r="H719" s="43"/>
      <c r="I719" s="363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7"/>
      <c r="W719" s="7"/>
    </row>
    <row r="720" spans="1:35" ht="15.95" customHeight="1" x14ac:dyDescent="0.2">
      <c r="B720" s="3"/>
      <c r="C720" s="1159" t="s">
        <v>566</v>
      </c>
      <c r="D720" s="1160"/>
      <c r="E720" s="1160"/>
      <c r="F720" s="1160"/>
      <c r="G720" s="1160"/>
      <c r="H720" s="1161"/>
      <c r="I720" s="1162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7"/>
      <c r="W720" s="7"/>
    </row>
    <row r="721" spans="2:34" ht="15.75" customHeight="1" x14ac:dyDescent="0.2">
      <c r="B721" s="3"/>
      <c r="C721" s="893"/>
      <c r="D721" s="894"/>
      <c r="E721" s="894"/>
      <c r="F721" s="894"/>
      <c r="G721" s="894"/>
      <c r="H721" s="1163"/>
      <c r="I721" s="116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7"/>
      <c r="W721" s="7"/>
    </row>
    <row r="722" spans="2:34" ht="11.25" customHeight="1" x14ac:dyDescent="0.2">
      <c r="B722" s="4"/>
      <c r="C722" s="48"/>
      <c r="D722" s="48"/>
      <c r="E722" s="48"/>
      <c r="F722" s="48"/>
      <c r="G722" s="48"/>
      <c r="H722" s="42"/>
      <c r="I722" s="340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7"/>
      <c r="W722" s="7"/>
    </row>
    <row r="723" spans="2:34" ht="11.25" customHeight="1" x14ac:dyDescent="0.2">
      <c r="B723" s="4"/>
      <c r="C723" s="48"/>
      <c r="D723" s="48"/>
      <c r="E723" s="48"/>
      <c r="F723" s="48"/>
      <c r="G723" s="48"/>
      <c r="H723" s="42"/>
      <c r="I723" s="340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7"/>
      <c r="W723" s="7"/>
    </row>
    <row r="724" spans="2:34" ht="11.25" customHeight="1" thickBot="1" x14ac:dyDescent="0.25">
      <c r="B724" s="4"/>
      <c r="C724" s="48"/>
      <c r="D724" s="48"/>
      <c r="E724" s="48"/>
      <c r="F724" s="48"/>
      <c r="G724" s="48"/>
      <c r="H724" s="42"/>
      <c r="I724" s="340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7"/>
      <c r="W724" s="7"/>
    </row>
    <row r="725" spans="2:34" ht="13.5" customHeight="1" x14ac:dyDescent="0.2">
      <c r="B725" s="1183" t="s">
        <v>830</v>
      </c>
      <c r="C725" s="1184"/>
      <c r="D725" s="1184"/>
      <c r="E725" s="1184"/>
      <c r="F725" s="1184"/>
      <c r="G725" s="1184"/>
      <c r="H725" s="1184"/>
      <c r="I725" s="1184"/>
      <c r="J725" s="1184"/>
      <c r="K725" s="1184"/>
      <c r="L725" s="1184"/>
      <c r="M725" s="1184"/>
      <c r="N725" s="1184"/>
      <c r="O725" s="1184"/>
      <c r="P725" s="1184"/>
      <c r="Q725" s="1184"/>
      <c r="R725" s="1184"/>
      <c r="S725" s="1184"/>
      <c r="T725" s="1184"/>
      <c r="U725" s="1184"/>
      <c r="V725" s="1184"/>
      <c r="W725" s="1185"/>
    </row>
    <row r="726" spans="2:34" ht="13.5" customHeight="1" x14ac:dyDescent="0.2">
      <c r="B726" s="1186"/>
      <c r="C726" s="1187"/>
      <c r="D726" s="1187"/>
      <c r="E726" s="1187"/>
      <c r="F726" s="1187"/>
      <c r="G726" s="1187"/>
      <c r="H726" s="1187"/>
      <c r="I726" s="1187"/>
      <c r="J726" s="1187"/>
      <c r="K726" s="1187"/>
      <c r="L726" s="1187"/>
      <c r="M726" s="1187"/>
      <c r="N726" s="1187"/>
      <c r="O726" s="1187"/>
      <c r="P726" s="1187"/>
      <c r="Q726" s="1187"/>
      <c r="R726" s="1187"/>
      <c r="S726" s="1187"/>
      <c r="T726" s="1187"/>
      <c r="U726" s="1187"/>
      <c r="V726" s="1187"/>
      <c r="W726" s="1188"/>
    </row>
    <row r="727" spans="2:34" ht="13.5" customHeight="1" thickBot="1" x14ac:dyDescent="0.25">
      <c r="B727" s="1189"/>
      <c r="C727" s="1190"/>
      <c r="D727" s="1190"/>
      <c r="E727" s="1190"/>
      <c r="F727" s="1190"/>
      <c r="G727" s="1190"/>
      <c r="H727" s="1190"/>
      <c r="I727" s="1190"/>
      <c r="J727" s="1190"/>
      <c r="K727" s="1190"/>
      <c r="L727" s="1190"/>
      <c r="M727" s="1190"/>
      <c r="N727" s="1190"/>
      <c r="O727" s="1190"/>
      <c r="P727" s="1190"/>
      <c r="Q727" s="1190"/>
      <c r="R727" s="1190"/>
      <c r="S727" s="1190"/>
      <c r="T727" s="1190"/>
      <c r="U727" s="1190"/>
      <c r="V727" s="1190"/>
      <c r="W727" s="1191"/>
    </row>
    <row r="728" spans="2:34" ht="9.75" customHeight="1" x14ac:dyDescent="0.2">
      <c r="B728" s="4"/>
      <c r="C728" s="40"/>
      <c r="D728" s="40"/>
      <c r="E728" s="40"/>
      <c r="F728" s="40"/>
      <c r="G728" s="40"/>
      <c r="H728" s="42"/>
      <c r="I728" s="42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7"/>
      <c r="W728" s="7"/>
    </row>
    <row r="729" spans="2:34" ht="23.25" customHeight="1" x14ac:dyDescent="0.2">
      <c r="B729" s="3"/>
      <c r="C729" s="1148" t="s">
        <v>663</v>
      </c>
      <c r="D729" s="1149"/>
      <c r="E729" s="1149"/>
      <c r="F729" s="1149"/>
      <c r="G729" s="1149"/>
      <c r="H729" s="1149"/>
      <c r="I729" s="1150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AF729" s="703" t="s">
        <v>3</v>
      </c>
      <c r="AG729" s="704"/>
      <c r="AH729" s="704"/>
    </row>
    <row r="730" spans="2:34" ht="12.95" customHeight="1" x14ac:dyDescent="0.2">
      <c r="B730" s="3"/>
      <c r="C730" s="1165"/>
      <c r="D730" s="1166"/>
      <c r="E730" s="1166"/>
      <c r="F730" s="1166"/>
      <c r="G730" s="1166"/>
      <c r="H730" s="1166"/>
      <c r="I730" s="1167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7"/>
      <c r="W730" s="7"/>
    </row>
    <row r="731" spans="2:34" ht="12.95" customHeight="1" x14ac:dyDescent="0.2">
      <c r="B731" s="3"/>
      <c r="C731" s="1168"/>
      <c r="D731" s="1169"/>
      <c r="E731" s="1169"/>
      <c r="F731" s="1169"/>
      <c r="G731" s="1169"/>
      <c r="H731" s="1169"/>
      <c r="I731" s="1170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7"/>
      <c r="W731" s="7"/>
    </row>
    <row r="732" spans="2:34" ht="12.95" customHeight="1" x14ac:dyDescent="0.2">
      <c r="B732" s="3"/>
      <c r="C732" s="1168"/>
      <c r="D732" s="1169"/>
      <c r="E732" s="1169"/>
      <c r="F732" s="1169"/>
      <c r="G732" s="1169"/>
      <c r="H732" s="1169"/>
      <c r="I732" s="1170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7"/>
      <c r="W732" s="7"/>
    </row>
    <row r="733" spans="2:34" ht="12.95" customHeight="1" x14ac:dyDescent="0.2">
      <c r="B733" s="3"/>
      <c r="C733" s="1168"/>
      <c r="D733" s="1169"/>
      <c r="E733" s="1169"/>
      <c r="F733" s="1169"/>
      <c r="G733" s="1169"/>
      <c r="H733" s="1169"/>
      <c r="I733" s="1170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"/>
      <c r="W733" s="7"/>
    </row>
    <row r="734" spans="2:34" ht="12.95" customHeight="1" x14ac:dyDescent="0.2">
      <c r="B734" s="3"/>
      <c r="C734" s="1168"/>
      <c r="D734" s="1169"/>
      <c r="E734" s="1169"/>
      <c r="F734" s="1169"/>
      <c r="G734" s="1169"/>
      <c r="H734" s="1169"/>
      <c r="I734" s="1170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34" ht="12.95" customHeight="1" x14ac:dyDescent="0.2">
      <c r="B735" s="3"/>
      <c r="C735" s="1168"/>
      <c r="D735" s="1169"/>
      <c r="E735" s="1169"/>
      <c r="F735" s="1169"/>
      <c r="G735" s="1169"/>
      <c r="H735" s="1169"/>
      <c r="I735" s="1170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34" ht="10.5" customHeight="1" x14ac:dyDescent="0.2">
      <c r="B736" s="3"/>
      <c r="C736" s="1171"/>
      <c r="D736" s="1172"/>
      <c r="E736" s="1172"/>
      <c r="F736" s="1172"/>
      <c r="G736" s="1172"/>
      <c r="H736" s="1172"/>
      <c r="I736" s="117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34" ht="12.6" customHeight="1" x14ac:dyDescent="0.2">
      <c r="B737" s="3"/>
      <c r="C737" s="1151" t="s">
        <v>408</v>
      </c>
      <c r="D737" s="1151"/>
      <c r="E737" s="1152"/>
      <c r="F737" s="1152"/>
      <c r="G737" s="1153"/>
      <c r="H737" s="43">
        <v>1500</v>
      </c>
      <c r="I737" s="367">
        <f>+H737*$X$1</f>
        <v>1500</v>
      </c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34" ht="12.6" customHeight="1" x14ac:dyDescent="0.2">
      <c r="B738" s="3"/>
      <c r="C738" s="1151" t="s">
        <v>664</v>
      </c>
      <c r="D738" s="1151"/>
      <c r="E738" s="1152"/>
      <c r="F738" s="1152"/>
      <c r="G738" s="1153"/>
      <c r="H738" s="43">
        <v>1400</v>
      </c>
      <c r="I738" s="367">
        <f>+H738*$X$1</f>
        <v>1400</v>
      </c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34" ht="12.6" customHeight="1" x14ac:dyDescent="0.2">
      <c r="B739" s="3"/>
      <c r="C739" s="47"/>
      <c r="D739" s="45"/>
      <c r="E739" s="45"/>
      <c r="F739" s="45"/>
      <c r="G739" s="40"/>
      <c r="H739" s="42"/>
      <c r="I739" s="4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34" ht="18" customHeight="1" x14ac:dyDescent="0.2">
      <c r="B740" s="1079" t="s">
        <v>567</v>
      </c>
      <c r="C740" s="1080"/>
      <c r="D740" s="1080"/>
      <c r="E740" s="1080"/>
      <c r="F740" s="1080"/>
      <c r="G740" s="1080"/>
      <c r="H740" s="1080"/>
      <c r="I740" s="1080"/>
      <c r="J740" s="1080"/>
      <c r="K740" s="1080"/>
      <c r="L740" s="1080"/>
      <c r="M740" s="1080"/>
      <c r="N740" s="1080"/>
      <c r="O740" s="1080"/>
      <c r="P740" s="1080"/>
      <c r="Q740" s="1080"/>
      <c r="R740" s="1080"/>
      <c r="S740" s="1080"/>
      <c r="T740" s="1080"/>
      <c r="U740" s="1080"/>
      <c r="V740" s="1080"/>
      <c r="W740" s="1081"/>
    </row>
    <row r="741" spans="2:34" ht="12.6" customHeight="1" x14ac:dyDescent="0.2">
      <c r="B741" s="26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</row>
    <row r="742" spans="2:34" ht="15.75" customHeight="1" x14ac:dyDescent="0.2">
      <c r="B742" s="1077" t="s">
        <v>315</v>
      </c>
      <c r="C742" s="1078"/>
      <c r="D742" s="1078"/>
      <c r="E742" s="1078"/>
      <c r="F742" s="1078"/>
      <c r="G742" s="1078"/>
      <c r="H742" s="1078"/>
      <c r="I742" s="1078"/>
      <c r="J742" s="1078"/>
      <c r="K742" s="1078"/>
      <c r="L742" s="1078"/>
      <c r="M742" s="1078"/>
      <c r="N742" s="1078"/>
      <c r="O742" s="1078"/>
      <c r="P742" s="1078"/>
      <c r="Q742" s="1078"/>
      <c r="R742" s="1078"/>
      <c r="S742" s="1078"/>
      <c r="T742" s="1078"/>
      <c r="U742" s="1078"/>
      <c r="V742" s="1078"/>
      <c r="W742" s="1078"/>
    </row>
    <row r="743" spans="2:34" ht="15.75" customHeight="1" x14ac:dyDescent="0.2">
      <c r="B743" s="1077" t="s">
        <v>316</v>
      </c>
      <c r="C743" s="1078"/>
      <c r="D743" s="1078"/>
      <c r="E743" s="1078"/>
      <c r="F743" s="1078"/>
      <c r="G743" s="1078"/>
      <c r="H743" s="1078"/>
      <c r="I743" s="1078"/>
      <c r="J743" s="1078"/>
      <c r="K743" s="1078"/>
      <c r="L743" s="1078"/>
      <c r="M743" s="1078"/>
      <c r="N743" s="1078"/>
      <c r="O743" s="1078"/>
      <c r="P743" s="1078"/>
      <c r="Q743" s="1078"/>
      <c r="R743" s="1078"/>
      <c r="S743" s="1078"/>
      <c r="T743" s="1078"/>
      <c r="U743" s="1078"/>
      <c r="V743" s="1078"/>
      <c r="W743" s="1078"/>
      <c r="AF743" s="703"/>
      <c r="AG743" s="704"/>
      <c r="AH743" s="704"/>
    </row>
    <row r="744" spans="2:34" ht="15.75" customHeight="1" x14ac:dyDescent="0.2">
      <c r="B744" s="1077" t="s">
        <v>317</v>
      </c>
      <c r="C744" s="1078"/>
      <c r="D744" s="1078"/>
      <c r="E744" s="1078"/>
      <c r="F744" s="1078"/>
      <c r="G744" s="1078"/>
      <c r="H744" s="1078"/>
      <c r="I744" s="1078"/>
      <c r="J744" s="1078"/>
      <c r="K744" s="1078"/>
      <c r="L744" s="1078"/>
      <c r="M744" s="1078"/>
      <c r="N744" s="1078"/>
      <c r="O744" s="1078"/>
      <c r="P744" s="1078"/>
      <c r="Q744" s="1078"/>
      <c r="R744" s="1078"/>
      <c r="S744" s="1078"/>
      <c r="T744" s="1078"/>
      <c r="U744" s="1078"/>
      <c r="V744" s="1078"/>
      <c r="W744" s="1078"/>
    </row>
    <row r="745" spans="2:34" ht="12.6" customHeight="1" x14ac:dyDescent="0.2">
      <c r="B745" s="11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</row>
    <row r="746" spans="2:34" ht="18" customHeight="1" thickBot="1" x14ac:dyDescent="0.25">
      <c r="B746" s="1114" t="s">
        <v>318</v>
      </c>
      <c r="C746" s="1115"/>
      <c r="D746" s="1115"/>
      <c r="E746" s="1115"/>
      <c r="F746" s="1115"/>
      <c r="G746" s="1115"/>
      <c r="H746" s="1115"/>
      <c r="I746" s="1115"/>
      <c r="J746" s="1115"/>
      <c r="K746" s="1115"/>
      <c r="L746" s="1115"/>
      <c r="M746" s="1115"/>
      <c r="N746" s="1115"/>
      <c r="O746" s="1115"/>
      <c r="P746" s="1115"/>
      <c r="Q746" s="1115"/>
      <c r="R746" s="1115"/>
      <c r="S746" s="1115"/>
      <c r="T746" s="1115"/>
      <c r="U746" s="1115"/>
      <c r="V746" s="1115"/>
      <c r="W746" s="1116"/>
    </row>
    <row r="747" spans="2:34" x14ac:dyDescent="0.2">
      <c r="B747" s="1103" t="s">
        <v>319</v>
      </c>
      <c r="C747" s="1104"/>
      <c r="D747" s="1104"/>
      <c r="E747" s="1104"/>
      <c r="F747" s="1104"/>
      <c r="G747" s="1104"/>
      <c r="H747" s="1104"/>
      <c r="I747" s="1104"/>
      <c r="J747" s="1104"/>
      <c r="K747" s="1104"/>
      <c r="L747" s="1104"/>
      <c r="M747" s="1104"/>
      <c r="N747" s="1105"/>
      <c r="O747" s="1105"/>
      <c r="P747" s="1105"/>
      <c r="Q747" s="1105"/>
      <c r="R747" s="1105"/>
      <c r="S747" s="1105"/>
      <c r="T747" s="1105"/>
      <c r="U747" s="1105"/>
      <c r="V747" s="1105"/>
      <c r="W747" s="1106"/>
    </row>
    <row r="748" spans="2:34" ht="12.75" customHeight="1" x14ac:dyDescent="0.2">
      <c r="B748" s="1107"/>
      <c r="C748" s="1104"/>
      <c r="D748" s="1104"/>
      <c r="E748" s="1104"/>
      <c r="F748" s="1104"/>
      <c r="G748" s="1104"/>
      <c r="H748" s="1104"/>
      <c r="I748" s="1104"/>
      <c r="J748" s="1104"/>
      <c r="K748" s="1104"/>
      <c r="L748" s="1104"/>
      <c r="M748" s="1104"/>
      <c r="N748" s="1105"/>
      <c r="O748" s="1105"/>
      <c r="P748" s="1105"/>
      <c r="Q748" s="1105"/>
      <c r="R748" s="1105"/>
      <c r="S748" s="1105"/>
      <c r="T748" s="1105"/>
      <c r="U748" s="1105"/>
      <c r="V748" s="1105"/>
      <c r="W748" s="1106"/>
    </row>
    <row r="749" spans="2:34" x14ac:dyDescent="0.2">
      <c r="B749" s="1107"/>
      <c r="C749" s="1104"/>
      <c r="D749" s="1104"/>
      <c r="E749" s="1104"/>
      <c r="F749" s="1104"/>
      <c r="G749" s="1104"/>
      <c r="H749" s="1104"/>
      <c r="I749" s="1104"/>
      <c r="J749" s="1104"/>
      <c r="K749" s="1104"/>
      <c r="L749" s="1104"/>
      <c r="M749" s="1104"/>
      <c r="N749" s="1105"/>
      <c r="O749" s="1105"/>
      <c r="P749" s="1105"/>
      <c r="Q749" s="1105"/>
      <c r="R749" s="1105"/>
      <c r="S749" s="1105"/>
      <c r="T749" s="1105"/>
      <c r="U749" s="1105"/>
      <c r="V749" s="1105"/>
      <c r="W749" s="1106"/>
    </row>
    <row r="750" spans="2:34" x14ac:dyDescent="0.2">
      <c r="B750" s="1108"/>
      <c r="C750" s="1109"/>
      <c r="D750" s="1109"/>
      <c r="E750" s="1109"/>
      <c r="F750" s="1109"/>
      <c r="G750" s="1109"/>
      <c r="H750" s="1109"/>
      <c r="I750" s="1109"/>
      <c r="J750" s="1109"/>
      <c r="K750" s="1109"/>
      <c r="L750" s="1109"/>
      <c r="M750" s="1109"/>
      <c r="N750" s="1110"/>
      <c r="O750" s="1110"/>
      <c r="P750" s="1110"/>
      <c r="Q750" s="1110"/>
      <c r="R750" s="1110"/>
      <c r="S750" s="1110"/>
      <c r="T750" s="1110"/>
      <c r="U750" s="1110"/>
      <c r="V750" s="1110"/>
      <c r="W750" s="1111"/>
    </row>
    <row r="751" spans="2:34" ht="12.6" customHeight="1" x14ac:dyDescent="0.2">
      <c r="B751" s="209"/>
      <c r="C751" s="209"/>
      <c r="D751" s="209"/>
      <c r="E751" s="209"/>
      <c r="F751" s="209"/>
      <c r="G751" s="209"/>
      <c r="H751" s="209"/>
      <c r="I751" s="209"/>
      <c r="J751" s="209"/>
      <c r="K751" s="209"/>
      <c r="L751" s="209"/>
      <c r="M751" s="210"/>
      <c r="N751" s="62"/>
      <c r="O751" s="62"/>
      <c r="P751" s="62"/>
      <c r="Q751" s="62"/>
      <c r="R751" s="62"/>
      <c r="S751" s="62"/>
      <c r="T751" s="62"/>
      <c r="U751" s="62"/>
      <c r="V751" s="62"/>
      <c r="W751" s="62"/>
    </row>
    <row r="752" spans="2:34" x14ac:dyDescent="0.2">
      <c r="B752" s="1112" t="s">
        <v>320</v>
      </c>
      <c r="C752" s="1113"/>
      <c r="D752" s="1113"/>
      <c r="E752" s="1113"/>
      <c r="F752" s="1113"/>
      <c r="G752" s="1113"/>
      <c r="H752" s="1113"/>
      <c r="I752" s="1113"/>
      <c r="J752" s="1113"/>
      <c r="K752" s="1113"/>
      <c r="L752" s="1113"/>
      <c r="M752" s="1113"/>
      <c r="N752" s="1113"/>
      <c r="O752" s="1113"/>
      <c r="P752" s="1113"/>
      <c r="Q752" s="1113"/>
      <c r="R752" s="1113"/>
      <c r="S752" s="1113"/>
      <c r="T752" s="1113"/>
      <c r="U752" s="1113"/>
      <c r="V752" s="1113"/>
      <c r="W752" s="1113"/>
    </row>
    <row r="753" spans="2:26" x14ac:dyDescent="0.2">
      <c r="B753" s="1113"/>
      <c r="C753" s="1113"/>
      <c r="D753" s="1113"/>
      <c r="E753" s="1113"/>
      <c r="F753" s="1113"/>
      <c r="G753" s="1113"/>
      <c r="H753" s="1113"/>
      <c r="I753" s="1113"/>
      <c r="J753" s="1113"/>
      <c r="K753" s="1113"/>
      <c r="L753" s="1113"/>
      <c r="M753" s="1113"/>
      <c r="N753" s="1113"/>
      <c r="O753" s="1113"/>
      <c r="P753" s="1113"/>
      <c r="Q753" s="1113"/>
      <c r="R753" s="1113"/>
      <c r="S753" s="1113"/>
      <c r="T753" s="1113"/>
      <c r="U753" s="1113"/>
      <c r="V753" s="1113"/>
      <c r="W753" s="1113"/>
    </row>
    <row r="754" spans="2:26" x14ac:dyDescent="0.2">
      <c r="B754" s="1098" t="s">
        <v>321</v>
      </c>
      <c r="C754" s="1078"/>
      <c r="D754" s="1078"/>
      <c r="E754" s="1078"/>
      <c r="F754" s="1078"/>
      <c r="G754" s="1078"/>
      <c r="H754" s="1078"/>
      <c r="I754" s="1078"/>
      <c r="J754" s="1078"/>
      <c r="K754" s="1078"/>
      <c r="L754" s="1078"/>
      <c r="M754" s="1078"/>
      <c r="N754" s="1078"/>
      <c r="O754" s="1078"/>
      <c r="P754" s="1078"/>
      <c r="Q754" s="1078"/>
      <c r="R754" s="1078"/>
      <c r="S754" s="1078"/>
      <c r="T754" s="1078"/>
      <c r="U754" s="1078"/>
      <c r="V754" s="1078"/>
      <c r="W754" s="1078"/>
    </row>
    <row r="755" spans="2:26" ht="14.25" customHeight="1" x14ac:dyDescent="0.2">
      <c r="B755" s="561"/>
      <c r="C755" s="560"/>
      <c r="D755" s="560"/>
      <c r="E755" s="560"/>
      <c r="F755" s="560"/>
      <c r="G755" s="560"/>
      <c r="H755" s="560"/>
      <c r="I755" s="560"/>
      <c r="J755" s="560"/>
      <c r="K755" s="560"/>
      <c r="L755" s="560"/>
      <c r="M755" s="560"/>
      <c r="N755" s="560"/>
      <c r="O755" s="560"/>
      <c r="P755" s="560"/>
      <c r="Q755" s="560"/>
      <c r="R755" s="560"/>
      <c r="S755" s="560"/>
      <c r="T755" s="560"/>
      <c r="U755" s="560"/>
      <c r="V755" s="560"/>
      <c r="W755" s="560"/>
    </row>
    <row r="756" spans="2:26" ht="12.75" customHeight="1" x14ac:dyDescent="0.2">
      <c r="B756" s="1075" t="s">
        <v>322</v>
      </c>
      <c r="C756" s="1076"/>
      <c r="D756" s="1076"/>
      <c r="E756" s="1076"/>
      <c r="F756" s="1076"/>
      <c r="G756" s="1076"/>
      <c r="H756" s="1076"/>
      <c r="I756" s="1076"/>
      <c r="J756" s="1076"/>
      <c r="K756" s="1076"/>
      <c r="L756" s="1076"/>
      <c r="M756" s="1076"/>
      <c r="N756" s="1076"/>
      <c r="O756" s="1076"/>
      <c r="P756" s="1076"/>
      <c r="Q756" s="1076"/>
      <c r="R756" s="1076"/>
      <c r="S756" s="1076"/>
      <c r="T756" s="1076"/>
      <c r="U756" s="1076"/>
      <c r="V756" s="1076"/>
      <c r="W756" s="739"/>
    </row>
    <row r="757" spans="2:26" ht="15" customHeight="1" x14ac:dyDescent="0.2">
      <c r="B757" s="1075" t="s">
        <v>376</v>
      </c>
      <c r="C757" s="1076"/>
      <c r="D757" s="1076"/>
      <c r="E757" s="1076"/>
      <c r="F757" s="1076"/>
      <c r="G757" s="1076"/>
      <c r="H757" s="1076"/>
      <c r="I757" s="1076"/>
      <c r="J757" s="1076"/>
      <c r="K757" s="1076"/>
      <c r="L757" s="1076"/>
      <c r="M757" s="1076"/>
      <c r="N757" s="1076"/>
      <c r="O757" s="1076"/>
      <c r="P757" s="1076"/>
      <c r="Q757" s="1076"/>
      <c r="R757" s="1076"/>
      <c r="S757" s="1076"/>
      <c r="T757" s="1076"/>
      <c r="U757" s="1076"/>
      <c r="V757" s="1076"/>
      <c r="W757" s="739"/>
    </row>
    <row r="758" spans="2:26" ht="13.5" customHeight="1" thickBot="1" x14ac:dyDescent="0.25">
      <c r="B758" s="233"/>
      <c r="C758" s="233"/>
      <c r="D758" s="233"/>
      <c r="E758" s="233"/>
      <c r="F758" s="233"/>
      <c r="G758" s="233"/>
      <c r="H758" s="233"/>
      <c r="I758" s="233"/>
      <c r="J758" s="233"/>
      <c r="K758" s="233"/>
      <c r="L758" s="233"/>
      <c r="M758" s="233"/>
      <c r="N758" s="233"/>
      <c r="O758" s="233"/>
      <c r="P758" s="233"/>
      <c r="Q758" s="233"/>
      <c r="R758" s="233"/>
      <c r="S758" s="233"/>
      <c r="T758" s="233"/>
      <c r="U758" s="233"/>
      <c r="V758" s="233"/>
      <c r="W758" s="233"/>
      <c r="X758" s="65"/>
    </row>
    <row r="759" spans="2:26" ht="90" customHeight="1" x14ac:dyDescent="0.2">
      <c r="B759" s="1099"/>
      <c r="C759" s="1100"/>
      <c r="D759" s="1100"/>
      <c r="E759" s="1100"/>
      <c r="F759" s="1100"/>
      <c r="G759" s="1100"/>
      <c r="H759" s="1100"/>
      <c r="I759" s="1100"/>
      <c r="J759" s="1100"/>
      <c r="K759" s="1101"/>
      <c r="L759" s="1101"/>
      <c r="M759" s="1101"/>
      <c r="N759" s="1101"/>
      <c r="O759" s="1101"/>
      <c r="P759" s="1101"/>
      <c r="Q759" s="1101"/>
      <c r="R759" s="1101"/>
      <c r="S759" s="1101"/>
      <c r="T759" s="1101"/>
      <c r="U759" s="1101"/>
      <c r="V759" s="1101"/>
      <c r="W759" s="1102"/>
    </row>
    <row r="760" spans="2:26" ht="12.6" customHeight="1" x14ac:dyDescent="0.25"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Z760" s="34"/>
    </row>
    <row r="761" spans="2:26" ht="8.25" customHeight="1" x14ac:dyDescent="0.2">
      <c r="B761" s="1082" t="s">
        <v>323</v>
      </c>
      <c r="C761" s="1083"/>
      <c r="D761" s="1083"/>
      <c r="E761" s="1083"/>
      <c r="F761" s="1083"/>
      <c r="G761" s="1083"/>
      <c r="H761" s="1083"/>
      <c r="I761" s="1083"/>
      <c r="J761" s="1083"/>
      <c r="K761" s="1084"/>
      <c r="L761" s="1084"/>
      <c r="M761" s="1084"/>
      <c r="N761" s="1084"/>
      <c r="O761" s="1084"/>
      <c r="P761" s="1084"/>
      <c r="Q761" s="1084"/>
      <c r="R761" s="1084"/>
      <c r="S761" s="1084"/>
      <c r="T761" s="1084"/>
      <c r="U761" s="1084"/>
      <c r="V761" s="1084"/>
      <c r="W761" s="1085"/>
    </row>
    <row r="762" spans="2:26" ht="12.75" customHeight="1" x14ac:dyDescent="0.2">
      <c r="B762" s="1086"/>
      <c r="C762" s="1087"/>
      <c r="D762" s="1087"/>
      <c r="E762" s="1087"/>
      <c r="F762" s="1087"/>
      <c r="G762" s="1087"/>
      <c r="H762" s="1087"/>
      <c r="I762" s="1087"/>
      <c r="J762" s="1087"/>
      <c r="K762" s="1088"/>
      <c r="L762" s="1088"/>
      <c r="M762" s="1088"/>
      <c r="N762" s="1088"/>
      <c r="O762" s="1088"/>
      <c r="P762" s="1088"/>
      <c r="Q762" s="1088"/>
      <c r="R762" s="1088"/>
      <c r="S762" s="1088"/>
      <c r="T762" s="1088"/>
      <c r="U762" s="1088"/>
      <c r="V762" s="1088"/>
      <c r="W762" s="1089"/>
    </row>
    <row r="763" spans="2:26" x14ac:dyDescent="0.2">
      <c r="B763" s="1090"/>
      <c r="C763" s="1091"/>
      <c r="D763" s="1091"/>
      <c r="E763" s="1091"/>
      <c r="F763" s="1091"/>
      <c r="G763" s="1091"/>
      <c r="H763" s="1091"/>
      <c r="I763" s="1091"/>
      <c r="J763" s="1091"/>
      <c r="K763" s="1088"/>
      <c r="L763" s="1088"/>
      <c r="M763" s="1088"/>
      <c r="N763" s="1088"/>
      <c r="O763" s="1088"/>
      <c r="P763" s="1088"/>
      <c r="Q763" s="1088"/>
      <c r="R763" s="1088"/>
      <c r="S763" s="1088"/>
      <c r="T763" s="1088"/>
      <c r="U763" s="1088"/>
      <c r="V763" s="1088"/>
      <c r="W763" s="1089"/>
    </row>
    <row r="764" spans="2:26" x14ac:dyDescent="0.2">
      <c r="B764" s="1090"/>
      <c r="C764" s="1091"/>
      <c r="D764" s="1091"/>
      <c r="E764" s="1091"/>
      <c r="F764" s="1091"/>
      <c r="G764" s="1091"/>
      <c r="H764" s="1091"/>
      <c r="I764" s="1091"/>
      <c r="J764" s="1091"/>
      <c r="K764" s="1088"/>
      <c r="L764" s="1088"/>
      <c r="M764" s="1088"/>
      <c r="N764" s="1088"/>
      <c r="O764" s="1088"/>
      <c r="P764" s="1088"/>
      <c r="Q764" s="1088"/>
      <c r="R764" s="1088"/>
      <c r="S764" s="1088"/>
      <c r="T764" s="1088"/>
      <c r="U764" s="1088"/>
      <c r="V764" s="1088"/>
      <c r="W764" s="1089"/>
    </row>
    <row r="765" spans="2:26" x14ac:dyDescent="0.2">
      <c r="B765" s="1090"/>
      <c r="C765" s="1091"/>
      <c r="D765" s="1091"/>
      <c r="E765" s="1091"/>
      <c r="F765" s="1091"/>
      <c r="G765" s="1091"/>
      <c r="H765" s="1091"/>
      <c r="I765" s="1091"/>
      <c r="J765" s="1091"/>
      <c r="K765" s="1088"/>
      <c r="L765" s="1088"/>
      <c r="M765" s="1088"/>
      <c r="N765" s="1088"/>
      <c r="O765" s="1088"/>
      <c r="P765" s="1088"/>
      <c r="Q765" s="1088"/>
      <c r="R765" s="1088"/>
      <c r="S765" s="1088"/>
      <c r="T765" s="1088"/>
      <c r="U765" s="1088"/>
      <c r="V765" s="1088"/>
      <c r="W765" s="1089"/>
    </row>
    <row r="766" spans="2:26" x14ac:dyDescent="0.2">
      <c r="B766" s="1090"/>
      <c r="C766" s="1091"/>
      <c r="D766" s="1091"/>
      <c r="E766" s="1091"/>
      <c r="F766" s="1091"/>
      <c r="G766" s="1091"/>
      <c r="H766" s="1091"/>
      <c r="I766" s="1091"/>
      <c r="J766" s="1091"/>
      <c r="K766" s="1088"/>
      <c r="L766" s="1088"/>
      <c r="M766" s="1088"/>
      <c r="N766" s="1088"/>
      <c r="O766" s="1088"/>
      <c r="P766" s="1088"/>
      <c r="Q766" s="1088"/>
      <c r="R766" s="1088"/>
      <c r="S766" s="1088"/>
      <c r="T766" s="1088"/>
      <c r="U766" s="1088"/>
      <c r="V766" s="1088"/>
      <c r="W766" s="1089"/>
    </row>
    <row r="767" spans="2:26" x14ac:dyDescent="0.2">
      <c r="B767" s="1092"/>
      <c r="C767" s="1093"/>
      <c r="D767" s="1093"/>
      <c r="E767" s="1093"/>
      <c r="F767" s="1093"/>
      <c r="G767" s="1093"/>
      <c r="H767" s="1093"/>
      <c r="I767" s="1093"/>
      <c r="J767" s="1093"/>
      <c r="K767" s="1093"/>
      <c r="L767" s="1093"/>
      <c r="M767" s="1093"/>
      <c r="N767" s="1093"/>
      <c r="O767" s="1093"/>
      <c r="P767" s="1093"/>
      <c r="Q767" s="1093"/>
      <c r="R767" s="1093"/>
      <c r="S767" s="1093"/>
      <c r="T767" s="1093"/>
      <c r="U767" s="1093"/>
      <c r="V767" s="1093"/>
      <c r="W767" s="1094"/>
    </row>
    <row r="768" spans="2:26" x14ac:dyDescent="0.2">
      <c r="B768" s="1095"/>
      <c r="C768" s="1096"/>
      <c r="D768" s="1096"/>
      <c r="E768" s="1096"/>
      <c r="F768" s="1096"/>
      <c r="G768" s="1096"/>
      <c r="H768" s="1096"/>
      <c r="I768" s="1096"/>
      <c r="J768" s="1096"/>
      <c r="K768" s="1096"/>
      <c r="L768" s="1096"/>
      <c r="M768" s="1096"/>
      <c r="N768" s="1096"/>
      <c r="O768" s="1096"/>
      <c r="P768" s="1096"/>
      <c r="Q768" s="1096"/>
      <c r="R768" s="1096"/>
      <c r="S768" s="1096"/>
      <c r="T768" s="1096"/>
      <c r="U768" s="1096"/>
      <c r="V768" s="1096"/>
      <c r="W768" s="1097"/>
    </row>
    <row r="769" spans="2:23" ht="12.6" customHeight="1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ht="18.75" customHeight="1" x14ac:dyDescent="0.2">
      <c r="B770" s="1072" t="s">
        <v>324</v>
      </c>
      <c r="C770" s="1073"/>
      <c r="D770" s="1073"/>
      <c r="E770" s="1073"/>
      <c r="F770" s="1073"/>
      <c r="G770" s="1073"/>
      <c r="H770" s="1073"/>
      <c r="I770" s="1073"/>
      <c r="J770" s="1073"/>
      <c r="K770" s="1073"/>
      <c r="L770" s="1073"/>
      <c r="M770" s="1073"/>
      <c r="N770" s="1073"/>
      <c r="O770" s="1073"/>
      <c r="P770" s="1073"/>
      <c r="Q770" s="1073"/>
      <c r="R770" s="1073"/>
      <c r="S770" s="1073"/>
      <c r="T770" s="1073"/>
      <c r="U770" s="1073"/>
      <c r="V770" s="1073"/>
      <c r="W770" s="1074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ht="12.75" customHeight="1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E1181" s="1"/>
      <c r="F1181" s="1"/>
      <c r="H1181" s="1"/>
      <c r="I1181" s="1"/>
      <c r="J1181" s="1"/>
      <c r="K1181" s="1"/>
    </row>
    <row r="1182" spans="2:23" x14ac:dyDescent="0.2">
      <c r="E1182" s="1"/>
      <c r="F1182" s="1"/>
      <c r="H1182" s="1"/>
      <c r="I1182" s="1"/>
      <c r="J1182" s="1"/>
      <c r="K1182" s="1"/>
    </row>
    <row r="1183" spans="2:23" x14ac:dyDescent="0.2">
      <c r="E1183" s="1"/>
      <c r="F1183" s="1"/>
      <c r="H1183" s="1"/>
      <c r="I1183" s="1"/>
      <c r="J1183" s="1"/>
      <c r="K1183" s="1"/>
    </row>
    <row r="1184" spans="2:23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</sheetData>
  <mergeCells count="1135">
    <mergeCell ref="B381:E381"/>
    <mergeCell ref="B397:E397"/>
    <mergeCell ref="B383:E383"/>
    <mergeCell ref="B391:E391"/>
    <mergeCell ref="B421:E421"/>
    <mergeCell ref="B408:E408"/>
    <mergeCell ref="B422:E422"/>
    <mergeCell ref="X422:AA422"/>
    <mergeCell ref="X402:AA403"/>
    <mergeCell ref="B288:E288"/>
    <mergeCell ref="X390:AA390"/>
    <mergeCell ref="B393:E393"/>
    <mergeCell ref="B389:E389"/>
    <mergeCell ref="B390:E390"/>
    <mergeCell ref="G402:G403"/>
    <mergeCell ref="X308:AA308"/>
    <mergeCell ref="X325:AA325"/>
    <mergeCell ref="B330:E330"/>
    <mergeCell ref="C321:E322"/>
    <mergeCell ref="B306:E306"/>
    <mergeCell ref="X307:AA307"/>
    <mergeCell ref="H402:W402"/>
    <mergeCell ref="C402:E403"/>
    <mergeCell ref="B404:E404"/>
    <mergeCell ref="B376:E376"/>
    <mergeCell ref="B338:E338"/>
    <mergeCell ref="B361:E361"/>
    <mergeCell ref="B368:E368"/>
    <mergeCell ref="X419:AA419"/>
    <mergeCell ref="X313:AA313"/>
    <mergeCell ref="B167:E167"/>
    <mergeCell ref="X167:AA167"/>
    <mergeCell ref="B174:E174"/>
    <mergeCell ref="X174:AA174"/>
    <mergeCell ref="X264:AA264"/>
    <mergeCell ref="B286:E286"/>
    <mergeCell ref="B172:E172"/>
    <mergeCell ref="X314:AA314"/>
    <mergeCell ref="B375:E375"/>
    <mergeCell ref="B344:E344"/>
    <mergeCell ref="B345:E345"/>
    <mergeCell ref="X389:AA389"/>
    <mergeCell ref="B346:E346"/>
    <mergeCell ref="B371:E371"/>
    <mergeCell ref="B339:E339"/>
    <mergeCell ref="B386:E386"/>
    <mergeCell ref="B312:E312"/>
    <mergeCell ref="B315:E315"/>
    <mergeCell ref="B282:E282"/>
    <mergeCell ref="B388:E388"/>
    <mergeCell ref="B323:E323"/>
    <mergeCell ref="B350:E350"/>
    <mergeCell ref="B359:E359"/>
    <mergeCell ref="B314:E314"/>
    <mergeCell ref="B213:E213"/>
    <mergeCell ref="B274:E274"/>
    <mergeCell ref="B332:E332"/>
    <mergeCell ref="X239:AA240"/>
    <mergeCell ref="B336:E336"/>
    <mergeCell ref="X359:AA359"/>
    <mergeCell ref="B281:E281"/>
    <mergeCell ref="B310:E310"/>
    <mergeCell ref="B208:E208"/>
    <mergeCell ref="B357:E357"/>
    <mergeCell ref="B354:E354"/>
    <mergeCell ref="B328:E328"/>
    <mergeCell ref="B362:E362"/>
    <mergeCell ref="B230:E230"/>
    <mergeCell ref="B214:E214"/>
    <mergeCell ref="B225:E225"/>
    <mergeCell ref="B227:E227"/>
    <mergeCell ref="X273:AA273"/>
    <mergeCell ref="B258:E258"/>
    <mergeCell ref="B289:E289"/>
    <mergeCell ref="B297:E297"/>
    <mergeCell ref="X281:AA281"/>
    <mergeCell ref="B351:E351"/>
    <mergeCell ref="B337:E337"/>
    <mergeCell ref="B347:E347"/>
    <mergeCell ref="B329:E329"/>
    <mergeCell ref="B356:E356"/>
    <mergeCell ref="B358:E358"/>
    <mergeCell ref="B341:E341"/>
    <mergeCell ref="B294:E294"/>
    <mergeCell ref="B296:E296"/>
    <mergeCell ref="B316:E316"/>
    <mergeCell ref="B326:E326"/>
    <mergeCell ref="B327:E327"/>
    <mergeCell ref="Q360:W360"/>
    <mergeCell ref="X303:AA303"/>
    <mergeCell ref="X299:AA299"/>
    <mergeCell ref="X311:AA311"/>
    <mergeCell ref="X306:AA306"/>
    <mergeCell ref="X328:AA328"/>
    <mergeCell ref="B478:E478"/>
    <mergeCell ref="B471:E471"/>
    <mergeCell ref="X486:AA486"/>
    <mergeCell ref="X498:AA498"/>
    <mergeCell ref="X487:AA487"/>
    <mergeCell ref="B487:E487"/>
    <mergeCell ref="X459:AA459"/>
    <mergeCell ref="X258:AA258"/>
    <mergeCell ref="B360:E360"/>
    <mergeCell ref="B325:E325"/>
    <mergeCell ref="B348:E348"/>
    <mergeCell ref="B353:E353"/>
    <mergeCell ref="X454:AA454"/>
    <mergeCell ref="B490:E490"/>
    <mergeCell ref="X424:AA424"/>
    <mergeCell ref="B415:E415"/>
    <mergeCell ref="X387:AA387"/>
    <mergeCell ref="B384:E384"/>
    <mergeCell ref="X360:AA360"/>
    <mergeCell ref="B377:E377"/>
    <mergeCell ref="B430:E430"/>
    <mergeCell ref="B457:E457"/>
    <mergeCell ref="B464:E464"/>
    <mergeCell ref="B429:E429"/>
    <mergeCell ref="B443:E443"/>
    <mergeCell ref="X417:AA417"/>
    <mergeCell ref="B372:E372"/>
    <mergeCell ref="B379:E379"/>
    <mergeCell ref="B275:E275"/>
    <mergeCell ref="B335:E335"/>
    <mergeCell ref="X290:AA290"/>
    <mergeCell ref="X312:AA312"/>
    <mergeCell ref="X453:AA453"/>
    <mergeCell ref="B434:E434"/>
    <mergeCell ref="B452:E452"/>
    <mergeCell ref="B442:E442"/>
    <mergeCell ref="B447:E447"/>
    <mergeCell ref="B449:E449"/>
    <mergeCell ref="X443:AA443"/>
    <mergeCell ref="X467:AA467"/>
    <mergeCell ref="X445:AA445"/>
    <mergeCell ref="B455:E455"/>
    <mergeCell ref="X450:AA450"/>
    <mergeCell ref="B436:E436"/>
    <mergeCell ref="X460:AA460"/>
    <mergeCell ref="B428:E428"/>
    <mergeCell ref="B466:E466"/>
    <mergeCell ref="X466:AA466"/>
    <mergeCell ref="B467:E467"/>
    <mergeCell ref="AF517:AH517"/>
    <mergeCell ref="H517:W517"/>
    <mergeCell ref="B516:W516"/>
    <mergeCell ref="B460:E460"/>
    <mergeCell ref="B486:E486"/>
    <mergeCell ref="B493:E493"/>
    <mergeCell ref="B492:E492"/>
    <mergeCell ref="B512:E512"/>
    <mergeCell ref="B495:E495"/>
    <mergeCell ref="B514:E514"/>
    <mergeCell ref="B499:E499"/>
    <mergeCell ref="B491:E491"/>
    <mergeCell ref="B513:E513"/>
    <mergeCell ref="X500:AA500"/>
    <mergeCell ref="X499:AA499"/>
    <mergeCell ref="B501:E501"/>
    <mergeCell ref="X497:AA497"/>
    <mergeCell ref="B506:E506"/>
    <mergeCell ref="B494:E494"/>
    <mergeCell ref="B477:E477"/>
    <mergeCell ref="B470:E470"/>
    <mergeCell ref="B475:E475"/>
    <mergeCell ref="B465:E465"/>
    <mergeCell ref="B469:E469"/>
    <mergeCell ref="X471:AA471"/>
    <mergeCell ref="B509:E509"/>
    <mergeCell ref="X509:AA509"/>
    <mergeCell ref="X514:AA514"/>
    <mergeCell ref="X464:AA464"/>
    <mergeCell ref="I468:M470"/>
    <mergeCell ref="X461:AA461"/>
    <mergeCell ref="B468:E468"/>
    <mergeCell ref="AF626:AH626"/>
    <mergeCell ref="X465:AA465"/>
    <mergeCell ref="B548:E548"/>
    <mergeCell ref="B549:E549"/>
    <mergeCell ref="B543:E543"/>
    <mergeCell ref="B614:E614"/>
    <mergeCell ref="C626:E627"/>
    <mergeCell ref="B578:E578"/>
    <mergeCell ref="B610:E610"/>
    <mergeCell ref="B525:E525"/>
    <mergeCell ref="X626:AA627"/>
    <mergeCell ref="B626:B627"/>
    <mergeCell ref="F626:F627"/>
    <mergeCell ref="B625:W625"/>
    <mergeCell ref="B611:E611"/>
    <mergeCell ref="B535:E535"/>
    <mergeCell ref="B545:E545"/>
    <mergeCell ref="B577:E577"/>
    <mergeCell ref="B598:E598"/>
    <mergeCell ref="B596:E596"/>
    <mergeCell ref="B621:E621"/>
    <mergeCell ref="B536:E536"/>
    <mergeCell ref="B476:E476"/>
    <mergeCell ref="AF625:AH625"/>
    <mergeCell ref="B521:E521"/>
    <mergeCell ref="B571:E571"/>
    <mergeCell ref="X517:AA518"/>
    <mergeCell ref="C517:E518"/>
    <mergeCell ref="B576:E576"/>
    <mergeCell ref="B569:E569"/>
    <mergeCell ref="AF516:AH516"/>
    <mergeCell ref="AB517:AB518"/>
    <mergeCell ref="AB626:AB627"/>
    <mergeCell ref="X688:AA688"/>
    <mergeCell ref="V707:V708"/>
    <mergeCell ref="B635:E635"/>
    <mergeCell ref="X689:AA689"/>
    <mergeCell ref="B679:E679"/>
    <mergeCell ref="B612:E612"/>
    <mergeCell ref="B582:E582"/>
    <mergeCell ref="B681:E681"/>
    <mergeCell ref="B583:E583"/>
    <mergeCell ref="C718:G718"/>
    <mergeCell ref="AF700:AH700"/>
    <mergeCell ref="B581:E581"/>
    <mergeCell ref="B579:E579"/>
    <mergeCell ref="B649:E649"/>
    <mergeCell ref="B686:E686"/>
    <mergeCell ref="B669:E669"/>
    <mergeCell ref="B597:E597"/>
    <mergeCell ref="B607:E607"/>
    <mergeCell ref="B615:E615"/>
    <mergeCell ref="B613:E613"/>
    <mergeCell ref="B602:E602"/>
    <mergeCell ref="B655:E655"/>
    <mergeCell ref="B640:E640"/>
    <mergeCell ref="B628:E628"/>
    <mergeCell ref="X679:AA679"/>
    <mergeCell ref="X684:AA684"/>
    <mergeCell ref="X673:AA673"/>
    <mergeCell ref="X680:AA680"/>
    <mergeCell ref="X685:AA685"/>
    <mergeCell ref="X675:AA675"/>
    <mergeCell ref="X678:AA678"/>
    <mergeCell ref="B709:G709"/>
    <mergeCell ref="C720:I721"/>
    <mergeCell ref="C730:I736"/>
    <mergeCell ref="C719:G719"/>
    <mergeCell ref="I707:I708"/>
    <mergeCell ref="K707:K708"/>
    <mergeCell ref="B705:G705"/>
    <mergeCell ref="B688:E688"/>
    <mergeCell ref="B689:E689"/>
    <mergeCell ref="B641:E641"/>
    <mergeCell ref="B668:E668"/>
    <mergeCell ref="B675:E675"/>
    <mergeCell ref="X662:AA662"/>
    <mergeCell ref="AF729:AH729"/>
    <mergeCell ref="B707:G708"/>
    <mergeCell ref="B725:W727"/>
    <mergeCell ref="T707:T708"/>
    <mergeCell ref="AB646:AB647"/>
    <mergeCell ref="B674:E674"/>
    <mergeCell ref="B677:E677"/>
    <mergeCell ref="H646:W646"/>
    <mergeCell ref="B657:E657"/>
    <mergeCell ref="Q707:Q708"/>
    <mergeCell ref="G646:G647"/>
    <mergeCell ref="X669:AA669"/>
    <mergeCell ref="X667:AA667"/>
    <mergeCell ref="X665:AA665"/>
    <mergeCell ref="X668:AA668"/>
    <mergeCell ref="AF646:AH646"/>
    <mergeCell ref="X646:AA647"/>
    <mergeCell ref="B678:E678"/>
    <mergeCell ref="B562:W562"/>
    <mergeCell ref="B587:E587"/>
    <mergeCell ref="B617:E617"/>
    <mergeCell ref="B672:E672"/>
    <mergeCell ref="B666:E666"/>
    <mergeCell ref="B667:E667"/>
    <mergeCell ref="B580:E580"/>
    <mergeCell ref="B606:E606"/>
    <mergeCell ref="B605:E605"/>
    <mergeCell ref="X659:AA659"/>
    <mergeCell ref="B592:E592"/>
    <mergeCell ref="B629:E629"/>
    <mergeCell ref="AF743:AH743"/>
    <mergeCell ref="O707:O708"/>
    <mergeCell ref="L707:L708"/>
    <mergeCell ref="P707:P708"/>
    <mergeCell ref="C729:I729"/>
    <mergeCell ref="C737:G737"/>
    <mergeCell ref="C738:G738"/>
    <mergeCell ref="M707:M708"/>
    <mergeCell ref="B698:E698"/>
    <mergeCell ref="B696:E696"/>
    <mergeCell ref="B706:W706"/>
    <mergeCell ref="B637:E637"/>
    <mergeCell ref="B683:E683"/>
    <mergeCell ref="B648:E648"/>
    <mergeCell ref="B645:W645"/>
    <mergeCell ref="B646:B647"/>
    <mergeCell ref="B656:E656"/>
    <mergeCell ref="B650:E650"/>
    <mergeCell ref="B682:E682"/>
    <mergeCell ref="X511:AA511"/>
    <mergeCell ref="B524:E524"/>
    <mergeCell ref="B526:E526"/>
    <mergeCell ref="B450:E450"/>
    <mergeCell ref="X484:AA484"/>
    <mergeCell ref="X485:AA485"/>
    <mergeCell ref="B676:E676"/>
    <mergeCell ref="B671:E671"/>
    <mergeCell ref="B634:E634"/>
    <mergeCell ref="B639:E639"/>
    <mergeCell ref="B665:E665"/>
    <mergeCell ref="X661:AA661"/>
    <mergeCell ref="X672:AA672"/>
    <mergeCell ref="B572:E572"/>
    <mergeCell ref="B552:E552"/>
    <mergeCell ref="B551:E551"/>
    <mergeCell ref="B574:E574"/>
    <mergeCell ref="B651:E651"/>
    <mergeCell ref="B636:E636"/>
    <mergeCell ref="B599:E599"/>
    <mergeCell ref="B570:E570"/>
    <mergeCell ref="B608:E608"/>
    <mergeCell ref="B603:E603"/>
    <mergeCell ref="B609:E609"/>
    <mergeCell ref="B623:E623"/>
    <mergeCell ref="B510:E510"/>
    <mergeCell ref="X510:AA510"/>
    <mergeCell ref="B618:E618"/>
    <mergeCell ref="B541:E541"/>
    <mergeCell ref="B633:E633"/>
    <mergeCell ref="B630:E630"/>
    <mergeCell ref="B632:E632"/>
    <mergeCell ref="X501:AA501"/>
    <mergeCell ref="B458:E458"/>
    <mergeCell ref="X458:AA458"/>
    <mergeCell ref="X159:AA160"/>
    <mergeCell ref="B192:E192"/>
    <mergeCell ref="B182:E182"/>
    <mergeCell ref="X423:AA423"/>
    <mergeCell ref="B169:E169"/>
    <mergeCell ref="B164:E164"/>
    <mergeCell ref="B195:E195"/>
    <mergeCell ref="X513:AA513"/>
    <mergeCell ref="H626:W626"/>
    <mergeCell ref="B500:E500"/>
    <mergeCell ref="B527:E527"/>
    <mergeCell ref="B488:E488"/>
    <mergeCell ref="B529:E529"/>
    <mergeCell ref="B462:E462"/>
    <mergeCell ref="B298:E298"/>
    <mergeCell ref="B302:E302"/>
    <mergeCell ref="B620:E620"/>
    <mergeCell ref="B594:E594"/>
    <mergeCell ref="B588:E588"/>
    <mergeCell ref="B589:E589"/>
    <mergeCell ref="B591:E591"/>
    <mergeCell ref="B523:E523"/>
    <mergeCell ref="B585:E585"/>
    <mergeCell ref="B528:E528"/>
    <mergeCell ref="B533:E533"/>
    <mergeCell ref="B567:E567"/>
    <mergeCell ref="X462:AA462"/>
    <mergeCell ref="X496:AA496"/>
    <mergeCell ref="B595:E595"/>
    <mergeCell ref="X488:AA488"/>
    <mergeCell ref="G159:G160"/>
    <mergeCell ref="X155:AA155"/>
    <mergeCell ref="X161:AA161"/>
    <mergeCell ref="X140:AA140"/>
    <mergeCell ref="X141:AA141"/>
    <mergeCell ref="B178:E178"/>
    <mergeCell ref="X191:AA191"/>
    <mergeCell ref="B204:E204"/>
    <mergeCell ref="B186:E186"/>
    <mergeCell ref="X180:AA180"/>
    <mergeCell ref="X177:AA177"/>
    <mergeCell ref="B193:E193"/>
    <mergeCell ref="F159:F160"/>
    <mergeCell ref="B159:B160"/>
    <mergeCell ref="B161:E161"/>
    <mergeCell ref="B166:E166"/>
    <mergeCell ref="X166:AA166"/>
    <mergeCell ref="B146:E146"/>
    <mergeCell ref="X154:AA154"/>
    <mergeCell ref="X153:AA153"/>
    <mergeCell ref="X442:AA442"/>
    <mergeCell ref="X420:AA420"/>
    <mergeCell ref="B412:E412"/>
    <mergeCell ref="X426:AA426"/>
    <mergeCell ref="B448:E448"/>
    <mergeCell ref="B451:E451"/>
    <mergeCell ref="B433:E433"/>
    <mergeCell ref="X451:AA451"/>
    <mergeCell ref="X449:AA449"/>
    <mergeCell ref="X463:AA463"/>
    <mergeCell ref="X455:AA455"/>
    <mergeCell ref="X187:AA187"/>
    <mergeCell ref="X143:AA143"/>
    <mergeCell ref="B144:E144"/>
    <mergeCell ref="B154:E154"/>
    <mergeCell ref="B191:E191"/>
    <mergeCell ref="B770:W770"/>
    <mergeCell ref="B757:W757"/>
    <mergeCell ref="B742:W742"/>
    <mergeCell ref="B740:W740"/>
    <mergeCell ref="B761:W768"/>
    <mergeCell ref="B743:W743"/>
    <mergeCell ref="B756:W756"/>
    <mergeCell ref="B754:W754"/>
    <mergeCell ref="B759:W759"/>
    <mergeCell ref="B747:W750"/>
    <mergeCell ref="B752:W753"/>
    <mergeCell ref="B746:W746"/>
    <mergeCell ref="B744:W744"/>
    <mergeCell ref="S707:S708"/>
    <mergeCell ref="C717:G717"/>
    <mergeCell ref="B690:E690"/>
    <mergeCell ref="N707:N708"/>
    <mergeCell ref="H707:H708"/>
    <mergeCell ref="B697:E697"/>
    <mergeCell ref="U707:U708"/>
    <mergeCell ref="C716:I716"/>
    <mergeCell ref="B714:J714"/>
    <mergeCell ref="W707:W708"/>
    <mergeCell ref="B703:G703"/>
    <mergeCell ref="B700:W700"/>
    <mergeCell ref="R707:R708"/>
    <mergeCell ref="X512:AA512"/>
    <mergeCell ref="J707:J708"/>
    <mergeCell ref="X472:AA472"/>
    <mergeCell ref="B472:E472"/>
    <mergeCell ref="B461:E461"/>
    <mergeCell ref="B474:E474"/>
    <mergeCell ref="B385:E385"/>
    <mergeCell ref="B411:E411"/>
    <mergeCell ref="B410:E410"/>
    <mergeCell ref="X452:AA452"/>
    <mergeCell ref="B419:E419"/>
    <mergeCell ref="X385:AA385"/>
    <mergeCell ref="X388:AA388"/>
    <mergeCell ref="B438:E438"/>
    <mergeCell ref="X386:AA386"/>
    <mergeCell ref="X425:AA425"/>
    <mergeCell ref="B687:E687"/>
    <mergeCell ref="B702:G702"/>
    <mergeCell ref="B694:E694"/>
    <mergeCell ref="B684:E684"/>
    <mergeCell ref="B673:E673"/>
    <mergeCell ref="B680:E680"/>
    <mergeCell ref="B685:E685"/>
    <mergeCell ref="B454:E454"/>
    <mergeCell ref="B537:E537"/>
    <mergeCell ref="B522:E522"/>
    <mergeCell ref="B520:E520"/>
    <mergeCell ref="B423:E423"/>
    <mergeCell ref="B424:E424"/>
    <mergeCell ref="B416:E416"/>
    <mergeCell ref="B482:B483"/>
    <mergeCell ref="C482:E483"/>
    <mergeCell ref="F482:F483"/>
    <mergeCell ref="G482:G483"/>
    <mergeCell ref="B380:E380"/>
    <mergeCell ref="B407:E407"/>
    <mergeCell ref="B670:E670"/>
    <mergeCell ref="B441:E441"/>
    <mergeCell ref="B463:E463"/>
    <mergeCell ref="B547:E547"/>
    <mergeCell ref="B432:E432"/>
    <mergeCell ref="B503:E503"/>
    <mergeCell ref="B504:E504"/>
    <mergeCell ref="B502:E502"/>
    <mergeCell ref="G517:G518"/>
    <mergeCell ref="B532:E532"/>
    <mergeCell ref="B519:E519"/>
    <mergeCell ref="B593:E593"/>
    <mergeCell ref="B586:E586"/>
    <mergeCell ref="B590:E590"/>
    <mergeCell ref="B437:E437"/>
    <mergeCell ref="B427:E427"/>
    <mergeCell ref="B435:E435"/>
    <mergeCell ref="B406:E406"/>
    <mergeCell ref="B530:E530"/>
    <mergeCell ref="B489:E489"/>
    <mergeCell ref="B382:E382"/>
    <mergeCell ref="B387:E387"/>
    <mergeCell ref="B392:E392"/>
    <mergeCell ref="B398:E398"/>
    <mergeCell ref="B473:E473"/>
    <mergeCell ref="B426:E426"/>
    <mergeCell ref="B431:E431"/>
    <mergeCell ref="B453:E453"/>
    <mergeCell ref="B420:E420"/>
    <mergeCell ref="B331:E331"/>
    <mergeCell ref="B271:E271"/>
    <mergeCell ref="X324:AA324"/>
    <mergeCell ref="X301:AA301"/>
    <mergeCell ref="X276:AA276"/>
    <mergeCell ref="X277:AA277"/>
    <mergeCell ref="B425:E425"/>
    <mergeCell ref="B446:E446"/>
    <mergeCell ref="B283:E283"/>
    <mergeCell ref="B367:E367"/>
    <mergeCell ref="B374:E374"/>
    <mergeCell ref="B445:E445"/>
    <mergeCell ref="B303:E303"/>
    <mergeCell ref="B308:E308"/>
    <mergeCell ref="B301:E301"/>
    <mergeCell ref="B418:E418"/>
    <mergeCell ref="B363:E363"/>
    <mergeCell ref="B355:E355"/>
    <mergeCell ref="B395:E395"/>
    <mergeCell ref="B369:E369"/>
    <mergeCell ref="B352:E352"/>
    <mergeCell ref="B373:E373"/>
    <mergeCell ref="B340:E340"/>
    <mergeCell ref="B343:E343"/>
    <mergeCell ref="B394:E394"/>
    <mergeCell ref="B365:E365"/>
    <mergeCell ref="B342:E342"/>
    <mergeCell ref="B300:E300"/>
    <mergeCell ref="B334:E334"/>
    <mergeCell ref="B378:E378"/>
    <mergeCell ref="X421:AA421"/>
    <mergeCell ref="X418:AA418"/>
    <mergeCell ref="Q225:W225"/>
    <mergeCell ref="X169:AA169"/>
    <mergeCell ref="X175:AA175"/>
    <mergeCell ref="X164:AA164"/>
    <mergeCell ref="X189:AA189"/>
    <mergeCell ref="X243:AA243"/>
    <mergeCell ref="X185:AA185"/>
    <mergeCell ref="X172:AA172"/>
    <mergeCell ref="B224:E224"/>
    <mergeCell ref="B248:E248"/>
    <mergeCell ref="B198:E198"/>
    <mergeCell ref="B232:E232"/>
    <mergeCell ref="H186:K191"/>
    <mergeCell ref="B168:E168"/>
    <mergeCell ref="X168:AA168"/>
    <mergeCell ref="B173:E173"/>
    <mergeCell ref="B209:E209"/>
    <mergeCell ref="B215:E215"/>
    <mergeCell ref="H211:M211"/>
    <mergeCell ref="B226:E226"/>
    <mergeCell ref="B239:B240"/>
    <mergeCell ref="H239:W239"/>
    <mergeCell ref="X233:AA233"/>
    <mergeCell ref="B190:E190"/>
    <mergeCell ref="F238:J238"/>
    <mergeCell ref="B211:E211"/>
    <mergeCell ref="B233:E233"/>
    <mergeCell ref="B242:E242"/>
    <mergeCell ref="F239:F240"/>
    <mergeCell ref="C239:E240"/>
    <mergeCell ref="B245:E245"/>
    <mergeCell ref="B202:E202"/>
    <mergeCell ref="B364:E364"/>
    <mergeCell ref="B414:E414"/>
    <mergeCell ref="B413:E413"/>
    <mergeCell ref="B538:E538"/>
    <mergeCell ref="B539:E539"/>
    <mergeCell ref="B305:E305"/>
    <mergeCell ref="X305:AA305"/>
    <mergeCell ref="X309:AA309"/>
    <mergeCell ref="X304:AA304"/>
    <mergeCell ref="B299:E299"/>
    <mergeCell ref="B290:E290"/>
    <mergeCell ref="B277:E277"/>
    <mergeCell ref="B278:E278"/>
    <mergeCell ref="X257:AA257"/>
    <mergeCell ref="X300:AA300"/>
    <mergeCell ref="B304:E304"/>
    <mergeCell ref="X263:AA263"/>
    <mergeCell ref="X265:AA265"/>
    <mergeCell ref="X267:AA267"/>
    <mergeCell ref="F402:F403"/>
    <mergeCell ref="B311:E311"/>
    <mergeCell ref="B257:E257"/>
    <mergeCell ref="B276:E276"/>
    <mergeCell ref="B285:E285"/>
    <mergeCell ref="B349:E349"/>
    <mergeCell ref="B307:E307"/>
    <mergeCell ref="B273:E273"/>
    <mergeCell ref="B402:B403"/>
    <mergeCell ref="X317:AA317"/>
    <mergeCell ref="X271:AA271"/>
    <mergeCell ref="B265:E265"/>
    <mergeCell ref="B262:E262"/>
    <mergeCell ref="B241:E241"/>
    <mergeCell ref="X250:AA250"/>
    <mergeCell ref="X274:AA274"/>
    <mergeCell ref="X302:AA302"/>
    <mergeCell ref="B254:E254"/>
    <mergeCell ref="X242:AA242"/>
    <mergeCell ref="X286:AA286"/>
    <mergeCell ref="X288:AA288"/>
    <mergeCell ref="X287:AA287"/>
    <mergeCell ref="X255:AA255"/>
    <mergeCell ref="X248:AA248"/>
    <mergeCell ref="G321:G322"/>
    <mergeCell ref="F321:F322"/>
    <mergeCell ref="B279:E279"/>
    <mergeCell ref="B293:E293"/>
    <mergeCell ref="B292:E292"/>
    <mergeCell ref="X280:AA280"/>
    <mergeCell ref="X252:AA252"/>
    <mergeCell ref="X251:AA251"/>
    <mergeCell ref="X245:AA245"/>
    <mergeCell ref="B255:E255"/>
    <mergeCell ref="X253:AA253"/>
    <mergeCell ref="B264:E264"/>
    <mergeCell ref="B280:E280"/>
    <mergeCell ref="B272:E272"/>
    <mergeCell ref="X285:AA285"/>
    <mergeCell ref="X256:AA256"/>
    <mergeCell ref="B317:E317"/>
    <mergeCell ref="X270:AA270"/>
    <mergeCell ref="H285:M290"/>
    <mergeCell ref="X261:AA261"/>
    <mergeCell ref="X262:AA262"/>
    <mergeCell ref="B256:E256"/>
    <mergeCell ref="B295:E295"/>
    <mergeCell ref="B309:E309"/>
    <mergeCell ref="B284:E284"/>
    <mergeCell ref="X326:AA326"/>
    <mergeCell ref="B324:E324"/>
    <mergeCell ref="X289:AA289"/>
    <mergeCell ref="B313:E313"/>
    <mergeCell ref="B246:E246"/>
    <mergeCell ref="X246:AA246"/>
    <mergeCell ref="X323:AA323"/>
    <mergeCell ref="A702:A712"/>
    <mergeCell ref="B710:G710"/>
    <mergeCell ref="B691:E691"/>
    <mergeCell ref="B711:G711"/>
    <mergeCell ref="B692:E692"/>
    <mergeCell ref="B695:E695"/>
    <mergeCell ref="B712:G712"/>
    <mergeCell ref="B701:G701"/>
    <mergeCell ref="B704:G704"/>
    <mergeCell ref="X427:AA427"/>
    <mergeCell ref="B459:E459"/>
    <mergeCell ref="B456:E456"/>
    <mergeCell ref="F517:F518"/>
    <mergeCell ref="B693:E693"/>
    <mergeCell ref="F646:F647"/>
    <mergeCell ref="B638:E638"/>
    <mergeCell ref="X327:AA327"/>
    <mergeCell ref="X664:AA664"/>
    <mergeCell ref="B663:E663"/>
    <mergeCell ref="B662:E662"/>
    <mergeCell ref="B661:E661"/>
    <mergeCell ref="X671:AA671"/>
    <mergeCell ref="X670:AA670"/>
    <mergeCell ref="B664:E664"/>
    <mergeCell ref="X441:AA441"/>
    <mergeCell ref="B444:E444"/>
    <mergeCell ref="X444:AA444"/>
    <mergeCell ref="B370:E370"/>
    <mergeCell ref="I473:M478"/>
    <mergeCell ref="B654:E654"/>
    <mergeCell ref="B652:E652"/>
    <mergeCell ref="B660:E660"/>
    <mergeCell ref="B111:E111"/>
    <mergeCell ref="B101:E101"/>
    <mergeCell ref="X111:AA111"/>
    <mergeCell ref="B90:E90"/>
    <mergeCell ref="X135:AA135"/>
    <mergeCell ref="B132:E132"/>
    <mergeCell ref="B135:E135"/>
    <mergeCell ref="X136:AA136"/>
    <mergeCell ref="X73:AA73"/>
    <mergeCell ref="X126:AA126"/>
    <mergeCell ref="X122:AA122"/>
    <mergeCell ref="G107:O107"/>
    <mergeCell ref="X137:AA137"/>
    <mergeCell ref="X133:AA133"/>
    <mergeCell ref="X139:AA139"/>
    <mergeCell ref="X190:AA190"/>
    <mergeCell ref="B176:E176"/>
    <mergeCell ref="B140:E140"/>
    <mergeCell ref="B143:E143"/>
    <mergeCell ref="B175:E175"/>
    <mergeCell ref="X152:AA152"/>
    <mergeCell ref="B177:E177"/>
    <mergeCell ref="B188:E188"/>
    <mergeCell ref="B171:E171"/>
    <mergeCell ref="X171:AA171"/>
    <mergeCell ref="B139:E139"/>
    <mergeCell ref="B134:E134"/>
    <mergeCell ref="B84:E84"/>
    <mergeCell ref="X116:AA116"/>
    <mergeCell ref="B94:E94"/>
    <mergeCell ref="X108:AA108"/>
    <mergeCell ref="G114:K114"/>
    <mergeCell ref="X110:AA110"/>
    <mergeCell ref="B118:E118"/>
    <mergeCell ref="I110:W111"/>
    <mergeCell ref="B121:E121"/>
    <mergeCell ref="G121:K121"/>
    <mergeCell ref="X88:Z88"/>
    <mergeCell ref="X125:AA125"/>
    <mergeCell ref="B115:E115"/>
    <mergeCell ref="X115:AA115"/>
    <mergeCell ref="X107:AA107"/>
    <mergeCell ref="G108:M108"/>
    <mergeCell ref="B120:E120"/>
    <mergeCell ref="B73:E73"/>
    <mergeCell ref="X79:AA80"/>
    <mergeCell ref="X124:AA124"/>
    <mergeCell ref="B93:E93"/>
    <mergeCell ref="B106:E106"/>
    <mergeCell ref="G106:O106"/>
    <mergeCell ref="B96:E96"/>
    <mergeCell ref="X106:AA106"/>
    <mergeCell ref="B98:E98"/>
    <mergeCell ref="O95:W95"/>
    <mergeCell ref="B100:E100"/>
    <mergeCell ref="X114:AA114"/>
    <mergeCell ref="B81:E81"/>
    <mergeCell ref="B86:E86"/>
    <mergeCell ref="X112:AA112"/>
    <mergeCell ref="B104:E104"/>
    <mergeCell ref="X123:AA123"/>
    <mergeCell ref="F81:I91"/>
    <mergeCell ref="B110:E110"/>
    <mergeCell ref="B85:E85"/>
    <mergeCell ref="G112:K112"/>
    <mergeCell ref="I70:M70"/>
    <mergeCell ref="I71:M71"/>
    <mergeCell ref="B70:E70"/>
    <mergeCell ref="B71:E71"/>
    <mergeCell ref="X87:Z87"/>
    <mergeCell ref="B102:E102"/>
    <mergeCell ref="B64:E64"/>
    <mergeCell ref="B69:E69"/>
    <mergeCell ref="B79:B80"/>
    <mergeCell ref="B88:E88"/>
    <mergeCell ref="B155:E155"/>
    <mergeCell ref="B99:E99"/>
    <mergeCell ref="B109:E109"/>
    <mergeCell ref="B141:E141"/>
    <mergeCell ref="X119:AA119"/>
    <mergeCell ref="B131:E131"/>
    <mergeCell ref="X131:AA131"/>
    <mergeCell ref="X129:AA129"/>
    <mergeCell ref="B91:E91"/>
    <mergeCell ref="B97:E97"/>
    <mergeCell ref="G109:M109"/>
    <mergeCell ref="B138:E138"/>
    <mergeCell ref="B83:E83"/>
    <mergeCell ref="B122:E122"/>
    <mergeCell ref="B125:E125"/>
    <mergeCell ref="B82:E82"/>
    <mergeCell ref="X83:Z83"/>
    <mergeCell ref="B108:E108"/>
    <mergeCell ref="B142:E142"/>
    <mergeCell ref="B148:E148"/>
    <mergeCell ref="B67:E67"/>
    <mergeCell ref="B22:E22"/>
    <mergeCell ref="B34:E34"/>
    <mergeCell ref="Q17:W17"/>
    <mergeCell ref="X33:AA33"/>
    <mergeCell ref="B24:E24"/>
    <mergeCell ref="X30:AA30"/>
    <mergeCell ref="B30:E30"/>
    <mergeCell ref="H37:K37"/>
    <mergeCell ref="X34:AA34"/>
    <mergeCell ref="G79:G80"/>
    <mergeCell ref="B55:E55"/>
    <mergeCell ref="X70:AA70"/>
    <mergeCell ref="B15:E15"/>
    <mergeCell ref="X36:AA36"/>
    <mergeCell ref="X32:AA32"/>
    <mergeCell ref="B58:E58"/>
    <mergeCell ref="X27:AA27"/>
    <mergeCell ref="H42:K42"/>
    <mergeCell ref="F79:F80"/>
    <mergeCell ref="X46:AA46"/>
    <mergeCell ref="X41:AA41"/>
    <mergeCell ref="H46:K46"/>
    <mergeCell ref="B40:E40"/>
    <mergeCell ref="X44:AA44"/>
    <mergeCell ref="X37:AA37"/>
    <mergeCell ref="X39:AA39"/>
    <mergeCell ref="C79:E80"/>
    <mergeCell ref="B74:E74"/>
    <mergeCell ref="B60:E60"/>
    <mergeCell ref="H48:K48"/>
    <mergeCell ref="B61:E61"/>
    <mergeCell ref="B65:E65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AE5:AI7"/>
    <mergeCell ref="AF10:AH10"/>
    <mergeCell ref="B10:E10"/>
    <mergeCell ref="B11:E11"/>
    <mergeCell ref="AB8:AB9"/>
    <mergeCell ref="C8:E9"/>
    <mergeCell ref="B12:E12"/>
    <mergeCell ref="B20:E20"/>
    <mergeCell ref="AF15:AI15"/>
    <mergeCell ref="AF19:AI19"/>
    <mergeCell ref="AF20:AJ20"/>
    <mergeCell ref="B14:E14"/>
    <mergeCell ref="B25:E25"/>
    <mergeCell ref="G8:G9"/>
    <mergeCell ref="X35:AA35"/>
    <mergeCell ref="X18:AA18"/>
    <mergeCell ref="B21:E21"/>
    <mergeCell ref="AF22:AI22"/>
    <mergeCell ref="AF21:AI21"/>
    <mergeCell ref="AF25:AJ25"/>
    <mergeCell ref="B27:E27"/>
    <mergeCell ref="B26:E26"/>
    <mergeCell ref="AF17:AJ17"/>
    <mergeCell ref="B18:E18"/>
    <mergeCell ref="AF16:AI16"/>
    <mergeCell ref="AF18:AJ18"/>
    <mergeCell ref="AF13:AH13"/>
    <mergeCell ref="B19:E19"/>
    <mergeCell ref="B16:E16"/>
    <mergeCell ref="B17:E17"/>
    <mergeCell ref="X19:AA19"/>
    <mergeCell ref="X20:AA20"/>
    <mergeCell ref="B35:E35"/>
    <mergeCell ref="B29:E29"/>
    <mergeCell ref="B33:E33"/>
    <mergeCell ref="H34:K34"/>
    <mergeCell ref="X16:AA16"/>
    <mergeCell ref="Q16:W16"/>
    <mergeCell ref="B23:E23"/>
    <mergeCell ref="AF29:AJ29"/>
    <mergeCell ref="AF27:AJ27"/>
    <mergeCell ref="AF26:AI26"/>
    <mergeCell ref="AF23:AI23"/>
    <mergeCell ref="B39:E39"/>
    <mergeCell ref="B95:E95"/>
    <mergeCell ref="B28:E28"/>
    <mergeCell ref="B38:E38"/>
    <mergeCell ref="B41:E41"/>
    <mergeCell ref="B46:E46"/>
    <mergeCell ref="H30:K30"/>
    <mergeCell ref="B43:E43"/>
    <mergeCell ref="X42:AA42"/>
    <mergeCell ref="H40:K40"/>
    <mergeCell ref="B44:E44"/>
    <mergeCell ref="H44:K44"/>
    <mergeCell ref="X40:AA40"/>
    <mergeCell ref="H32:K32"/>
    <mergeCell ref="AF24:AI24"/>
    <mergeCell ref="H43:K43"/>
    <mergeCell ref="F50:I53"/>
    <mergeCell ref="AB79:AB80"/>
    <mergeCell ref="B62:E62"/>
    <mergeCell ref="B53:E53"/>
    <mergeCell ref="B59:E59"/>
    <mergeCell ref="AF28:AJ28"/>
    <mergeCell ref="H45:K45"/>
    <mergeCell ref="H41:K41"/>
    <mergeCell ref="X25:AA25"/>
    <mergeCell ref="B68:E68"/>
    <mergeCell ref="B63:E63"/>
    <mergeCell ref="B42:E42"/>
    <mergeCell ref="H39:K39"/>
    <mergeCell ref="X43:AA43"/>
    <mergeCell ref="X38:AA38"/>
    <mergeCell ref="B45:E45"/>
    <mergeCell ref="B48:E48"/>
    <mergeCell ref="B124:E124"/>
    <mergeCell ref="B123:E123"/>
    <mergeCell ref="X109:AA109"/>
    <mergeCell ref="X118:AA118"/>
    <mergeCell ref="B119:E119"/>
    <mergeCell ref="B107:E107"/>
    <mergeCell ref="G117:K117"/>
    <mergeCell ref="G113:K113"/>
    <mergeCell ref="G120:K120"/>
    <mergeCell ref="G115:K115"/>
    <mergeCell ref="B145:E145"/>
    <mergeCell ref="B126:E126"/>
    <mergeCell ref="B136:E136"/>
    <mergeCell ref="I73:K73"/>
    <mergeCell ref="B56:E56"/>
    <mergeCell ref="X71:AA71"/>
    <mergeCell ref="X113:AA113"/>
    <mergeCell ref="B112:E112"/>
    <mergeCell ref="B57:E57"/>
    <mergeCell ref="I72:M72"/>
    <mergeCell ref="B87:E87"/>
    <mergeCell ref="X84:Z84"/>
    <mergeCell ref="B52:E52"/>
    <mergeCell ref="B54:E54"/>
    <mergeCell ref="B72:E72"/>
    <mergeCell ref="B105:E105"/>
    <mergeCell ref="AC137:AF137"/>
    <mergeCell ref="X31:AA31"/>
    <mergeCell ref="X45:AA45"/>
    <mergeCell ref="B36:E36"/>
    <mergeCell ref="H38:K38"/>
    <mergeCell ref="H36:K36"/>
    <mergeCell ref="B37:E37"/>
    <mergeCell ref="H33:K33"/>
    <mergeCell ref="H35:K35"/>
    <mergeCell ref="B31:E31"/>
    <mergeCell ref="B47:E47"/>
    <mergeCell ref="H47:K47"/>
    <mergeCell ref="B50:E50"/>
    <mergeCell ref="B51:E51"/>
    <mergeCell ref="B49:E49"/>
    <mergeCell ref="X49:AA49"/>
    <mergeCell ref="B92:E92"/>
    <mergeCell ref="H49:K49"/>
    <mergeCell ref="X48:AA48"/>
    <mergeCell ref="B75:E75"/>
    <mergeCell ref="X72:AA72"/>
    <mergeCell ref="B116:E116"/>
    <mergeCell ref="B89:E89"/>
    <mergeCell ref="X75:AA75"/>
    <mergeCell ref="X47:AA47"/>
    <mergeCell ref="B66:E66"/>
    <mergeCell ref="B114:E114"/>
    <mergeCell ref="B113:E113"/>
    <mergeCell ref="AF79:AH79"/>
    <mergeCell ref="B32:E32"/>
    <mergeCell ref="H31:K31"/>
    <mergeCell ref="H79:W79"/>
    <mergeCell ref="G116:K116"/>
    <mergeCell ref="G119:K119"/>
    <mergeCell ref="X132:AA132"/>
    <mergeCell ref="X134:AA134"/>
    <mergeCell ref="B133:E133"/>
    <mergeCell ref="X128:AA128"/>
    <mergeCell ref="X120:AA120"/>
    <mergeCell ref="B129:E129"/>
    <mergeCell ref="G122:K122"/>
    <mergeCell ref="X144:AA144"/>
    <mergeCell ref="B150:E150"/>
    <mergeCell ref="B117:E117"/>
    <mergeCell ref="G118:K118"/>
    <mergeCell ref="X145:AA145"/>
    <mergeCell ref="X138:AA138"/>
    <mergeCell ref="B130:E130"/>
    <mergeCell ref="B147:E147"/>
    <mergeCell ref="X121:AA121"/>
    <mergeCell ref="X130:AA130"/>
    <mergeCell ref="B149:E149"/>
    <mergeCell ref="B127:E127"/>
    <mergeCell ref="X127:AA127"/>
    <mergeCell ref="X117:AA117"/>
    <mergeCell ref="AF159:AH159"/>
    <mergeCell ref="B199:E199"/>
    <mergeCell ref="AB239:AB240"/>
    <mergeCell ref="B287:E287"/>
    <mergeCell ref="B333:E333"/>
    <mergeCell ref="X354:AA354"/>
    <mergeCell ref="B321:B322"/>
    <mergeCell ref="X353:AA353"/>
    <mergeCell ref="B153:E153"/>
    <mergeCell ref="X179:AA179"/>
    <mergeCell ref="B223:E223"/>
    <mergeCell ref="B244:E244"/>
    <mergeCell ref="H321:W321"/>
    <mergeCell ref="B181:E181"/>
    <mergeCell ref="I181:M184"/>
    <mergeCell ref="B206:E206"/>
    <mergeCell ref="B218:E218"/>
    <mergeCell ref="X272:AA272"/>
    <mergeCell ref="B203:E203"/>
    <mergeCell ref="B205:E205"/>
    <mergeCell ref="B253:E253"/>
    <mergeCell ref="AB159:AB160"/>
    <mergeCell ref="B210:E210"/>
    <mergeCell ref="B200:E200"/>
    <mergeCell ref="B270:E270"/>
    <mergeCell ref="B250:E250"/>
    <mergeCell ref="B266:E266"/>
    <mergeCell ref="B261:E261"/>
    <mergeCell ref="Q216:W216"/>
    <mergeCell ref="X254:AA254"/>
    <mergeCell ref="B249:E249"/>
    <mergeCell ref="B291:E291"/>
    <mergeCell ref="X244:AA244"/>
    <mergeCell ref="B229:E229"/>
    <mergeCell ref="B151:E151"/>
    <mergeCell ref="B137:E137"/>
    <mergeCell ref="H159:W159"/>
    <mergeCell ref="B207:E207"/>
    <mergeCell ref="C159:E160"/>
    <mergeCell ref="B152:E152"/>
    <mergeCell ref="B221:E221"/>
    <mergeCell ref="B396:E396"/>
    <mergeCell ref="B405:E405"/>
    <mergeCell ref="B440:E440"/>
    <mergeCell ref="X142:AA142"/>
    <mergeCell ref="X249:AA249"/>
    <mergeCell ref="X269:AA269"/>
    <mergeCell ref="B187:E187"/>
    <mergeCell ref="G199:S204"/>
    <mergeCell ref="X188:AA188"/>
    <mergeCell ref="B220:E220"/>
    <mergeCell ref="B231:E231"/>
    <mergeCell ref="B180:E180"/>
    <mergeCell ref="X186:AA186"/>
    <mergeCell ref="B219:E219"/>
    <mergeCell ref="B216:E216"/>
    <mergeCell ref="B170:E170"/>
    <mergeCell ref="X170:AA170"/>
    <mergeCell ref="B260:E260"/>
    <mergeCell ref="X260:AA260"/>
    <mergeCell ref="B228:E228"/>
    <mergeCell ref="B269:E269"/>
    <mergeCell ref="B247:E247"/>
    <mergeCell ref="X266:AA266"/>
    <mergeCell ref="B485:E485"/>
    <mergeCell ref="B531:E531"/>
    <mergeCell ref="B497:E497"/>
    <mergeCell ref="B517:B518"/>
    <mergeCell ref="B511:E511"/>
    <mergeCell ref="B507:E507"/>
    <mergeCell ref="B575:E575"/>
    <mergeCell ref="B550:E550"/>
    <mergeCell ref="B484:E484"/>
    <mergeCell ref="B658:E658"/>
    <mergeCell ref="B653:E653"/>
    <mergeCell ref="B534:E534"/>
    <mergeCell ref="B566:E566"/>
    <mergeCell ref="B573:E573"/>
    <mergeCell ref="B659:E659"/>
    <mergeCell ref="G626:G627"/>
    <mergeCell ref="B584:E584"/>
    <mergeCell ref="B565:E565"/>
    <mergeCell ref="B619:E619"/>
    <mergeCell ref="B600:E600"/>
    <mergeCell ref="B496:E496"/>
    <mergeCell ref="B498:E498"/>
    <mergeCell ref="B540:E540"/>
    <mergeCell ref="B631:E631"/>
    <mergeCell ref="C646:E647"/>
    <mergeCell ref="B568:E568"/>
    <mergeCell ref="B505:E505"/>
    <mergeCell ref="B508:E508"/>
    <mergeCell ref="B601:E601"/>
    <mergeCell ref="B616:E616"/>
    <mergeCell ref="B546:E546"/>
    <mergeCell ref="B544:E544"/>
    <mergeCell ref="AF482:AH482"/>
    <mergeCell ref="AF562:AH562"/>
    <mergeCell ref="B563:B564"/>
    <mergeCell ref="C563:E564"/>
    <mergeCell ref="F563:F564"/>
    <mergeCell ref="G563:G564"/>
    <mergeCell ref="H563:W563"/>
    <mergeCell ref="X563:AA564"/>
    <mergeCell ref="AB563:AB564"/>
    <mergeCell ref="AF563:AH563"/>
    <mergeCell ref="X482:AA483"/>
    <mergeCell ref="B604:E604"/>
    <mergeCell ref="B622:E622"/>
    <mergeCell ref="X163:AA163"/>
    <mergeCell ref="X247:AA247"/>
    <mergeCell ref="B252:E252"/>
    <mergeCell ref="B201:E201"/>
    <mergeCell ref="AF402:AH402"/>
    <mergeCell ref="AB402:AB403"/>
    <mergeCell ref="AF321:AH321"/>
    <mergeCell ref="AF239:AH239"/>
    <mergeCell ref="AB321:AB322"/>
    <mergeCell ref="X321:AA322"/>
    <mergeCell ref="X310:AA310"/>
    <mergeCell ref="B409:E409"/>
    <mergeCell ref="B366:E366"/>
    <mergeCell ref="B417:E417"/>
    <mergeCell ref="B267:E267"/>
    <mergeCell ref="B259:E259"/>
    <mergeCell ref="X259:AA259"/>
    <mergeCell ref="B542:E542"/>
    <mergeCell ref="H482:W482"/>
    <mergeCell ref="B103:E103"/>
    <mergeCell ref="Q224:W224"/>
    <mergeCell ref="B263:E263"/>
    <mergeCell ref="B165:E165"/>
    <mergeCell ref="X165:AA165"/>
    <mergeCell ref="B268:E268"/>
    <mergeCell ref="X268:AA268"/>
    <mergeCell ref="B196:E196"/>
    <mergeCell ref="AB482:AB483"/>
    <mergeCell ref="B183:E183"/>
    <mergeCell ref="B189:E189"/>
    <mergeCell ref="B179:E179"/>
    <mergeCell ref="B243:E243"/>
    <mergeCell ref="B212:E212"/>
    <mergeCell ref="X234:AA234"/>
    <mergeCell ref="X178:AA178"/>
    <mergeCell ref="X241:AA241"/>
    <mergeCell ref="B235:E235"/>
    <mergeCell ref="X235:AA235"/>
    <mergeCell ref="B194:E194"/>
    <mergeCell ref="B217:E217"/>
    <mergeCell ref="B234:E234"/>
    <mergeCell ref="B185:E185"/>
    <mergeCell ref="B184:E184"/>
    <mergeCell ref="B197:E197"/>
    <mergeCell ref="B439:E439"/>
    <mergeCell ref="B222:E222"/>
    <mergeCell ref="B128:E128"/>
    <mergeCell ref="B162:E162"/>
    <mergeCell ref="B163:E163"/>
    <mergeCell ref="G239:G240"/>
    <mergeCell ref="B251:E251"/>
  </mergeCells>
  <phoneticPr fontId="0" type="noConversion"/>
  <hyperlinks>
    <hyperlink ref="AB12" r:id="rId1" display="https://www.jivi.com.ar/ficha.php?id=27"/>
    <hyperlink ref="AB27" r:id="rId2" display="https://www.jivi.com.ar/ficha.php?id=660"/>
    <hyperlink ref="AB34" r:id="rId3"/>
    <hyperlink ref="AB33" r:id="rId4"/>
    <hyperlink ref="AB32" r:id="rId5"/>
    <hyperlink ref="AB31" r:id="rId6"/>
    <hyperlink ref="AB30" r:id="rId7"/>
    <hyperlink ref="AB50" r:id="rId8"/>
    <hyperlink ref="AB51" r:id="rId9"/>
    <hyperlink ref="AB54" r:id="rId10" display="https://www.jivi.com.ar/ficha.php?id=41"/>
    <hyperlink ref="AB55" r:id="rId11" display="https://www.jivi.com.ar/ficha.php?id=42"/>
    <hyperlink ref="AB56" r:id="rId12" display="https://www.jivi.com.ar/ficha.php?id=649"/>
    <hyperlink ref="AB57" r:id="rId13" display="https://www.jivi.com.ar/ficha.php?id=650"/>
    <hyperlink ref="AB65" r:id="rId14" display="https://www.jivi.com.ar/ficha.php?id=164"/>
    <hyperlink ref="AB69" r:id="rId15" display="https://www.jivi.com.ar/ficha.php?id=77"/>
    <hyperlink ref="AB71" r:id="rId16"/>
    <hyperlink ref="AB73" r:id="rId17"/>
    <hyperlink ref="AB74" r:id="rId18"/>
    <hyperlink ref="AC81" r:id="rId19"/>
    <hyperlink ref="AD81" r:id="rId20"/>
    <hyperlink ref="AE81" r:id="rId21"/>
    <hyperlink ref="AF81" r:id="rId22"/>
    <hyperlink ref="AG81" r:id="rId23"/>
    <hyperlink ref="AC82" r:id="rId24"/>
    <hyperlink ref="AD82" r:id="rId25"/>
    <hyperlink ref="AE82" r:id="rId26"/>
    <hyperlink ref="AF82" r:id="rId27"/>
    <hyperlink ref="AG82" r:id="rId28"/>
    <hyperlink ref="AH82" r:id="rId29"/>
    <hyperlink ref="AC83" r:id="rId30"/>
    <hyperlink ref="AD83" r:id="rId31"/>
    <hyperlink ref="AE83" r:id="rId32"/>
    <hyperlink ref="AF83" r:id="rId33"/>
    <hyperlink ref="AH83" r:id="rId34"/>
    <hyperlink ref="AG83" r:id="rId35"/>
    <hyperlink ref="AC84" r:id="rId36"/>
    <hyperlink ref="AD84" r:id="rId37"/>
    <hyperlink ref="AE84" r:id="rId38"/>
    <hyperlink ref="AF84" r:id="rId39"/>
    <hyperlink ref="AC85" r:id="rId40"/>
    <hyperlink ref="AD85" r:id="rId41"/>
    <hyperlink ref="AE85" r:id="rId42"/>
    <hyperlink ref="AF85" r:id="rId43"/>
    <hyperlink ref="AG85" r:id="rId44"/>
    <hyperlink ref="AC86" r:id="rId45"/>
    <hyperlink ref="AD86" r:id="rId46"/>
    <hyperlink ref="AE86" r:id="rId47"/>
    <hyperlink ref="AC87" r:id="rId48"/>
    <hyperlink ref="AD87" r:id="rId49"/>
    <hyperlink ref="AE87" r:id="rId50"/>
    <hyperlink ref="AF87" r:id="rId51"/>
    <hyperlink ref="AG87" r:id="rId52"/>
    <hyperlink ref="AH87" r:id="rId53"/>
    <hyperlink ref="AB88" r:id="rId54"/>
    <hyperlink ref="AB89" r:id="rId55"/>
    <hyperlink ref="AB90" r:id="rId56"/>
    <hyperlink ref="AC91" r:id="rId57"/>
    <hyperlink ref="AD91" r:id="rId58"/>
    <hyperlink ref="AE91" r:id="rId59"/>
    <hyperlink ref="AF91" r:id="rId60"/>
    <hyperlink ref="AG91" r:id="rId61"/>
    <hyperlink ref="AB333" r:id="rId62" display="https://www.jivi.com.ar/ficha.php?id=187"/>
    <hyperlink ref="AB335" r:id="rId63" display="https://www.jivi.com.ar/ficha.php?id=4"/>
    <hyperlink ref="AB346" r:id="rId64" display="https://www.jivi.com.ar/ficha.php?id=55"/>
    <hyperlink ref="AB349" r:id="rId65" display="https://www.jivi.com.ar/ficha.php?id=209"/>
    <hyperlink ref="AB350" r:id="rId66"/>
    <hyperlink ref="AB358" r:id="rId67" display="https://www.jivi.com.ar/ficha.php?id=60"/>
    <hyperlink ref="AB360" r:id="rId68" display="https://www.jivi.com.ar/ficha.php?id=380"/>
    <hyperlink ref="AB364" r:id="rId69" display="https://www.jivi.com.ar/ficha.php?id=548"/>
    <hyperlink ref="AB365" r:id="rId70"/>
    <hyperlink ref="AB368" r:id="rId71" display="https://www.jivi.com.ar/ficha.php?id=719"/>
    <hyperlink ref="AB101" r:id="rId72" display="https://www.jivi.com.ar/ficha.php?id=326"/>
    <hyperlink ref="AB105" r:id="rId73" display="https://www.jivi.com.ar/ficha.php?id=134"/>
    <hyperlink ref="AB135" r:id="rId74" display="https://www.jivi.com.ar/ficha.php?id=394"/>
    <hyperlink ref="AB136" r:id="rId75" display="https://www.jivi.com.ar/ficha.php?id=145"/>
    <hyperlink ref="AB139" r:id="rId76" display="https://www.jivi.com.ar/ficha.php?id=18"/>
    <hyperlink ref="AB143" r:id="rId77" display="https://www.jivi.com.ar/ficha.php?id=19"/>
    <hyperlink ref="AB146" r:id="rId78" display="https://www.jivi.com.ar/ficha.php?id=142"/>
    <hyperlink ref="AB147" r:id="rId79" display="https://www.jivi.com.ar/ficha.php?id=392"/>
    <hyperlink ref="AB148" r:id="rId80" display="https://www.jivi.com.ar/ficha.php?id=393"/>
    <hyperlink ref="AB181" r:id="rId81" display="https://www.jivi.com.ar/ficha.php?id=135"/>
    <hyperlink ref="AB182" r:id="rId82" display="https://www.jivi.com.ar/ficha.php?id=136"/>
    <hyperlink ref="AB183" r:id="rId83" display="https://www.jivi.com.ar/ficha.php?id=137"/>
    <hyperlink ref="AB184" r:id="rId84" display="https://www.jivi.com.ar/ficha.php?id=138"/>
    <hyperlink ref="AB192" r:id="rId85" display="https://www.jivi.com.ar/ficha.php?id=245"/>
    <hyperlink ref="AB211" r:id="rId86" display="https://www.jivi.com.ar/ficha.php?id=166"/>
    <hyperlink ref="AB212" r:id="rId87" display="https://www.jivi.com.ar/ficha.php?id=171"/>
    <hyperlink ref="AB216" r:id="rId88" display="https://www.jivi.com.ar/ficha.php?id=168"/>
    <hyperlink ref="AB222" r:id="rId89" display="https://www.jivi.com.ar/ficha.php?id=169"/>
    <hyperlink ref="AB224" r:id="rId90" display="https://www.jivi.com.ar/ficha.php?id=148"/>
    <hyperlink ref="AB225" r:id="rId91" display="https://www.jivi.com.ar/ficha.php?id=158"/>
    <hyperlink ref="AB667" r:id="rId92" display="https://www.jivi.com.ar/ficha.php?id=621"/>
    <hyperlink ref="AB668" r:id="rId93" display="https://www.jivi.com.ar/ficha.php?id=622"/>
    <hyperlink ref="AB95" r:id="rId94" display="https://www.jivi.com.ar/ficha.php?id=456"/>
    <hyperlink ref="AB284" r:id="rId95" display="https://www.jivi.com.ar/ficha.php?id=246"/>
    <hyperlink ref="AB453" r:id="rId96" display="https://www.jivi.com.ar/ficha.php?id=431"/>
    <hyperlink ref="AB457" r:id="rId97" display="https://www.jivi.com.ar/ficha.php?id=728"/>
    <hyperlink ref="AB473" r:id="rId98"/>
    <hyperlink ref="AB475" r:id="rId99"/>
    <hyperlink ref="AB489" r:id="rId100"/>
    <hyperlink ref="AB491" r:id="rId101"/>
    <hyperlink ref="AB494" r:id="rId102"/>
    <hyperlink ref="AB495" r:id="rId103"/>
    <hyperlink ref="AB496" r:id="rId104"/>
    <hyperlink ref="AB498" r:id="rId105"/>
    <hyperlink ref="AB499" r:id="rId106"/>
    <hyperlink ref="AB501" r:id="rId107"/>
    <hyperlink ref="AB506" r:id="rId108"/>
    <hyperlink ref="AB507" r:id="rId109"/>
    <hyperlink ref="AB649" r:id="rId110"/>
    <hyperlink ref="AB655" r:id="rId111"/>
    <hyperlink ref="AB656" r:id="rId112"/>
    <hyperlink ref="AB97" r:id="rId113" display="https://www.jivi.com.ar/ficha.php?id=234"/>
    <hyperlink ref="AB340" r:id="rId114" display="https://www.jivi.com.ar/ficha.php?id=51"/>
    <hyperlink ref="AB351" r:id="rId115"/>
    <hyperlink ref="B7:V7" location="'Artículos Publicitarios'!A686" display="PARA IR A LOS RECARGOS POR IMPRESIONES ADICIONALES CLICK AQUÍ"/>
    <hyperlink ref="AB477" r:id="rId116"/>
    <hyperlink ref="AC52" r:id="rId117"/>
    <hyperlink ref="AD52" r:id="rId118"/>
    <hyperlink ref="AE52" r:id="rId119"/>
    <hyperlink ref="B7:W7" location="'Artículos Publicitarios'!A719" display="PARA IR A LOS RECARGOS POR IMPRESIONES ADICIONALES CLICK AQUÍ"/>
    <hyperlink ref="AB233" r:id="rId120" display="https://www.jivi.com.ar/ficha.php?id=840"/>
    <hyperlink ref="AE2:AF2" location="'Artículos Publicitarios'!A839" display="CLICK AQUÍ"/>
    <hyperlink ref="AE2" location="'Artículos Publicitarios'!A833" display="CLICK AQUÍ"/>
    <hyperlink ref="AB544" r:id="rId121" display="https://www.jivi.com.ar/ficha.php?id=846"/>
    <hyperlink ref="AB25" r:id="rId122" display="https://www.jivi.com.ar/ficha.php?id=848"/>
    <hyperlink ref="AB75" r:id="rId123"/>
    <hyperlink ref="AE2:AG2" location="'Artículos Publicitarios'!A780" display="CLICK AQUÍ"/>
    <hyperlink ref="B770:W770" location="'Artículos Publicitarios'!A3" display="PARA SUBIR AL PRINCIPIO DE LA LISTA CLICK AQUÍ"/>
    <hyperlink ref="AB278" r:id="rId124" display="https://www.jivi.com.ar/ficha.php?id=862"/>
    <hyperlink ref="AB43" r:id="rId125"/>
    <hyperlink ref="AB149" r:id="rId126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21:AH321" location="'Artículos Publicitarios'!A3" display="IR A PAGINA 1"/>
    <hyperlink ref="AF402:AH402" location="'Artículos Publicitarios'!A3" display="IR A PAGINA 1"/>
    <hyperlink ref="AB671" r:id="rId127" display="https://www.jivi.com.ar/ficha.php?id=903"/>
    <hyperlink ref="AB20" r:id="rId128"/>
    <hyperlink ref="AB345" r:id="rId129" display="https://www.jivi.com.ar/ficha.php?id=916"/>
    <hyperlink ref="AB664" r:id="rId130" display="https://www.jivi.com.ar/ficha.php?id=918"/>
    <hyperlink ref="AB336" r:id="rId131" display="https://www.jivi.com.ar/ficha.php?id=926"/>
    <hyperlink ref="AB66" r:id="rId132"/>
    <hyperlink ref="AB471" r:id="rId133"/>
    <hyperlink ref="AB185" r:id="rId134" display="https://www.jivi.com.ar/ficha.php?id=948"/>
    <hyperlink ref="AB347" r:id="rId135" display="https://www.jivi.com.ar/ficha.php?id=954"/>
    <hyperlink ref="AB130" r:id="rId136"/>
    <hyperlink ref="AB132" r:id="rId137"/>
    <hyperlink ref="AB131" r:id="rId138"/>
    <hyperlink ref="AB478" r:id="rId139"/>
    <hyperlink ref="AB26" r:id="rId140"/>
    <hyperlink ref="AB341" r:id="rId141" display="https://www.jivi.com.ar/ficha.php?id=850"/>
    <hyperlink ref="AB133" r:id="rId142"/>
    <hyperlink ref="AB502" r:id="rId143"/>
    <hyperlink ref="AB503" r:id="rId144"/>
    <hyperlink ref="AB369" r:id="rId145" display="https://www.jivi.com.ar/ficha.php?id=1023"/>
    <hyperlink ref="AB337" r:id="rId146" display="https://www.jivi.com.ar/ficha.php?id=1025"/>
    <hyperlink ref="AF24" location="'Artículos Publicitarios'!A122" display="IR A PINES"/>
    <hyperlink ref="AB343" r:id="rId147" display="https://www.jivi.com.ar/ficha.php?id=647"/>
    <hyperlink ref="AB331" r:id="rId148" display="https://www.jivi.com.ar/ficha.php?id=1049"/>
    <hyperlink ref="AB199" r:id="rId149" display="https://www.jivi.com.ar/ficha.php?id=1059"/>
    <hyperlink ref="AB201" r:id="rId150" display="https://www.jivi.com.ar/ficha.php?id=1061"/>
    <hyperlink ref="AB202" r:id="rId151" display="https://www.jivi.com.ar/ficha.php?id=1062"/>
    <hyperlink ref="AB22" r:id="rId152" display="https://www.jivi.com.ar/ficha.php?id=364"/>
    <hyperlink ref="AF26:AI26" location="'Artículos Publicitarios'!A505" display="IR A GORROS"/>
    <hyperlink ref="AB24" r:id="rId153"/>
    <hyperlink ref="AB23" r:id="rId154"/>
    <hyperlink ref="AF22:AI22" location="'Artículos Publicitarios'!A629" display="IR A PROD. SUBLIMADOS"/>
    <hyperlink ref="AB356" r:id="rId155" display="https://www.jivi.com.ar/ficha.php?id=1095"/>
    <hyperlink ref="AB338" r:id="rId156" display="https://www.jivi.com.ar/ficha.php?id=1094"/>
    <hyperlink ref="AB334" r:id="rId157" display="https://www.jivi.com.ar/ficha.php?id=297"/>
    <hyperlink ref="AB375" r:id="rId158" display="https://www.jivi.com.ar/ficha.php?id=1097"/>
    <hyperlink ref="AB99" r:id="rId159" display="https://www.jivi.com.ar/ficha.php?id=1098"/>
    <hyperlink ref="AB19" r:id="rId160"/>
    <hyperlink ref="AB227" r:id="rId161"/>
    <hyperlink ref="AB329" r:id="rId162" display="https://www.jivi.com.ar/ficha.php?id=1108"/>
    <hyperlink ref="AB359" r:id="rId163" display="https://www.jivi.com.ar/ficha.php?id=1116"/>
    <hyperlink ref="AF646:AH646" location="'Artículos Publicitarios'!A3" display="IR A PAGINA 1"/>
    <hyperlink ref="AF24:AI24" location="'Artículos Publicitarios'!A91" display="IR A PINES"/>
    <hyperlink ref="AF23:AI23" location="'Artículos Publicitarios'!A159" display="IR A CARPITAS"/>
    <hyperlink ref="AF19:AI19" location="'Artículos Publicitarios'!A129" display="IR A CINTAS COLGANTES"/>
    <hyperlink ref="AF27:AI27" location="'Artículos Publicitarios'!A264" display="IR A PORTADOCUMENTOS"/>
    <hyperlink ref="AB178" r:id="rId164" display="https://www.jivi.com.ar/ficha.php?id=1119"/>
    <hyperlink ref="AB179" r:id="rId165"/>
    <hyperlink ref="AB659" r:id="rId166" display="https://www.jivi.com.ar/ficha.php?id=1154"/>
    <hyperlink ref="AB669" r:id="rId167" display="https://www.jivi.com.ar/ficha.php?id=1157"/>
    <hyperlink ref="AB670" r:id="rId168" display="https://www.jivi.com.ar/ficha.php?id=1158"/>
    <hyperlink ref="AB639" r:id="rId169" display="hhttps://www.jivi.com.ar/ficha.php?id=1155"/>
    <hyperlink ref="AB640" r:id="rId170" display="https://www.jivi.com.ar/ficha.php?id=1156"/>
    <hyperlink ref="AB339" r:id="rId171"/>
    <hyperlink ref="AB53" r:id="rId172" display="https://www.jivi.com.ar/ficha.php?id=1172"/>
    <hyperlink ref="AB342" r:id="rId173"/>
    <hyperlink ref="AB98" r:id="rId174"/>
    <hyperlink ref="AB118" r:id="rId175"/>
    <hyperlink ref="AB344" r:id="rId176" display="https://www.jivi.com.ar/ficha.php?id=915"/>
    <hyperlink ref="AB108" r:id="rId177" display="https://www.jivi.com.ar/ficha.php?id=1182"/>
    <hyperlink ref="AB117" r:id="rId178" display="https://www.jivi.com.ar/ficha.php?id=1183"/>
    <hyperlink ref="AB119" r:id="rId179"/>
    <hyperlink ref="AB348" r:id="rId180" display="https://www.jivi.com.ar/ficha.php?id=349"/>
    <hyperlink ref="AB418" r:id="rId181" display="https://www.jivi.com.ar/ficha.php?id=1190"/>
    <hyperlink ref="AB106" r:id="rId182" display="https://www.jivi.com.ar/ficha.php?id=1181"/>
    <hyperlink ref="AB354" r:id="rId183"/>
    <hyperlink ref="AB484" r:id="rId184"/>
    <hyperlink ref="AB421" r:id="rId185" display="https://www.jivi.com.ar/ficha.php?id=1219"/>
    <hyperlink ref="AB48" r:id="rId186"/>
    <hyperlink ref="AB47" r:id="rId187"/>
    <hyperlink ref="AB49" r:id="rId188"/>
    <hyperlink ref="AB672" r:id="rId189" display="https://www.jivi.com.ar/ficha.php?id=904"/>
    <hyperlink ref="AB60" r:id="rId190"/>
    <hyperlink ref="AB449" r:id="rId191" display="https://www.jivi.com.ar/ficha.php?id=1225"/>
    <hyperlink ref="AB42" r:id="rId192"/>
    <hyperlink ref="AB665" r:id="rId193" display="https://www.jivi.com.ar/ficha.php?id=919"/>
    <hyperlink ref="AB200" r:id="rId194" display="https://www.jivi.com.ar/ficha.php?id=1060"/>
    <hyperlink ref="AB41" r:id="rId195"/>
    <hyperlink ref="AB150" r:id="rId196" display="https://www.jivi.com.ar/ficha.php?id=883"/>
    <hyperlink ref="AB511" r:id="rId197"/>
    <hyperlink ref="AB123" r:id="rId198" display="https://jivi.com.ar/ficha.php?id=89"/>
    <hyperlink ref="AB546" r:id="rId199" display="https://www.jivi.com.ar/ficha.php?id=1248"/>
    <hyperlink ref="AB357" r:id="rId200" display="https://www.jivi.com.ar/ficha.php?id=1253"/>
    <hyperlink ref="AB279" r:id="rId201" display="https://www.jivi.com.ar/ficha.php?id=1124"/>
    <hyperlink ref="AB151" r:id="rId202" display="https://www.jivi.com.ar/ficha.php?id=1261"/>
    <hyperlink ref="AB390" r:id="rId203" display="https://www.jivi.com.ar/ficha.php?id=1267"/>
    <hyperlink ref="AB450" r:id="rId204" display="https://www.jivi.com.ar/ficha.php?id=1268"/>
    <hyperlink ref="AB391" r:id="rId205" display="https://www.jivi.com.ar/ficha.php?id=1277"/>
    <hyperlink ref="AB686" r:id="rId206"/>
    <hyperlink ref="AB96" r:id="rId207" display="https://www.jivi.com.ar/ficha.php?id=378"/>
    <hyperlink ref="AB176" r:id="rId208"/>
    <hyperlink ref="AB107" r:id="rId209"/>
    <hyperlink ref="AB109" r:id="rId210"/>
    <hyperlink ref="AB112" r:id="rId211" display="https://www.jivi.com.ar/ficha.php?id=1305"/>
    <hyperlink ref="AB113" r:id="rId212"/>
    <hyperlink ref="AB226" r:id="rId213" display="https://www.jivi.com.ar/ficha.php?id=1287"/>
    <hyperlink ref="AB641" r:id="rId214" display="https://www.jivi.com.ar/ficha.php?id=1290"/>
    <hyperlink ref="AB161" r:id="rId215" display="https://www.jivi.com.ar/ficha.php?id=1316"/>
    <hyperlink ref="AB102" r:id="rId216" display="https://www.jivi.com.ar/ficha.php?id=1314"/>
    <hyperlink ref="AJ1:AJ2" location="'Artículos Publicitarios'!A3" display="IR A PAGINA 1"/>
    <hyperlink ref="AB175" r:id="rId217"/>
    <hyperlink ref="AB379" r:id="rId218" display="https://www.jivi.com.ar/ficha.php?id=1344"/>
    <hyperlink ref="AB114" r:id="rId219"/>
    <hyperlink ref="AF729:AH729" location="'Artículos Publicitarios'!A3" display="IR A PAGINA 1"/>
    <hyperlink ref="AB154" r:id="rId220" display="https://www.jivi.com.ar/ficha.php?id=1346"/>
    <hyperlink ref="AB155" r:id="rId221" display="https://www.jivi.com.ar/ficha.php?id=1347"/>
    <hyperlink ref="AB198" r:id="rId222" display="https://www.jivi.com.ar/ficha.php?id=1348"/>
    <hyperlink ref="AB380" r:id="rId223" display="https://www.jivi.com.ar/ficha.php?id=1359"/>
    <hyperlink ref="AB394" r:id="rId224" display="https://www.jivi.com.ar/ficha.php?id=1360"/>
    <hyperlink ref="AB177" r:id="rId225"/>
    <hyperlink ref="AB104" r:id="rId226" display="https://www.jivi.com.ar/ficha.php?id=1366"/>
    <hyperlink ref="AC8:AI9" r:id="rId227" display="REGISTRATE EN NUESTRA WEB PARA BAJAR LISTA DE PRECIOS DESDE CUALQUIER PC"/>
    <hyperlink ref="AB280" r:id="rId228" display="https://www.jivi.com.ar/ficha.php?id=864"/>
    <hyperlink ref="AB405" r:id="rId229" display="https://www.jivi.com.ar/ficha.php?id=1372"/>
    <hyperlink ref="AB397" r:id="rId230" display="https://www.jivi.com.ar/ficha.php?id=1378"/>
    <hyperlink ref="AB406" r:id="rId231" display="https://www.jivi.com.ar/ficha.php?id=1382"/>
    <hyperlink ref="AB396" r:id="rId232" display="https://www.jivi.com.ar/ficha.php?id=1383"/>
    <hyperlink ref="AB426" r:id="rId233" display="https://www.jivi.com.ar/ficha.php?id=1384"/>
    <hyperlink ref="AB125" r:id="rId234" display="https://www.jivi.com.ar/ficha.php?id=1428"/>
    <hyperlink ref="AB427" r:id="rId235" display="https://www.jivi.com.ar/ficha.php?id=1385"/>
    <hyperlink ref="AB425" r:id="rId236" display="https://www.jivi.com.ar/ficha.php?id=1387"/>
    <hyperlink ref="AB428" r:id="rId237" display="https://www.jivi.com.ar/ficha.php?id=1389"/>
    <hyperlink ref="AB21" r:id="rId238" display="https://www.jivi.com.ar/ficha.php?id=363"/>
    <hyperlink ref="AF21" location="'Artículos Publicitarios'!A582" display="IR A REMERAS"/>
    <hyperlink ref="AF21:AI21" location="'Artículos Publicitarios'!A495" display="IR A REMERAS"/>
    <hyperlink ref="AF27:AJ27" location="'Artículos Publicitarios'!A223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665" display="IR A ART. DE CUERO - CUCHILLERIA"/>
    <hyperlink ref="AB59" r:id="rId239" display="https://www.jivi.com.ar/ficha.php?id=236"/>
    <hyperlink ref="AB164" r:id="rId240" display="https://www.jivi.com.ar/ficha.php?id=1343"/>
    <hyperlink ref="AF13:AH13" location="'Artículos Publicitarios'!A342" display="IR A PAGINA 5"/>
    <hyperlink ref="AF14:AH14" location="'Artículos Publicitarios'!A421" display="IR A PAGINA 6"/>
    <hyperlink ref="AB407" r:id="rId241" display="https://www.jivi.com.ar/ficha.php?id=1394"/>
    <hyperlink ref="AB228" r:id="rId242" display="https://www.jivi.com.ar/ficha.php?id=872"/>
    <hyperlink ref="AB145" r:id="rId243" display="https://www.jivi.com.ar/ficha.php?id=1399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337" display="IR A BOLIGRAFOS"/>
    <hyperlink ref="AB424" r:id="rId244" display="https://www.jivi.com.ar/ficha.php?id=1262"/>
    <hyperlink ref="AB395" r:id="rId245" display="https://www.jivi.com.ar/ficha.php?id=1400"/>
    <hyperlink ref="AB408" r:id="rId246" display="https://www.jivi.com.ar/ficha.php?id=1401"/>
    <hyperlink ref="AB152" r:id="rId247" display="https://www.jivi.com.ar/ficha.php?id=1392"/>
    <hyperlink ref="AB273" r:id="rId248" display="https://www.jivi.com.ar/ficha.php?id=1230"/>
    <hyperlink ref="AB381" r:id="rId249" display="https://www.jivi.com.ar/ficha.php?id=1110"/>
    <hyperlink ref="AB383" r:id="rId250" display="https://www.jivi.com.ar/ficha.php?id=1111"/>
    <hyperlink ref="AF20:AI20" location="'Artículos Publicitarios'!A325" display="IR A SET DE NOTAS"/>
    <hyperlink ref="AF20:AJ20" location="'Artículos Publicitarios'!A524" display="IR A PARAGUAS"/>
    <hyperlink ref="AB92" r:id="rId251" display="https://www.jivi.com.ar/ficha.php?id=477"/>
    <hyperlink ref="AB94" r:id="rId252" display="https://www.jivi.com.ar/ficha.php?id=376"/>
    <hyperlink ref="AB13" r:id="rId253" display="https://www.jivi.com.ar/ficha.php?id=1402"/>
    <hyperlink ref="AB539" r:id="rId254" display="https://www.jivi.com.ar/ficha.php?id=1393"/>
    <hyperlink ref="AB16" r:id="rId255" display="https://www.jivi.com.ar/ficha.php?id=1405"/>
    <hyperlink ref="AB122" r:id="rId256" display="https://www.jivi.com.ar/ficha.php?id=1413"/>
    <hyperlink ref="AB172" r:id="rId257" display="https://www.jivi.com.ar/ficha.php?id=1415"/>
    <hyperlink ref="AF12:AH12" location="'Artículos Publicitarios'!A260" display="IR A PAGINA 4"/>
    <hyperlink ref="AB326" r:id="rId258" display="https://www.jivi.com.ar/ficha.php?id=1356"/>
    <hyperlink ref="AB215" r:id="rId259" display="https://www.jivi.com.ar/ficha.php?id=1084"/>
    <hyperlink ref="AB324" r:id="rId260" display="https://www.jivi.com.ar/ficha.php?id=1353"/>
    <hyperlink ref="AF28:AH28" location="'Artículos Publicitarios'!A427" display="IR A BOLIGRAFOS"/>
    <hyperlink ref="AF28:AI28" location="'Artículos Publicitarios'!A128" display="IR A LLAVEROS DE CUERO"/>
    <hyperlink ref="AF28:AJ28" location="'Artículos Publicitarios'!A707" display="IR A DELANTALES"/>
    <hyperlink ref="AB691" r:id="rId261"/>
    <hyperlink ref="AB694" r:id="rId262"/>
    <hyperlink ref="AB666" r:id="rId263" display="https://www.jivi.com.ar/ficha.php?id=1281"/>
    <hyperlink ref="AB683" r:id="rId264"/>
    <hyperlink ref="AB299" r:id="rId265" display="https://www.jivi.com.ar/ficha.php?id=1421"/>
    <hyperlink ref="AB302" r:id="rId266" display="https://www.jivi.com.ar/ficha.php?id=1422"/>
    <hyperlink ref="AB303" r:id="rId267" display="https://www.jivi.com.ar/ficha.php?id=1423"/>
    <hyperlink ref="AB317" r:id="rId268" display="https://www.jivi.com.ar/ficha.php?id=1425"/>
    <hyperlink ref="AB323" r:id="rId269" display="https://www.jivi.com.ar/ficha.php?id=1426"/>
    <hyperlink ref="AB447" r:id="rId270" display="https://www.jivi.com.ar/ficha.php?id=1429"/>
    <hyperlink ref="AB485" r:id="rId271"/>
    <hyperlink ref="AB487" r:id="rId272"/>
    <hyperlink ref="AB533" r:id="rId273" display="https://www.jivi.com.ar/ficha.php?id=1436"/>
    <hyperlink ref="AB534" r:id="rId274" display="https://www.jivi.com.ar/ficha.php?id=1437"/>
    <hyperlink ref="AB535" r:id="rId275"/>
    <hyperlink ref="AB537" r:id="rId276" display="https://www.jivi.com.ar/ficha.php?id=1439"/>
    <hyperlink ref="AB301" r:id="rId277" display="https://www.jivi.com.ar/ficha.php?id=1442"/>
    <hyperlink ref="AB316" r:id="rId278" display="https://www.jivi.com.ar/ficha.php?id=1427"/>
    <hyperlink ref="AB657" r:id="rId279"/>
    <hyperlink ref="AB374" r:id="rId280" display="https://www.jivi.com.ar/ficha.php?id=1056"/>
    <hyperlink ref="AB272" r:id="rId281" display="https://www.jivi.com.ar/ficha.php?id=1334"/>
    <hyperlink ref="AB265" r:id="rId282" display="https://www.jivi.com.ar/ficha.php?id=1335"/>
    <hyperlink ref="AB310" r:id="rId283" display="https://www.jivi.com.ar/ficha.php?id=1446"/>
    <hyperlink ref="AB325" r:id="rId284" display="https://www.jivi.com.ar/ficha.php?id=1354"/>
    <hyperlink ref="AB314" r:id="rId285" display="https://www.jivi.com.ar/ficha.php?id=1448"/>
    <hyperlink ref="AB328" r:id="rId286" display="https://www.jivi.com.ar/ficha.php?id=1450"/>
    <hyperlink ref="AB194" r:id="rId287"/>
    <hyperlink ref="AB204" r:id="rId288" display="https://www.jivi.com.ar/ficha.php?id=1064"/>
    <hyperlink ref="AB203" r:id="rId289" display="https://www.jivi.com.ar/ficha.php?id=1063"/>
    <hyperlink ref="AB472" r:id="rId290"/>
    <hyperlink ref="AB687" r:id="rId291"/>
    <hyperlink ref="AB414" r:id="rId292" display="https://www.jivi.com.ar/ficha.php?id=1463"/>
    <hyperlink ref="AB415" r:id="rId293" display="https://www.jivi.com.ar/ficha.php?id=1464"/>
    <hyperlink ref="AB433" r:id="rId294" display="https://www.jivi.com.ar/ficha.php?id=1466"/>
    <hyperlink ref="AB540" r:id="rId295" display="https://www.jivi.com.ar/ficha.php?id=1467"/>
    <hyperlink ref="AB538" r:id="rId296" display="https://www.jivi.com.ar/ficha.php?id=1468"/>
    <hyperlink ref="AB545" r:id="rId297" display="https://www.jivi.com.ar/ficha.php?id=1470"/>
    <hyperlink ref="AB549" r:id="rId298"/>
    <hyperlink ref="AB550" r:id="rId299" display="https://www.jivi.com.ar/ficha.php?id=1472"/>
    <hyperlink ref="AB497" r:id="rId300"/>
    <hyperlink ref="AB637" r:id="rId301"/>
    <hyperlink ref="AB638" r:id="rId302"/>
    <hyperlink ref="AB636" r:id="rId303"/>
    <hyperlink ref="AB219" r:id="rId304" display="https://www.jivi.com.ar/ficha.php?id=1478"/>
    <hyperlink ref="AB220" r:id="rId305"/>
    <hyperlink ref="AB221" r:id="rId306"/>
    <hyperlink ref="AB214" r:id="rId307" display="https://www.jivi.com.ar/ficha.php?id=1481"/>
    <hyperlink ref="AB229" r:id="rId308" display="https://www.jivi.com.ar/ficha.php?id=1483"/>
    <hyperlink ref="AB263" r:id="rId309" display="https://www.jivi.com.ar/ficha.php?id=1486"/>
    <hyperlink ref="AB264" r:id="rId310" display="https://www.jivi.com.ar/ficha.php?id=1488"/>
    <hyperlink ref="AB660" r:id="rId311" display="https://www.jivi.com.ar/ficha.php?id=1492"/>
    <hyperlink ref="AB661" r:id="rId312" display="https://www.jivi.com.ar/ficha.php?id=1493"/>
    <hyperlink ref="AB662" r:id="rId313" display="https://www.jivi.com.ar/ficha.php?id=1494"/>
    <hyperlink ref="AB663" r:id="rId314"/>
    <hyperlink ref="AB285" r:id="rId315" display="https://www.jivi.com.ar/ficha.php?id=1496"/>
    <hyperlink ref="AB286" r:id="rId316" display="https://www.jivi.com.ar/ficha.php?id=1497"/>
    <hyperlink ref="AB288" r:id="rId317" display="httphttps://www.jivi.com.ar/ficha.php?id=1498"/>
    <hyperlink ref="AB289" r:id="rId318" display="https://www.jivi.com.ar/ficha.php?id=1499"/>
    <hyperlink ref="AB290" r:id="rId319" display="https://www.jivi.com.ar/ficha.php?id=1500"/>
    <hyperlink ref="AB36" r:id="rId320"/>
    <hyperlink ref="AB38" r:id="rId321"/>
    <hyperlink ref="AB35" r:id="rId322"/>
    <hyperlink ref="AB37" r:id="rId323"/>
    <hyperlink ref="AB39" r:id="rId324"/>
    <hyperlink ref="AB40" r:id="rId325"/>
    <hyperlink ref="AB532" r:id="rId326" display="https://www.jivi.com.ar/ficha.php?id=1509"/>
    <hyperlink ref="AB513" r:id="rId327"/>
    <hyperlink ref="AB298" r:id="rId328" display="https://www.jivi.com.ar/ficha.php?id=1515"/>
    <hyperlink ref="AB70" r:id="rId329"/>
    <hyperlink ref="AB72" r:id="rId330"/>
    <hyperlink ref="AB410" r:id="rId331" display="https://www.jivi.com.ar/ficha.php?id=1523"/>
    <hyperlink ref="AB297" r:id="rId332" display="https://www.jivi.com.ar/ficha.php?id=1559"/>
    <hyperlink ref="AB300" r:id="rId333" display="https://www.jivi.com.ar/ficha.php?id=1527"/>
    <hyperlink ref="AB251" r:id="rId334" display="https://www.jivi.com.ar/ficha.php?id=1532"/>
    <hyperlink ref="AB261" r:id="rId335" display="https://www.jivi.com.ar/ficha.php?id=1534"/>
    <hyperlink ref="AB678" r:id="rId336" display="https://www.jivi.com.ar/ficha.php?id=1535"/>
    <hyperlink ref="AB679" r:id="rId337" display="https://www.jivi.com.ar/ficha.php?id=1536"/>
    <hyperlink ref="AB232" r:id="rId338" display="https://www.jivi.com.ar/ficha.php?id=1539"/>
    <hyperlink ref="AB129" r:id="rId339" display="https://www.jivi.com.ar/ficha.php?id=1540"/>
    <hyperlink ref="AB547" r:id="rId340" display="https://www.jivi.com.ar/ficha.php?id=1541"/>
    <hyperlink ref="AB548" r:id="rId341" display="https://www.jivi.com.ar/ficha.php?id=1542"/>
    <hyperlink ref="AB245" r:id="rId342" display="https://www.jivi.com.ar/ficha.php?id=1545"/>
    <hyperlink ref="AB382" r:id="rId343"/>
    <hyperlink ref="AB355" r:id="rId344" display="https://www.jivi.com.ar/ficha.php?id=981"/>
    <hyperlink ref="AB411" r:id="rId345" display="https://www.jivi.com.ar/ficha.php?id=1548"/>
    <hyperlink ref="AB412" r:id="rId346" display="https://www.jivi.com.ar/ficha.php?id=1549"/>
    <hyperlink ref="AB459" r:id="rId347"/>
    <hyperlink ref="AB446" r:id="rId348" display="https://www.jivi.com.ar/ficha.php?id=1552"/>
    <hyperlink ref="AB377" r:id="rId349" display="https://www.jivi.com.ar/ficha.php?id=1311"/>
    <hyperlink ref="AB144" r:id="rId350" display="https://www.jivi.com.ar/ficha.php?id=1553"/>
    <hyperlink ref="AB140" r:id="rId351" display="https://www.jivi.com.ar/ficha.php?id=1554"/>
    <hyperlink ref="AB599" r:id="rId352" display="https://www.jivi.com.ar/ficha.php?id=1555"/>
    <hyperlink ref="AB58" r:id="rId353" display="https://www.jivi.com.ar/ficha.php?id=1557"/>
    <hyperlink ref="AB692" r:id="rId354"/>
    <hyperlink ref="AB230" r:id="rId355" display="https://www.jivi.com.ar/ficha.php?id=518"/>
    <hyperlink ref="AB195" r:id="rId356" display="https://www.jivi.com.ar/ficha.php?id=1561"/>
    <hyperlink ref="AB10" r:id="rId357" display="https://www.jivi.com.ar/ficha.php?id=26"/>
    <hyperlink ref="AB234" r:id="rId358" display="https://www.jivi.com.ar/ficha.php?id=1066"/>
    <hyperlink ref="AB242" r:id="rId359" display="https://www.jivi.com.ar/ficha.php?id=1562"/>
    <hyperlink ref="AB454" r:id="rId360" display="https://www.jivi.com.ar/ficha.php?id=1563"/>
    <hyperlink ref="AB153" r:id="rId361" display="https://www.jivi.com.ar/ficha.php?id=1414"/>
    <hyperlink ref="AB17" r:id="rId362" display="https://www.jivi.com.ar/ficha.php?id=790"/>
    <hyperlink ref="AB307" r:id="rId363" display="https://www.jivi.com.ar/ficha.php?id=1407"/>
    <hyperlink ref="AB306" r:id="rId364" display="https://www.jivi.com.ar/ficha.php?id=1409"/>
    <hyperlink ref="AB308" r:id="rId365" display="https://www.jivi.com.ar/ficha.php?id=1408"/>
    <hyperlink ref="AB295" r:id="rId366" display="https://www.jivi.com.ar/ficha.php?id=1564"/>
    <hyperlink ref="AB28" r:id="rId367" display="https://www.jivi.com.ar/ficha.php?id=1434"/>
    <hyperlink ref="AB416" r:id="rId368" display="https://www.jivi.com.ar/ficha.php?id=1567"/>
    <hyperlink ref="AB44" r:id="rId369"/>
    <hyperlink ref="AB45" r:id="rId370"/>
    <hyperlink ref="AB46" r:id="rId371"/>
    <hyperlink ref="AB126" r:id="rId372" display="https://www.jivi.com.ar/ficha.php?id=1571"/>
    <hyperlink ref="AB213" r:id="rId373"/>
    <hyperlink ref="AB413" r:id="rId374" display="https://www.jivi.com.ar/ficha.php?id=1572"/>
    <hyperlink ref="AB296" r:id="rId375" display="https://www.jivi.com.ar/ficha.php?id=1573"/>
    <hyperlink ref="AB570" r:id="rId376" display="https://www.jivi.com.ar/ficha.php?id=1294"/>
    <hyperlink ref="AF29:AJ29" location="'Artículos Publicitarios'!A582" display="IR A MOCHILAS - BOLSOS - ETC"/>
    <hyperlink ref="AB577" r:id="rId377" display="https://www.jivi.com.ar/ficha.php?id=1271"/>
    <hyperlink ref="AB576" r:id="rId378" display="https://www.jivi.com.ar/ficha.php?id=1296"/>
    <hyperlink ref="AB581" r:id="rId379" display="https://www.jivi.com.ar/ficha.php?id=1139"/>
    <hyperlink ref="AB574" r:id="rId380" display="https://www.jivi.com.ar/ficha.php?id=1249"/>
    <hyperlink ref="AB614" r:id="rId381" display="https://www.jivi.com.ar/ficha.php?id=1574"/>
    <hyperlink ref="AB575" r:id="rId382" display="https://www.jivi.com.ar/ficha.php?id=1576"/>
    <hyperlink ref="AB585" r:id="rId383" display="https://www.jivi.com.ar/ficha.php?id=1580"/>
    <hyperlink ref="AB586" r:id="rId384" display="https://www.jivi.com.ar/ficha.php?id=1581"/>
    <hyperlink ref="AB590" r:id="rId385" display="https://www.jivi.com.ar/ficha.php?id=1583"/>
    <hyperlink ref="AB591" r:id="rId386" display="https://www.jivi.com.ar/ficha.php?id=1584"/>
    <hyperlink ref="AB593" r:id="rId387" display="https://www.jivi.com.ar/ficha.php?id=1586"/>
    <hyperlink ref="AB594" r:id="rId388" display="https://www.jivi.com.ar/ficha.php?id=1587"/>
    <hyperlink ref="AF17:AJ17" location="'Artículos Publicitarios'!A248" display="IR A CUADERNOS"/>
    <hyperlink ref="AB275" r:id="rId389" display="https://www.jivi.com.ar/ficha.php?id=1221"/>
    <hyperlink ref="AB281" r:id="rId390" display="https://www.jivi.com.ar/ficha.php?id=1588"/>
    <hyperlink ref="AB527" r:id="rId391"/>
    <hyperlink ref="AB528" r:id="rId392" display="https://www.jivi.com.ar/ficha.php?id=1590"/>
    <hyperlink ref="AB529" r:id="rId393"/>
    <hyperlink ref="AB530" r:id="rId394" display="https://www.jivi.com.ar/ficha.php?id=1592"/>
    <hyperlink ref="AB600" r:id="rId395" display="https://www.jivi.com.ar/ficha.php?id=1593"/>
    <hyperlink ref="AB293" r:id="rId396" display="https://www.jivi.com.ar/ficha.php?id=1595"/>
    <hyperlink ref="AB436" r:id="rId397" display="https://www.jivi.com.ar/ficha.php?id=1596"/>
    <hyperlink ref="AB601" r:id="rId398" display="https://www.jivi.com.ar/ficha.php?id=1598"/>
    <hyperlink ref="AB592" r:id="rId399" display="https://www.jivi.com.ar/ficha.php?id=1599"/>
    <hyperlink ref="AB603" r:id="rId400" display="https://www.jivi.com.ar/ficha.php?id=1602"/>
    <hyperlink ref="AB607" r:id="rId401" display="https://www.jivi.com.ar/ficha.php?id=1603"/>
    <hyperlink ref="AB61" r:id="rId402"/>
    <hyperlink ref="AB608" r:id="rId403" display="https://www.jivi.com.ar/ficha.php?id=1604"/>
    <hyperlink ref="AB609" r:id="rId404" display="https://www.jivi.com.ar/ficha.php?id=1606"/>
    <hyperlink ref="AB313" r:id="rId405" display="https://www.jivi.com.ar/ficha.php?id=1424"/>
    <hyperlink ref="AB180" r:id="rId406"/>
    <hyperlink ref="AB256" r:id="rId407" display="https://www.jivi.com.ar/ficha.php?id=1459"/>
    <hyperlink ref="AB255" r:id="rId408" display="https://www.jivi.com.ar/ficha.php?id=1608"/>
    <hyperlink ref="AB254" r:id="rId409" display="https://www.jivi.com.ar/ficha.php?id=1609"/>
    <hyperlink ref="AB276" r:id="rId410" display="https://www.jivi.com.ar/ficha.php?id=1274"/>
    <hyperlink ref="AB443" r:id="rId411" display="https://www.jivi.com.ar/ficha.php?id=1610"/>
    <hyperlink ref="AB589" r:id="rId412" display="https://www.jivi.com.ar/ficha.php?id=1611"/>
    <hyperlink ref="AB588" r:id="rId413" display="https://www.jivi.com.ar/ficha.php?id=1612"/>
    <hyperlink ref="AB207" r:id="rId414" display="https://www.jivi.com.ar/ficha.php?id=1614"/>
    <hyperlink ref="AB205" r:id="rId415" display="https://www.jivi.com.ar/ficha.php?id=1452"/>
    <hyperlink ref="AB223" r:id="rId416" display="https://www.jivi.com.ar/ficha.php?id=608"/>
    <hyperlink ref="AB388" r:id="rId417" display="https://www.jivi.com.ar/ficha.php?id=1615"/>
    <hyperlink ref="AB617" r:id="rId418" display="https://www.jivi.com.ar/ficha.php?id=1617"/>
    <hyperlink ref="AB618" r:id="rId419" display="https://www.jivi.com.ar/ficha.php?id=1618"/>
    <hyperlink ref="AB525" r:id="rId420"/>
    <hyperlink ref="AB526" r:id="rId421" display="https://www.jivi.com.ar/ficha.php?id=1620"/>
    <hyperlink ref="AB542" r:id="rId422" display="https://www.jivi.com.ar/ficha.php?id=1204"/>
    <hyperlink ref="AB543" r:id="rId423"/>
    <hyperlink ref="AB353" r:id="rId424"/>
    <hyperlink ref="AB512" r:id="rId425"/>
    <hyperlink ref="AB650" r:id="rId426"/>
    <hyperlink ref="AB696" r:id="rId427"/>
    <hyperlink ref="AB697" r:id="rId428"/>
    <hyperlink ref="AB698" r:id="rId429"/>
    <hyperlink ref="AB386" r:id="rId430" display="https://www.jivi.com.ar/ficha.php?id=1641"/>
    <hyperlink ref="AB462" r:id="rId431"/>
    <hyperlink ref="AB463" r:id="rId432"/>
    <hyperlink ref="AB464" r:id="rId433"/>
    <hyperlink ref="AB681" r:id="rId434"/>
    <hyperlink ref="AB461" r:id="rId435"/>
    <hyperlink ref="AB169" r:id="rId436" display="https://www.jivi.com.ar/ficha.php?id=1660"/>
    <hyperlink ref="AB100" r:id="rId437" display="https://www.jivi.com.ar/ficha.php?id=440"/>
    <hyperlink ref="AB682" r:id="rId438"/>
    <hyperlink ref="AB690" r:id="rId439"/>
    <hyperlink ref="AB695" r:id="rId440"/>
    <hyperlink ref="AB531" r:id="rId441" display="https://www.jivi.com.ar/ficha.php?id=1684"/>
    <hyperlink ref="AB389" r:id="rId442" display="https://www.jivi.com.ar/ficha.php?id=1272"/>
    <hyperlink ref="AB387" r:id="rId443" display="https://www.jivi.com.ar/ficha.php?id=1687"/>
    <hyperlink ref="AB385" r:id="rId444" display="https://www.jivi.com.ar/ficha.php?id=1672"/>
    <hyperlink ref="AB595" r:id="rId445" display="https://www.jivi.com.ar/ficha.php?id=1690"/>
    <hyperlink ref="AB524" r:id="rId446" display="https://www.jivi.com.ar/ficha.php?id=1691"/>
    <hyperlink ref="AB536" r:id="rId447" display="https://www.jivi.com.ar/ficha.php?id=1438"/>
    <hyperlink ref="AF517:AH517" location="'Artículos Publicitarios'!A3" display="IR A PAGINA 1"/>
    <hyperlink ref="AB29" r:id="rId448" display="https://www.jivi.com.ar/ficha.php?id=36"/>
    <hyperlink ref="AB522" r:id="rId449"/>
    <hyperlink ref="AB523" r:id="rId450" display="https://www.jivi.com.ar/ficha.php?id=1698"/>
    <hyperlink ref="AB437" r:id="rId451" display="https://www.jivi.com.ar/ficha.php?id=1699"/>
    <hyperlink ref="AB514" r:id="rId452"/>
    <hyperlink ref="AB409" r:id="rId453" display="https://www.jivi.com.ar/ficha.php?id=1462"/>
    <hyperlink ref="AB250" r:id="rId454" display="https://www.jivi.com.ar/ficha.php?id=1531"/>
    <hyperlink ref="AB248" r:id="rId455" display="https://www.jivi.com.ar/ficha.php?id=1528"/>
    <hyperlink ref="AB448" r:id="rId456"/>
    <hyperlink ref="AB361" r:id="rId457" display="https://www.jivi.com.ar/ficha.php?id=977"/>
    <hyperlink ref="AB431" r:id="rId458" display="https://www.jivi.com.ar/ficha.php?id=1457"/>
    <hyperlink ref="AB430" r:id="rId459" display="https://www.jivi.com.ar/ficha.php?id=1456"/>
    <hyperlink ref="AB362" r:id="rId460" display="https://www.jivi.com.ar/ficha.php?id=1707"/>
    <hyperlink ref="AB363" r:id="rId461" display="https://www.jivi.com.ar/ficha.php?id=1708"/>
    <hyperlink ref="AB434" r:id="rId462"/>
    <hyperlink ref="AB521" r:id="rId463" display="https://www.jivi.com.ar/ficha.php?id=1722"/>
    <hyperlink ref="AB14" r:id="rId464" display="https://www.jivi.com.ar/ficha.php?id=1723"/>
    <hyperlink ref="AB191" r:id="rId465"/>
    <hyperlink ref="AB187" r:id="rId466"/>
    <hyperlink ref="AB189" r:id="rId467"/>
    <hyperlink ref="AB188" r:id="rId468"/>
    <hyperlink ref="AB190" r:id="rId469"/>
    <hyperlink ref="AB186" r:id="rId470"/>
    <hyperlink ref="AB651" r:id="rId471"/>
    <hyperlink ref="AB653" r:id="rId472"/>
    <hyperlink ref="AB674" r:id="rId473"/>
    <hyperlink ref="AB677" r:id="rId474"/>
    <hyperlink ref="AB658" r:id="rId475"/>
    <hyperlink ref="AB615" r:id="rId476" display="https://www.jivi.com.ar/ficha.php?id=1575"/>
    <hyperlink ref="AB610" r:id="rId477" display="https://www.jivi.com.ar/ficha.php?id=1743"/>
    <hyperlink ref="AB611" r:id="rId478" display="https://www.jivi.com.ar/ficha.php?id=1744"/>
    <hyperlink ref="AB612" r:id="rId479" display="https://www.jivi.com.ar/ficha.php?id=1745"/>
    <hyperlink ref="AB582" r:id="rId480" display="https://www.jivi.com.ar/ficha.php?id=1746"/>
    <hyperlink ref="AB648" r:id="rId481"/>
    <hyperlink ref="AB519" r:id="rId482"/>
    <hyperlink ref="AB520" r:id="rId483" display="https://www.jivi.com.ar/ficha.php?id=1749"/>
    <hyperlink ref="AB572" r:id="rId484"/>
    <hyperlink ref="AB693" r:id="rId485"/>
    <hyperlink ref="AB435" r:id="rId486"/>
    <hyperlink ref="AB304" r:id="rId487" display="https://www.jivi.com.ar/ficha.php?id=1461"/>
    <hyperlink ref="AB596" r:id="rId488" display="https://www.jivi.com.ar/ficha.php?id=1776"/>
    <hyperlink ref="AB124" r:id="rId489" display="https://www.jivi.com.ar/ficha.php?id=1310"/>
    <hyperlink ref="AB486" r:id="rId490"/>
    <hyperlink ref="AB64" r:id="rId491" display="https://www.jivi.com.ar/ficha.php?id=76"/>
    <hyperlink ref="AB63" r:id="rId492"/>
    <hyperlink ref="AB62" r:id="rId493"/>
    <hyperlink ref="AB243" r:id="rId494" display="https://www.jivi.com.ar/ficha.php?id=1709"/>
    <hyperlink ref="AB619" r:id="rId495" display="https://www.jivi.com.ar/ficha.php?id=1710"/>
    <hyperlink ref="AB628" r:id="rId496"/>
    <hyperlink ref="AB630" r:id="rId497"/>
    <hyperlink ref="AB631" r:id="rId498"/>
    <hyperlink ref="AB633" r:id="rId499"/>
    <hyperlink ref="AB578" r:id="rId500" display="https://www.jivi.com.ar/ficha.php?id=1293"/>
    <hyperlink ref="AB270" r:id="rId501" display="https://www.jivi.com.ar/ficha.php?id=1340"/>
    <hyperlink ref="AB274" r:id="rId502" display="https://www.jivi.com.ar/ficha.php?id=1265"/>
    <hyperlink ref="AB262" r:id="rId503" display="https://www.jivi.com.ar/ficha.php?id=1487"/>
    <hyperlink ref="AB115" r:id="rId504"/>
    <hyperlink ref="AB120" r:id="rId505"/>
    <hyperlink ref="AB116" r:id="rId506"/>
    <hyperlink ref="AB209" r:id="rId507" display="https://www.jivi.com.ar/ficha.php?id=1319"/>
    <hyperlink ref="AB121" r:id="rId508"/>
    <hyperlink ref="AB309" r:id="rId509" display="https://www.jivi.com.ar/ficha.php?id=1447"/>
    <hyperlink ref="AB372" r:id="rId510" display="https://www.jivi.com.ar/ficha.php?id=1087"/>
    <hyperlink ref="AB488" r:id="rId511"/>
    <hyperlink ref="AB128" r:id="rId512" display="https://www.jivi.com.ar/ficha.php?id=1451"/>
    <hyperlink ref="AB266" r:id="rId513"/>
    <hyperlink ref="AB366" r:id="rId514" display="https://www.jivi.com.ar/ficha.php?id=1805"/>
    <hyperlink ref="AB327" r:id="rId515" display="https://www.jivi.com.ar/ficha.php?id=1342"/>
    <hyperlink ref="AB373" r:id="rId516" display="https://www.jivi.com.ar/ficha.php?id=1070"/>
    <hyperlink ref="AB376" r:id="rId517"/>
    <hyperlink ref="AB458" r:id="rId518"/>
    <hyperlink ref="AB442" r:id="rId519" display="https://www.jivi.com.ar/ficha.php?id=1597"/>
    <hyperlink ref="AB378" r:id="rId520" display="https://www.jivi.com.ar/ficha.php?id=1131"/>
    <hyperlink ref="AB292" r:id="rId521" display="https://www.jivi.com.ar/ficha.php?id=1774"/>
    <hyperlink ref="AB420" r:id="rId522" display="https://www.jivi.com.ar/ficha.php?id=1820"/>
    <hyperlink ref="AB247" r:id="rId523" display="https://www.jivi.com.ar/ficha.php?id=1544"/>
    <hyperlink ref="AB252" r:id="rId524" display="https://www.jivi.com.ar/ficha.php?id=1533"/>
    <hyperlink ref="AF10:AH10" location="'Artículos Publicitarios'!A101" display="IR A PAGINA 2"/>
    <hyperlink ref="AB597" r:id="rId525" display="https://www.jivi.com.ar/ficha.php?id=1556"/>
    <hyperlink ref="AB613" r:id="rId526" display="https://www.jivi.com.ar/ficha.php?id=1825"/>
    <hyperlink ref="AB282" r:id="rId527" display="https://www.jivi.com.ar/ficha.php?id=1491"/>
    <hyperlink ref="AB193" r:id="rId528" display="https://www.jivi.com.ar/ficha.php?id=149"/>
    <hyperlink ref="AB294" r:id="rId529" display="https://www.jivi.com.ar/ficha.php?id=1594"/>
    <hyperlink ref="AB432" r:id="rId530"/>
    <hyperlink ref="AB206" r:id="rId531" display="https://www.jivi.com.ar/ficha.php?id=1799"/>
    <hyperlink ref="AB688" r:id="rId532"/>
    <hyperlink ref="AB689" r:id="rId533"/>
    <hyperlink ref="AB277" r:id="rId534" display="https://www.jivi.com.ar/ficha.php?id=1077"/>
    <hyperlink ref="AB352" r:id="rId535"/>
    <hyperlink ref="AB616" r:id="rId536" display="https://www.jivi.com.ar/ficha.php?id=1616"/>
    <hyperlink ref="AB257" r:id="rId537" display="https://www.jivi.com.ar/ficha.php?id=1520"/>
    <hyperlink ref="AB267" r:id="rId538"/>
    <hyperlink ref="AB311" r:id="rId539" display="https://www.jivi.com.ar/ficha.php?id=1443"/>
    <hyperlink ref="AB127" r:id="rId540" display="https://www.jivi.com.ar/ficha.php?id=1055"/>
    <hyperlink ref="AB652" r:id="rId541"/>
    <hyperlink ref="AB676" r:id="rId542"/>
    <hyperlink ref="AB249" r:id="rId543" display="https://www.jivi.com.ar/ficha.php?id=1530"/>
    <hyperlink ref="AB404" r:id="rId544" display="https://www.jivi.com.ar/ficha.php?id=1379"/>
    <hyperlink ref="AB398" r:id="rId545" display="https://www.jivi.com.ar/ficha.php?id=1380"/>
    <hyperlink ref="AB367" r:id="rId546" display="https://www.jivi.com.ar/ficha.php?id=1840"/>
    <hyperlink ref="AB565" r:id="rId547" display="https://www.jivi.com.ar/ficha.php?id=1371"/>
    <hyperlink ref="AB632" r:id="rId548"/>
    <hyperlink ref="AB584" r:id="rId549" display="https://www.jivi.com.ar/ficha.php?id=1579"/>
    <hyperlink ref="AB579" r:id="rId550" display="https://www.jivi.com.ar/ficha.php?id=1138"/>
    <hyperlink ref="AB567" r:id="rId551" display="https://www.jivi.com.ar/ficha.php?id=1911"/>
    <hyperlink ref="AB569" r:id="rId552" display="https://www.jivi.com.ar/ficha.php?id=1916"/>
    <hyperlink ref="AB568" r:id="rId553" display="https://www.jivi.com.ar/ficha.php?id=1912"/>
    <hyperlink ref="AF563:AH563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17" r:id="rId554" display="https://www.jivi.com.ar/ficha.php?id=1386"/>
    <hyperlink ref="AB654" r:id="rId555"/>
    <hyperlink ref="AB384" r:id="rId556" display="https://www.jivi.com.ar/ficha.php?id=1566"/>
    <hyperlink ref="AB244" r:id="rId557" display="https://www.jivi.com.ar/ficha.php?id=1998"/>
    <hyperlink ref="AB283" r:id="rId558" display="https://www.jivi.com.ar/ficha.php?id=1411"/>
    <hyperlink ref="AB598" r:id="rId559" display="https://www.jivi.com.ar/ficha.php?id=2000"/>
    <hyperlink ref="AB587" r:id="rId560" display="https://www.jivi.com.ar/ficha.php?id=2002"/>
    <hyperlink ref="AB602" r:id="rId561" display="https://www.jivi.com.ar/ficha.php?id=1601"/>
    <hyperlink ref="AB583" r:id="rId562" display="https://www.jivi.com.ar/ficha.php?id=1577"/>
    <hyperlink ref="AB580" r:id="rId563" display="https://www.jivi.com.ar/ficha.php?id=1245"/>
    <hyperlink ref="AB606" r:id="rId564" display="https://www.jivi.com.ar/ficha.php?id=2003"/>
    <hyperlink ref="AB253" r:id="rId565" display="https://www.jivi.com.ar/ficha.php?id=2007"/>
    <hyperlink ref="AB166" r:id="rId566" display="https://www.jivi.com.ar/ficha.php?id=1258"/>
    <hyperlink ref="AB465" r:id="rId567"/>
    <hyperlink ref="AB460" r:id="rId568"/>
    <hyperlink ref="AB423" r:id="rId569" display="https://www.jivi.com.ar/ficha.php?id=1720"/>
    <hyperlink ref="AB493" r:id="rId570"/>
    <hyperlink ref="AB246" r:id="rId571" display="https://www.jivi.com.ar/ficha.php?id=2011"/>
    <hyperlink ref="AB371" r:id="rId572"/>
    <hyperlink ref="AB573" r:id="rId573" display="https://www.jivi.com.ar/ficha.php?id=2014"/>
    <hyperlink ref="AB422" r:id="rId574" display="https://www.jivi.com.ar/ficha.php?id=2017"/>
    <hyperlink ref="AB438" r:id="rId575" display="https://www.jivi.com.ar/ficha.php?id=2018"/>
    <hyperlink ref="AB269" r:id="rId576" display="https://www.jivi.com.ar/ficha.php?id=1339"/>
    <hyperlink ref="AB291" r:id="rId577" display="https://www.jivi.com.ar/ficha.php?id=2026"/>
    <hyperlink ref="AB231" r:id="rId578" display="https://www.jivi.com.ar/ficha.php?id=335"/>
    <hyperlink ref="AB332" r:id="rId579" display="https://www.jivi.com.ar/ficha.php?id=444"/>
    <hyperlink ref="AB466" r:id="rId580"/>
    <hyperlink ref="AB467" r:id="rId581"/>
    <hyperlink ref="AB620" r:id="rId582" display="https://www.jivi.com.ar/ficha.php?id=2040"/>
    <hyperlink ref="AB685" r:id="rId583" display="https://www.jivi.com.ar/ficha.php?id=1662"/>
    <hyperlink ref="AB675" r:id="rId584" display="https://www.jivi.com.ar/ficha.php?id=2042"/>
    <hyperlink ref="AB504" r:id="rId585"/>
    <hyperlink ref="AB505" r:id="rId586"/>
    <hyperlink ref="AB508" r:id="rId587"/>
    <hyperlink ref="AF482:AH482" location="'Artículos Publicitarios'!A3" display="IR A PAGINA 1"/>
    <hyperlink ref="AB429" r:id="rId588" display="https://www.jivi.com.ar/ficha.php?id=1390"/>
    <hyperlink ref="AB393" r:id="rId589" display="https://www.jivi.com.ar/ficha.php?id=1280"/>
    <hyperlink ref="AB392" r:id="rId590" display="https://www.jivi.com.ar/ficha.php?id=1278"/>
    <hyperlink ref="AB271" r:id="rId591" display="https://www.jivi.com.ar/ficha.php?id=1256"/>
    <hyperlink ref="AB312" r:id="rId592" display="https://www.jivi.com.ar/ficha.php?id=1410"/>
    <hyperlink ref="AB315" r:id="rId593" display="https://www.jivi.com.ar/articulos.php?search=1066"/>
    <hyperlink ref="AB15" r:id="rId594" display="https://www.jivi.com.ar/ficha.php?id=1433"/>
    <hyperlink ref="AB171" r:id="rId595" display="https://www.jivi.com.ar/ficha.php?id=1416"/>
    <hyperlink ref="AB605" r:id="rId596" display="https://www.jivi.com.ar/ficha.php?id=2051"/>
    <hyperlink ref="AB163" r:id="rId597" display="https://www.jivi.com.ar/ficha.php?id=2052"/>
    <hyperlink ref="AB419" r:id="rId598"/>
    <hyperlink ref="AB162" r:id="rId599" display="https://www.jivi.com.ar/ficha.php?id=2055"/>
    <hyperlink ref="AB258" r:id="rId600" display="https://www.jivi.com.ar/ficha.php?id=2058"/>
    <hyperlink ref="AB241" r:id="rId601" display="https://www.jivi.com.ar/ficha.php?id=971"/>
    <hyperlink ref="AB235" r:id="rId602" display="https://www.jivi.com.ar/ficha.php?id=2059"/>
    <hyperlink ref="AB684" r:id="rId603" display="https://www.jivi.com.ar/ficha.php?id=2060"/>
    <hyperlink ref="AB673" r:id="rId604" display="https://www.jivi.com.ar/ficha.php?id=2061"/>
    <hyperlink ref="AB680" r:id="rId605" display="https://www.jivi.com.ar/ficha.php?id=2062"/>
    <hyperlink ref="AB165" r:id="rId606" display="https://www.jivi.com.ar/ficha.php?id=1369"/>
    <hyperlink ref="AB268" r:id="rId607" display="https://www.jivi.com.ar/ficha.php?id=1364"/>
    <hyperlink ref="AB196" r:id="rId608" display="https://www.jivi.com.ar/ficha.php?id=1391"/>
    <hyperlink ref="AB197" r:id="rId609" display="https://www.jivi.com.ar/ficha.php?id=2066"/>
    <hyperlink ref="AB439" r:id="rId610" display="https://www.jivi.com.ar/ficha.php?id=2067"/>
    <hyperlink ref="AB440" r:id="rId611" display="https://www.jivi.com.ar/ficha.php?id=2068"/>
    <hyperlink ref="AB571" r:id="rId612" display="https://www.jivi.com.ar/ficha.php?id=1295"/>
    <hyperlink ref="AB622" r:id="rId613" display="https://www.jivi.com.ar/ficha.php?id=2069"/>
    <hyperlink ref="AB604" r:id="rId614" display="https://www.jivi.com.ar/ficha.php?id=2070"/>
    <hyperlink ref="AB305" r:id="rId615" display="https://www.jivi.com.ar/ficha.php?id=1775"/>
    <hyperlink ref="AB566" r:id="rId616" display="https://www.jivi.com.ar/ficha.php?id=2083"/>
    <hyperlink ref="AB168" r:id="rId617" display="https://www.jivi.com.ar/ficha.php?id=1266"/>
    <hyperlink ref="AB173" r:id="rId618" display="https://www.jivi.com.ar/ficha.php?id=2084"/>
    <hyperlink ref="AB167" r:id="rId619" display="https://www.jivi.com.ar/ficha.php?id=2085"/>
    <hyperlink ref="AB174" r:id="rId620" display="https://www.jivi.com.ar/ficha.php?id=1001"/>
    <hyperlink ref="AB103" r:id="rId621" display="https://www.jivi.com.ar/ficha.php?id=333"/>
    <hyperlink ref="AB441" r:id="rId622" display="https://www.jivi.com.ar/ficha.php?id=1512"/>
    <hyperlink ref="AB444" r:id="rId623" display="https://www.jivi.com.ar/ficha.php?id=1786"/>
    <hyperlink ref="AB370" r:id="rId624" display="https://www.jivi.com.ar/ficha.php?id=1299"/>
    <hyperlink ref="AB621" r:id="rId625" display="https://www.jivi.com.ar/ficha.php?id=2097"/>
    <hyperlink ref="AB445" r:id="rId626" display="https://www.jivi.com.ar/ficha.php?id=2101"/>
    <hyperlink ref="AB509" r:id="rId627"/>
    <hyperlink ref="AB510" r:id="rId628"/>
    <hyperlink ref="AB170" r:id="rId629" display="https://www.jivi.com.ar/ficha.php?id=2142"/>
    <hyperlink ref="AB259" r:id="rId630" display="https://www.jivi.com.ar/ficha.php?id=2147"/>
    <hyperlink ref="AB260" r:id="rId631" display="https://www.jivi.com.ar/ficha.php?id=2146"/>
    <hyperlink ref="AB330" r:id="rId632" display="https://www.jivi.com.ar/ficha.php?id=1403"/>
  </hyperlinks>
  <pageMargins left="0.27559055118110237" right="0.11811023622047245" top="0.19685039370078741" bottom="0.15748031496062992" header="0.11811023622047245" footer="0.15748031496062992"/>
  <pageSetup paperSize="5" orientation="portrait" copies="5" r:id="rId633"/>
  <headerFooter alignWithMargins="0"/>
  <cellWatches>
    <cellWatch r="X8"/>
  </cellWatches>
  <ignoredErrors>
    <ignoredError sqref="AB648 AB658 AB686:AB687 AB681:AB683 AB674:AB677" numberStoredAsText="1"/>
    <ignoredError sqref="X641 B26:E26 C25:E25 A198:E198 A104:E105 H399:Q399 C27:E27 H55:I55 G56:I57 H655:L657 G278 G280 B145:E145 C232:E232 G318:W318 U30 S38:S39 S35 U35 U38:U39 S41 U41 G54:I54 H473 H474:M474 H475:M475 H476:M476 H477:M477 H478:M478 J473:M473 S47 U47 F515:T515 W511 G355:G357 G289:M289 F215 V92:W93 F82:I89 F91:I91 F90:I90 Q106 I58:I60 U106 S106 J81:J91 B273:E273 W551:W552 H290:M290 G95:G99 H354:J358 G81:I81 H374:J374 G285:M285 G286:M286 G287:M287 G288:M288 H94:W94 J10:K10 W98 X214:X216 J12:K12 X11 F513 G521:G532 G535 G658 H650:V650 G542:G550 H129 O108:O109 S108:S109 Q108:Q109 U108:U109 W447:X447 G272:G273 V27:V28 S30 H30:M30 H28:I28 I124:V124 U21:V23 G364:J365 G379:J382 H377:J377 G306:G308 N285:V289 O30 Q30 H29 I183:M183 I182:M182 I181:M181 I184:M184 H181:H184 H186:K186 H187:K191 P225:W225 P224 I13:V13 H16:H17 G145:W145 G185:W185 H223:W223 F462 W457 W519:W520 H551:I552 K551:K552 U551:U552 S551:S552 Q551:Q552 O551:O552 M551:M552 G263:G266 G298:G303 G192 I280:V280 I125:K126 O125 Q125 S125 U125 W233 M125:M126 H367:K367 G310:G311 G345:H345 J398:K398 K347:K349 G350:K351 K353:K358 K361:W363 K365:K366 P360 Q360 R360:W360 W355:W358 L347:V358 W366 K364:U364 G394:K397 G391:V391 K372:K382 H385:V389 G447:G451 I359:W359 I360:N360 N181:V184 W186 W191 M186:V191 G205:W210 H211:M211 G211 P216:W216 N211:W211 G212:S213 G225:O225 G224:N224 G295:G296 W297 G152:V152 H468:H470 H471:V472 I469:V470 I468:N468 O468:V468 G468:G472 G232:V232 L394:V398 L377:V382 G383:V383 J384:V384 N95:W95 H96:W96 H95:M95 J123:V123 G233 W255 G254:V255 H281:V283 H272:W279 L365:V369 G368:K369 L372:V375 G166 J465:V465 G452:V456 G390:M390 W507 H542:V544 F609:V609 H546:V550 H545:O545 R545:V545 L376:W376 H446:V451 G457:G459 H269:V269 G608:V608 H519:V540 G537:G540 H541:W541 G226:V230 H231:V231 G316:V316 G423:G426 H620:W620 H694:T698 H690:V693 H683:I683 H681:V682 H684:W685 H648:W648 G628:V630 H651:W651 H688:H689 L688:V688 J689:V689 K683:V683 I652:W652 G653:W653 F595:V600 F674:V677 G429:V429 K392:V393 H270:W270 J271:W271 H291:V291 H315:W315 G284:V284 H154:V155 I127:V129 H18:T18 G69 G104:V105 J146:V146 H175:W176 G164 H178:W180 I177:W177 G198:V198 G216:I222 K217:V222 G214:W215 K216:O216 W217 G359:H360 H419:V428 F442:G442 F607:V607 G606:V606 G292:V293 H317:V317 G443 G461:G465 G511:V514 H591:V593 G594:V594 F602:V603 G601:V601 F615:V616 G610:V614 G617:V619 I658:W658 G339:H339 H153:I153 L153:V153 H233:V234 H235:W235 H687:V687 H686:I686 K686:V686 H673:W673 H678:V679 I680:V680 H249:V253 H261:W268 W196 H192:V197 F247:V248 I331:V346 F413:V415 F412:S412 V412 H430:V435 H494:V502 B581:V587 G580:V580 H604:V605 H457:V464 F417:V418 G416:V416 H294:V314 F329:V329 I579:V579 H634:V638 J632:V633 H174:V174 G101:G102 H97:V103 F621:V621 B590:V590 B588:E588 B589:E589 G588:V589 H436:W444 K370:V371 H622:V622 I161:N161 G242:V246 J405:V411 J486:V493 G445:V445 H485:O485 H570:V578 P659:W666 K54:W56 W64 G503:V508 H509:V510 H139:W142 H143:V144 H62:I69 W57:W58 J57:V69 N29:W29 L10:V12 U14:V14 H14:T15 H21:T24 H19:U20 H25:J27 K25:T28 H162:W173 H241:V241 H323:V328 K404:V404 G565:V569 G484:V484 H256:W258 H259:W260" formula="1"/>
    <ignoredError sqref="G375" evalError="1"/>
    <ignoredError sqref="H375:J375" evalError="1" formula="1"/>
  </ignoredErrors>
  <drawing r:id="rId634"/>
  <legacyDrawing r:id="rId6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2025-02-05T17:59:02Z</cp:lastPrinted>
  <dcterms:created xsi:type="dcterms:W3CDTF">2003-01-03T20:20:32Z</dcterms:created>
  <dcterms:modified xsi:type="dcterms:W3CDTF">2025-02-25T18:33:04Z</dcterms:modified>
</cp:coreProperties>
</file>