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11265" windowHeight="8085"/>
  </bookViews>
  <sheets>
    <sheet name="Artículos Publicitarios" sheetId="1" r:id="rId1"/>
    <sheet name="Hoja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5" i="1"/>
  <c r="F354"/>
  <c r="H68"/>
  <c r="I68" s="1"/>
  <c r="J68"/>
  <c r="F467" l="1"/>
  <c r="F410" l="1"/>
  <c r="V410" s="1"/>
  <c r="W410" s="1"/>
  <c r="H410" l="1"/>
  <c r="I410" s="1"/>
  <c r="L410"/>
  <c r="M410" s="1"/>
  <c r="J410"/>
  <c r="K410" s="1"/>
  <c r="N410"/>
  <c r="O410" s="1"/>
  <c r="P410"/>
  <c r="Q410" s="1"/>
  <c r="G410"/>
  <c r="R410"/>
  <c r="S410" s="1"/>
  <c r="T410"/>
  <c r="U410" s="1"/>
  <c r="T454" l="1"/>
  <c r="U454" s="1"/>
  <c r="R454"/>
  <c r="S454" s="1"/>
  <c r="Q454"/>
  <c r="P454"/>
  <c r="N454"/>
  <c r="O454" s="1"/>
  <c r="L454"/>
  <c r="M454" s="1"/>
  <c r="T453"/>
  <c r="U453" s="1"/>
  <c r="S453"/>
  <c r="R453"/>
  <c r="P453"/>
  <c r="Q453" s="1"/>
  <c r="O453"/>
  <c r="N453"/>
  <c r="L453"/>
  <c r="M453" s="1"/>
  <c r="T452"/>
  <c r="U452" s="1"/>
  <c r="S452"/>
  <c r="R452"/>
  <c r="Q452"/>
  <c r="P452"/>
  <c r="O452"/>
  <c r="N452"/>
  <c r="M452"/>
  <c r="L452"/>
  <c r="T451"/>
  <c r="U451" s="1"/>
  <c r="S451"/>
  <c r="R451"/>
  <c r="P451"/>
  <c r="Q451" s="1"/>
  <c r="N451"/>
  <c r="O451" s="1"/>
  <c r="L451"/>
  <c r="M451" s="1"/>
  <c r="T450"/>
  <c r="U450" s="1"/>
  <c r="S450"/>
  <c r="R450"/>
  <c r="Q450"/>
  <c r="P450"/>
  <c r="O450"/>
  <c r="N450"/>
  <c r="M450"/>
  <c r="L450"/>
  <c r="T449"/>
  <c r="U449" s="1"/>
  <c r="R449"/>
  <c r="S449" s="1"/>
  <c r="P449"/>
  <c r="Q449" s="1"/>
  <c r="N449"/>
  <c r="O449" s="1"/>
  <c r="L449"/>
  <c r="M449" s="1"/>
  <c r="V462"/>
  <c r="W462" s="1"/>
  <c r="T462"/>
  <c r="U462" s="1"/>
  <c r="R462"/>
  <c r="S462" s="1"/>
  <c r="P462"/>
  <c r="Q462" s="1"/>
  <c r="N462"/>
  <c r="O462" s="1"/>
  <c r="L462"/>
  <c r="M462" s="1"/>
  <c r="J462"/>
  <c r="K462" s="1"/>
  <c r="H462"/>
  <c r="I462" s="1"/>
  <c r="V461"/>
  <c r="W461" s="1"/>
  <c r="T461"/>
  <c r="U461" s="1"/>
  <c r="S461"/>
  <c r="R461"/>
  <c r="P461"/>
  <c r="Q461" s="1"/>
  <c r="O461"/>
  <c r="N461"/>
  <c r="L461"/>
  <c r="M461" s="1"/>
  <c r="J461"/>
  <c r="K461" s="1"/>
  <c r="H461"/>
  <c r="I461" s="1"/>
  <c r="V460"/>
  <c r="W460" s="1"/>
  <c r="T460"/>
  <c r="U460" s="1"/>
  <c r="S460"/>
  <c r="R460"/>
  <c r="P460"/>
  <c r="Q460" s="1"/>
  <c r="N460"/>
  <c r="O460" s="1"/>
  <c r="L460"/>
  <c r="M460" s="1"/>
  <c r="J460"/>
  <c r="K460" s="1"/>
  <c r="H460"/>
  <c r="I460" s="1"/>
  <c r="V459"/>
  <c r="W459" s="1"/>
  <c r="T459"/>
  <c r="U459" s="1"/>
  <c r="R459"/>
  <c r="S459" s="1"/>
  <c r="P459"/>
  <c r="Q459" s="1"/>
  <c r="N459"/>
  <c r="O459" s="1"/>
  <c r="L459"/>
  <c r="M459" s="1"/>
  <c r="J459"/>
  <c r="K459" s="1"/>
  <c r="H459"/>
  <c r="I459" s="1"/>
  <c r="V458"/>
  <c r="W458" s="1"/>
  <c r="T458"/>
  <c r="U458" s="1"/>
  <c r="R458"/>
  <c r="S458" s="1"/>
  <c r="P458"/>
  <c r="Q458" s="1"/>
  <c r="N458"/>
  <c r="O458" s="1"/>
  <c r="L458"/>
  <c r="M458" s="1"/>
  <c r="J458"/>
  <c r="K458" s="1"/>
  <c r="H458"/>
  <c r="I458" s="1"/>
  <c r="V457"/>
  <c r="W457" s="1"/>
  <c r="T457"/>
  <c r="U457" s="1"/>
  <c r="S457"/>
  <c r="R457"/>
  <c r="Q457"/>
  <c r="P457"/>
  <c r="N457"/>
  <c r="O457" s="1"/>
  <c r="L457"/>
  <c r="M457" s="1"/>
  <c r="J457"/>
  <c r="K457" s="1"/>
  <c r="H457"/>
  <c r="I457" s="1"/>
  <c r="V456"/>
  <c r="W456" s="1"/>
  <c r="T456"/>
  <c r="U456" s="1"/>
  <c r="S456"/>
  <c r="R456"/>
  <c r="P456"/>
  <c r="Q456" s="1"/>
  <c r="O456"/>
  <c r="N456"/>
  <c r="L456"/>
  <c r="M456" s="1"/>
  <c r="J456"/>
  <c r="K456" s="1"/>
  <c r="H456"/>
  <c r="I456" s="1"/>
  <c r="V465"/>
  <c r="W465" s="1"/>
  <c r="U465"/>
  <c r="T465"/>
  <c r="S465"/>
  <c r="R465"/>
  <c r="Q465"/>
  <c r="P465"/>
  <c r="N465"/>
  <c r="O465" s="1"/>
  <c r="L465"/>
  <c r="M465" s="1"/>
  <c r="J465"/>
  <c r="K465" s="1"/>
  <c r="I465"/>
  <c r="H465"/>
  <c r="V464"/>
  <c r="W464" s="1"/>
  <c r="T464"/>
  <c r="U464" s="1"/>
  <c r="S464"/>
  <c r="R464"/>
  <c r="Q464"/>
  <c r="P464"/>
  <c r="N464"/>
  <c r="O464" s="1"/>
  <c r="L464"/>
  <c r="M464" s="1"/>
  <c r="J464"/>
  <c r="K464" s="1"/>
  <c r="H464"/>
  <c r="I464" s="1"/>
  <c r="W469"/>
  <c r="V469"/>
  <c r="U469"/>
  <c r="T469"/>
  <c r="S469"/>
  <c r="R469"/>
  <c r="P469"/>
  <c r="Q469" s="1"/>
  <c r="N469"/>
  <c r="O469" s="1"/>
  <c r="L469"/>
  <c r="M469" s="1"/>
  <c r="J469"/>
  <c r="K469" s="1"/>
  <c r="I469"/>
  <c r="H469"/>
  <c r="V502" l="1"/>
  <c r="W502" s="1"/>
  <c r="T502"/>
  <c r="U502" s="1"/>
  <c r="R502"/>
  <c r="S502" s="1"/>
  <c r="P502"/>
  <c r="Q502" s="1"/>
  <c r="N502"/>
  <c r="O502" s="1"/>
  <c r="L502"/>
  <c r="M502" s="1"/>
  <c r="J502"/>
  <c r="K502" s="1"/>
  <c r="H502"/>
  <c r="I502" s="1"/>
  <c r="V504"/>
  <c r="W504" s="1"/>
  <c r="T504"/>
  <c r="U504" s="1"/>
  <c r="R504"/>
  <c r="S504" s="1"/>
  <c r="P504"/>
  <c r="Q504" s="1"/>
  <c r="N504"/>
  <c r="O504" s="1"/>
  <c r="L504"/>
  <c r="M504" s="1"/>
  <c r="V503"/>
  <c r="W503" s="1"/>
  <c r="T503"/>
  <c r="U503" s="1"/>
  <c r="R503"/>
  <c r="S503" s="1"/>
  <c r="P503"/>
  <c r="Q503" s="1"/>
  <c r="N503"/>
  <c r="O503" s="1"/>
  <c r="L503"/>
  <c r="M503" s="1"/>
  <c r="J504"/>
  <c r="K504" s="1"/>
  <c r="J503"/>
  <c r="K503" s="1"/>
  <c r="F549" l="1"/>
  <c r="F548"/>
  <c r="F543"/>
  <c r="F542"/>
  <c r="F541"/>
  <c r="F539"/>
  <c r="F538"/>
  <c r="F537"/>
  <c r="F523"/>
  <c r="F455"/>
  <c r="G455" s="1"/>
  <c r="P455" l="1"/>
  <c r="Q455" s="1"/>
  <c r="N455"/>
  <c r="O455" s="1"/>
  <c r="L455"/>
  <c r="M455" s="1"/>
  <c r="V455"/>
  <c r="W455" s="1"/>
  <c r="J455"/>
  <c r="K455" s="1"/>
  <c r="T455"/>
  <c r="U455" s="1"/>
  <c r="R455"/>
  <c r="S455" s="1"/>
  <c r="H455"/>
  <c r="I455" s="1"/>
  <c r="J467" l="1"/>
  <c r="K467" s="1"/>
  <c r="H467"/>
  <c r="I467" s="1"/>
  <c r="L467"/>
  <c r="M467" s="1"/>
  <c r="R467"/>
  <c r="S467" s="1"/>
  <c r="P467"/>
  <c r="Q467" s="1"/>
  <c r="V467"/>
  <c r="W467" s="1"/>
  <c r="N467"/>
  <c r="O467" s="1"/>
  <c r="T467"/>
  <c r="U467" s="1"/>
  <c r="F486"/>
  <c r="F485"/>
  <c r="F494"/>
  <c r="F495"/>
  <c r="F501"/>
  <c r="L495" l="1"/>
  <c r="M495" s="1"/>
  <c r="J495"/>
  <c r="K495" s="1"/>
  <c r="T495"/>
  <c r="U495" s="1"/>
  <c r="P495"/>
  <c r="Q495" s="1"/>
  <c r="V495"/>
  <c r="W495" s="1"/>
  <c r="N495"/>
  <c r="O495" s="1"/>
  <c r="R495"/>
  <c r="S495" s="1"/>
  <c r="R485"/>
  <c r="S485" s="1"/>
  <c r="P485"/>
  <c r="Q485" s="1"/>
  <c r="N485"/>
  <c r="O485" s="1"/>
  <c r="L485"/>
  <c r="M485" s="1"/>
  <c r="J485"/>
  <c r="K485" s="1"/>
  <c r="H485"/>
  <c r="I485" s="1"/>
  <c r="T485"/>
  <c r="U485" s="1"/>
  <c r="V485"/>
  <c r="W485" s="1"/>
  <c r="V494"/>
  <c r="W494" s="1"/>
  <c r="T494"/>
  <c r="U494" s="1"/>
  <c r="J494"/>
  <c r="K494" s="1"/>
  <c r="R494"/>
  <c r="S494" s="1"/>
  <c r="P494"/>
  <c r="Q494" s="1"/>
  <c r="N494"/>
  <c r="O494" s="1"/>
  <c r="L494"/>
  <c r="M494" s="1"/>
  <c r="V486"/>
  <c r="W486" s="1"/>
  <c r="T486"/>
  <c r="U486" s="1"/>
  <c r="R486"/>
  <c r="S486" s="1"/>
  <c r="P486"/>
  <c r="Q486" s="1"/>
  <c r="N486"/>
  <c r="O486" s="1"/>
  <c r="L486"/>
  <c r="M486" s="1"/>
  <c r="J486"/>
  <c r="K486" s="1"/>
  <c r="N501"/>
  <c r="O501" s="1"/>
  <c r="L501"/>
  <c r="M501" s="1"/>
  <c r="J501"/>
  <c r="K501" s="1"/>
  <c r="H501"/>
  <c r="I501" s="1"/>
  <c r="P501"/>
  <c r="Q501" s="1"/>
  <c r="V501"/>
  <c r="W501" s="1"/>
  <c r="T501"/>
  <c r="U501" s="1"/>
  <c r="R501"/>
  <c r="S501" s="1"/>
  <c r="F616"/>
  <c r="F613"/>
  <c r="F612"/>
  <c r="F440"/>
  <c r="F426"/>
  <c r="F425"/>
  <c r="F409"/>
  <c r="F404"/>
  <c r="H404" s="1"/>
  <c r="F403"/>
  <c r="H403" s="1"/>
  <c r="F401"/>
  <c r="H401" s="1"/>
  <c r="F400"/>
  <c r="T400" s="1"/>
  <c r="U400" s="1"/>
  <c r="F390"/>
  <c r="F388"/>
  <c r="F357"/>
  <c r="F382"/>
  <c r="F380"/>
  <c r="P400" l="1"/>
  <c r="Q400" s="1"/>
  <c r="J400"/>
  <c r="K400" s="1"/>
  <c r="H400"/>
  <c r="I400" s="1"/>
  <c r="R400"/>
  <c r="S400" s="1"/>
  <c r="V400"/>
  <c r="W400" s="1"/>
  <c r="G400"/>
  <c r="N400"/>
  <c r="O400" s="1"/>
  <c r="L400"/>
  <c r="M400" s="1"/>
  <c r="F530"/>
  <c r="F371"/>
  <c r="F367"/>
  <c r="F368"/>
  <c r="F350"/>
  <c r="F345"/>
  <c r="F342"/>
  <c r="F365"/>
  <c r="F366"/>
  <c r="F341"/>
  <c r="F339"/>
  <c r="F338" l="1"/>
  <c r="F314"/>
  <c r="F313"/>
  <c r="F309"/>
  <c r="F301"/>
  <c r="F298"/>
  <c r="F290"/>
  <c r="F287"/>
  <c r="F286"/>
  <c r="F285"/>
  <c r="F283"/>
  <c r="F278"/>
  <c r="F536"/>
  <c r="V536" s="1"/>
  <c r="W536" s="1"/>
  <c r="F250"/>
  <c r="F248"/>
  <c r="F247"/>
  <c r="F255"/>
  <c r="H255" s="1"/>
  <c r="F242"/>
  <c r="F234"/>
  <c r="F231"/>
  <c r="F225"/>
  <c r="F221"/>
  <c r="F215"/>
  <c r="F197"/>
  <c r="F188"/>
  <c r="F187"/>
  <c r="F167"/>
  <c r="F166"/>
  <c r="F165"/>
  <c r="F163"/>
  <c r="F162"/>
  <c r="F161"/>
  <c r="F154"/>
  <c r="F145"/>
  <c r="F144"/>
  <c r="F103"/>
  <c r="F100"/>
  <c r="H100" s="1"/>
  <c r="F96"/>
  <c r="W430"/>
  <c r="U430"/>
  <c r="S430"/>
  <c r="Q430"/>
  <c r="O430"/>
  <c r="W429"/>
  <c r="U429"/>
  <c r="S429"/>
  <c r="Q429"/>
  <c r="O429"/>
  <c r="W424"/>
  <c r="U424"/>
  <c r="S424"/>
  <c r="Q424"/>
  <c r="O424"/>
  <c r="W423"/>
  <c r="U423"/>
  <c r="S423"/>
  <c r="Q423"/>
  <c r="O423"/>
  <c r="F26"/>
  <c r="F28"/>
  <c r="F30"/>
  <c r="F16"/>
  <c r="F17"/>
  <c r="G309" l="1"/>
  <c r="J309"/>
  <c r="R536"/>
  <c r="S536" s="1"/>
  <c r="G536"/>
  <c r="H536"/>
  <c r="I536" s="1"/>
  <c r="J536"/>
  <c r="K536" s="1"/>
  <c r="L536"/>
  <c r="M536" s="1"/>
  <c r="N536"/>
  <c r="O536" s="1"/>
  <c r="T536"/>
  <c r="U536" s="1"/>
  <c r="P536"/>
  <c r="Q536" s="1"/>
  <c r="F391"/>
  <c r="G391" s="1"/>
  <c r="T412" l="1"/>
  <c r="R412"/>
  <c r="P412"/>
  <c r="N412"/>
  <c r="L412"/>
  <c r="F482" l="1"/>
  <c r="V482" l="1"/>
  <c r="W482" s="1"/>
  <c r="T482"/>
  <c r="U482" s="1"/>
  <c r="N482"/>
  <c r="O482" s="1"/>
  <c r="L482"/>
  <c r="M482" s="1"/>
  <c r="R482"/>
  <c r="S482" s="1"/>
  <c r="P482"/>
  <c r="J482"/>
  <c r="K482" s="1"/>
  <c r="H482"/>
  <c r="I482" s="1"/>
  <c r="Q482"/>
  <c r="G482"/>
  <c r="F364"/>
  <c r="V364" l="1"/>
  <c r="W364" s="1"/>
  <c r="T364"/>
  <c r="U364" s="1"/>
  <c r="P364"/>
  <c r="Q364" s="1"/>
  <c r="N364"/>
  <c r="O364" s="1"/>
  <c r="R364"/>
  <c r="S364" s="1"/>
  <c r="L364" l="1"/>
  <c r="M364" s="1"/>
  <c r="G364"/>
  <c r="F547"/>
  <c r="F505" l="1"/>
  <c r="G505" l="1"/>
  <c r="R505"/>
  <c r="S505" s="1"/>
  <c r="P505"/>
  <c r="Q505" s="1"/>
  <c r="N505"/>
  <c r="O505" s="1"/>
  <c r="L505"/>
  <c r="M505" s="1"/>
  <c r="J505"/>
  <c r="K505" s="1"/>
  <c r="H505"/>
  <c r="I505" s="1"/>
  <c r="T505"/>
  <c r="U505" s="1"/>
  <c r="V505"/>
  <c r="W505" s="1"/>
  <c r="P366"/>
  <c r="Q366" s="1"/>
  <c r="R366" l="1"/>
  <c r="S366" s="1"/>
  <c r="G366"/>
  <c r="L366"/>
  <c r="M366" s="1"/>
  <c r="T366"/>
  <c r="U366" s="1"/>
  <c r="N366"/>
  <c r="O366" s="1"/>
  <c r="V366"/>
  <c r="W366" s="1"/>
  <c r="F362"/>
  <c r="T362" l="1"/>
  <c r="U362" s="1"/>
  <c r="V362" l="1"/>
  <c r="W362" s="1"/>
  <c r="G362"/>
  <c r="L362"/>
  <c r="M362" s="1"/>
  <c r="N362"/>
  <c r="O362" s="1"/>
  <c r="P362"/>
  <c r="Q362" s="1"/>
  <c r="R362"/>
  <c r="S362" s="1"/>
  <c r="F340" l="1"/>
  <c r="V340" s="1"/>
  <c r="W340" s="1"/>
  <c r="N613"/>
  <c r="O613" s="1"/>
  <c r="F518"/>
  <c r="N518" s="1"/>
  <c r="O518" s="1"/>
  <c r="F521"/>
  <c r="J521" s="1"/>
  <c r="K521" s="1"/>
  <c r="F519"/>
  <c r="L519" s="1"/>
  <c r="M519" s="1"/>
  <c r="J547"/>
  <c r="K547" s="1"/>
  <c r="F245"/>
  <c r="T100"/>
  <c r="U100" s="1"/>
  <c r="V144"/>
  <c r="W144" s="1"/>
  <c r="N521" l="1"/>
  <c r="O521" s="1"/>
  <c r="P518"/>
  <c r="Q518" s="1"/>
  <c r="V518"/>
  <c r="W518" s="1"/>
  <c r="T521"/>
  <c r="U521" s="1"/>
  <c r="V521"/>
  <c r="W521" s="1"/>
  <c r="R521"/>
  <c r="S521" s="1"/>
  <c r="R518"/>
  <c r="S518" s="1"/>
  <c r="L521"/>
  <c r="M521" s="1"/>
  <c r="P521"/>
  <c r="Q521" s="1"/>
  <c r="T518"/>
  <c r="U518" s="1"/>
  <c r="H518"/>
  <c r="I518" s="1"/>
  <c r="J518"/>
  <c r="K518" s="1"/>
  <c r="T340"/>
  <c r="U340" s="1"/>
  <c r="H521"/>
  <c r="I521" s="1"/>
  <c r="L518"/>
  <c r="M518" s="1"/>
  <c r="J613"/>
  <c r="K613" s="1"/>
  <c r="T613"/>
  <c r="U613" s="1"/>
  <c r="G613"/>
  <c r="P613"/>
  <c r="Q613" s="1"/>
  <c r="L613"/>
  <c r="M613" s="1"/>
  <c r="R613"/>
  <c r="S613" s="1"/>
  <c r="N519"/>
  <c r="O519" s="1"/>
  <c r="P519"/>
  <c r="Q519" s="1"/>
  <c r="V519"/>
  <c r="W519" s="1"/>
  <c r="R519"/>
  <c r="S519" s="1"/>
  <c r="G519"/>
  <c r="H519"/>
  <c r="I519" s="1"/>
  <c r="T519"/>
  <c r="U519" s="1"/>
  <c r="J519"/>
  <c r="K519" s="1"/>
  <c r="V547"/>
  <c r="W547" s="1"/>
  <c r="R547"/>
  <c r="S547" s="1"/>
  <c r="G547"/>
  <c r="H547"/>
  <c r="I547" s="1"/>
  <c r="T547"/>
  <c r="U547" s="1"/>
  <c r="L547"/>
  <c r="M547" s="1"/>
  <c r="N547"/>
  <c r="O547" s="1"/>
  <c r="P547"/>
  <c r="Q547" s="1"/>
  <c r="R100"/>
  <c r="S100" s="1"/>
  <c r="J100"/>
  <c r="K100" s="1"/>
  <c r="L100"/>
  <c r="M100" s="1"/>
  <c r="N100"/>
  <c r="O100" s="1"/>
  <c r="P100"/>
  <c r="Q100" s="1"/>
  <c r="G100"/>
  <c r="I100"/>
  <c r="L144"/>
  <c r="M144" s="1"/>
  <c r="R144"/>
  <c r="S144" s="1"/>
  <c r="N144"/>
  <c r="O144" s="1"/>
  <c r="P144"/>
  <c r="Q144" s="1"/>
  <c r="G144"/>
  <c r="H144"/>
  <c r="I144" s="1"/>
  <c r="T144"/>
  <c r="U144" s="1"/>
  <c r="J144"/>
  <c r="K144" s="1"/>
  <c r="F439" l="1"/>
  <c r="L439" s="1"/>
  <c r="M439" s="1"/>
  <c r="F441"/>
  <c r="V441" s="1"/>
  <c r="W441" s="1"/>
  <c r="H440"/>
  <c r="I440" s="1"/>
  <c r="P621"/>
  <c r="P620"/>
  <c r="N621"/>
  <c r="N620"/>
  <c r="H621"/>
  <c r="H620"/>
  <c r="J621"/>
  <c r="J620"/>
  <c r="L621"/>
  <c r="L620"/>
  <c r="R620"/>
  <c r="R621"/>
  <c r="J612"/>
  <c r="N439" l="1"/>
  <c r="O439" s="1"/>
  <c r="P439"/>
  <c r="Q439" s="1"/>
  <c r="R439"/>
  <c r="S439" s="1"/>
  <c r="G439"/>
  <c r="H439"/>
  <c r="I439" s="1"/>
  <c r="T439"/>
  <c r="U439" s="1"/>
  <c r="J439"/>
  <c r="K439" s="1"/>
  <c r="V439"/>
  <c r="W439" s="1"/>
  <c r="L441"/>
  <c r="M441" s="1"/>
  <c r="H441"/>
  <c r="I441" s="1"/>
  <c r="T441"/>
  <c r="U441" s="1"/>
  <c r="N441"/>
  <c r="O441" s="1"/>
  <c r="P441"/>
  <c r="Q441" s="1"/>
  <c r="R441"/>
  <c r="S441" s="1"/>
  <c r="G441"/>
  <c r="J441"/>
  <c r="K441" s="1"/>
  <c r="T612"/>
  <c r="U612" s="1"/>
  <c r="N440"/>
  <c r="O440" s="1"/>
  <c r="P440"/>
  <c r="Q440" s="1"/>
  <c r="R440"/>
  <c r="S440" s="1"/>
  <c r="T440"/>
  <c r="U440" s="1"/>
  <c r="J440"/>
  <c r="K440" s="1"/>
  <c r="V440"/>
  <c r="W440" s="1"/>
  <c r="L440"/>
  <c r="M440" s="1"/>
  <c r="G440"/>
  <c r="N612"/>
  <c r="O612" s="1"/>
  <c r="P612"/>
  <c r="Q612" s="1"/>
  <c r="L612"/>
  <c r="M612" s="1"/>
  <c r="R612"/>
  <c r="S612" s="1"/>
  <c r="G612"/>
  <c r="K612"/>
  <c r="L436"/>
  <c r="M436" s="1"/>
  <c r="J436"/>
  <c r="K436" s="1"/>
  <c r="H436"/>
  <c r="I436" s="1"/>
  <c r="F446"/>
  <c r="V446" s="1"/>
  <c r="W446" s="1"/>
  <c r="F444"/>
  <c r="P444" s="1"/>
  <c r="Q444" s="1"/>
  <c r="F443"/>
  <c r="H443" s="1"/>
  <c r="I443" s="1"/>
  <c r="F442"/>
  <c r="V442" s="1"/>
  <c r="W442" s="1"/>
  <c r="F447"/>
  <c r="V447" s="1"/>
  <c r="W447" s="1"/>
  <c r="F445"/>
  <c r="N445" s="1"/>
  <c r="O445" s="1"/>
  <c r="F394"/>
  <c r="H394" s="1"/>
  <c r="I394" s="1"/>
  <c r="F363"/>
  <c r="R442" l="1"/>
  <c r="S442" s="1"/>
  <c r="J442"/>
  <c r="K442" s="1"/>
  <c r="P442"/>
  <c r="Q442" s="1"/>
  <c r="G444"/>
  <c r="H444"/>
  <c r="I444" s="1"/>
  <c r="T444"/>
  <c r="U444" s="1"/>
  <c r="J445"/>
  <c r="K445" s="1"/>
  <c r="T445"/>
  <c r="U445" s="1"/>
  <c r="H447"/>
  <c r="I447" s="1"/>
  <c r="L443"/>
  <c r="M443" s="1"/>
  <c r="J447"/>
  <c r="K447" s="1"/>
  <c r="T442"/>
  <c r="U442" s="1"/>
  <c r="N443"/>
  <c r="O443" s="1"/>
  <c r="P447"/>
  <c r="Q447" s="1"/>
  <c r="G442"/>
  <c r="R447"/>
  <c r="S447" s="1"/>
  <c r="V443"/>
  <c r="W443" s="1"/>
  <c r="G447"/>
  <c r="J444"/>
  <c r="K444" s="1"/>
  <c r="V445"/>
  <c r="W445" s="1"/>
  <c r="J443"/>
  <c r="K443" s="1"/>
  <c r="P443"/>
  <c r="Q443" s="1"/>
  <c r="G443"/>
  <c r="H442"/>
  <c r="I442" s="1"/>
  <c r="R444"/>
  <c r="S444" s="1"/>
  <c r="G445"/>
  <c r="L442"/>
  <c r="M442" s="1"/>
  <c r="R443"/>
  <c r="S443" s="1"/>
  <c r="V444"/>
  <c r="W444" s="1"/>
  <c r="L447"/>
  <c r="M447" s="1"/>
  <c r="H446"/>
  <c r="I446" s="1"/>
  <c r="J446"/>
  <c r="K446" s="1"/>
  <c r="G446"/>
  <c r="N442"/>
  <c r="O442" s="1"/>
  <c r="T443"/>
  <c r="U443" s="1"/>
  <c r="H445"/>
  <c r="I445" s="1"/>
  <c r="L446"/>
  <c r="M446" s="1"/>
  <c r="N447"/>
  <c r="O447" s="1"/>
  <c r="P446"/>
  <c r="Q446" s="1"/>
  <c r="R446"/>
  <c r="S446" s="1"/>
  <c r="L444"/>
  <c r="M444" s="1"/>
  <c r="P445"/>
  <c r="Q445" s="1"/>
  <c r="T447"/>
  <c r="U447" s="1"/>
  <c r="L445"/>
  <c r="M445" s="1"/>
  <c r="N444"/>
  <c r="O444" s="1"/>
  <c r="R445"/>
  <c r="S445" s="1"/>
  <c r="T446"/>
  <c r="U446" s="1"/>
  <c r="N446"/>
  <c r="O446" s="1"/>
  <c r="N363"/>
  <c r="O363" s="1"/>
  <c r="V394"/>
  <c r="W394" s="1"/>
  <c r="T394"/>
  <c r="U394" s="1"/>
  <c r="R394"/>
  <c r="S394" s="1"/>
  <c r="T363" l="1"/>
  <c r="U363" s="1"/>
  <c r="G363"/>
  <c r="P363"/>
  <c r="Q363" s="1"/>
  <c r="R363"/>
  <c r="S363" s="1"/>
  <c r="V363"/>
  <c r="W363" s="1"/>
  <c r="L363"/>
  <c r="M363" s="1"/>
  <c r="V354"/>
  <c r="W354" s="1"/>
  <c r="T354"/>
  <c r="U354" s="1"/>
  <c r="R354"/>
  <c r="S354" s="1"/>
  <c r="P354"/>
  <c r="Q354" s="1"/>
  <c r="N354"/>
  <c r="O354" s="1"/>
  <c r="L354"/>
  <c r="M354" s="1"/>
  <c r="W50" l="1"/>
  <c r="U50"/>
  <c r="S50"/>
  <c r="Q50"/>
  <c r="O50"/>
  <c r="W49"/>
  <c r="U49"/>
  <c r="S49"/>
  <c r="Q49"/>
  <c r="O49"/>
  <c r="W47"/>
  <c r="U47"/>
  <c r="S47"/>
  <c r="Q47"/>
  <c r="O47"/>
  <c r="W46"/>
  <c r="U46"/>
  <c r="S46"/>
  <c r="Q46"/>
  <c r="O46"/>
  <c r="W44"/>
  <c r="U44"/>
  <c r="S44"/>
  <c r="Q44"/>
  <c r="O44"/>
  <c r="W43"/>
  <c r="U43"/>
  <c r="S43"/>
  <c r="Q43"/>
  <c r="O43"/>
  <c r="W38"/>
  <c r="U38"/>
  <c r="S38"/>
  <c r="Q38"/>
  <c r="O38"/>
  <c r="W41"/>
  <c r="U41"/>
  <c r="S41"/>
  <c r="Q41"/>
  <c r="O41"/>
  <c r="W35"/>
  <c r="U35"/>
  <c r="S35"/>
  <c r="Q35"/>
  <c r="O35"/>
  <c r="W34"/>
  <c r="U34"/>
  <c r="S34"/>
  <c r="Q34"/>
  <c r="O34"/>
  <c r="W33"/>
  <c r="U33"/>
  <c r="S33"/>
  <c r="Q33"/>
  <c r="O33"/>
  <c r="W32"/>
  <c r="U32"/>
  <c r="S32"/>
  <c r="Q32"/>
  <c r="O32"/>
  <c r="F308" l="1"/>
  <c r="J308" s="1"/>
  <c r="F626" l="1"/>
  <c r="F625"/>
  <c r="V391" l="1"/>
  <c r="W391" s="1"/>
  <c r="T391"/>
  <c r="U391" s="1"/>
  <c r="R391"/>
  <c r="S391" s="1"/>
  <c r="P391"/>
  <c r="Q391" s="1"/>
  <c r="N391"/>
  <c r="O391" s="1"/>
  <c r="L391"/>
  <c r="M391" s="1"/>
  <c r="J391"/>
  <c r="K391" s="1"/>
  <c r="V148"/>
  <c r="W148" s="1"/>
  <c r="T148"/>
  <c r="U148" s="1"/>
  <c r="R148"/>
  <c r="S148" s="1"/>
  <c r="P148"/>
  <c r="Q148" s="1"/>
  <c r="N148"/>
  <c r="O148" s="1"/>
  <c r="L148"/>
  <c r="M148" s="1"/>
  <c r="J148"/>
  <c r="K148" s="1"/>
  <c r="W432"/>
  <c r="W431"/>
  <c r="W428"/>
  <c r="W427"/>
  <c r="U432"/>
  <c r="U431"/>
  <c r="U428"/>
  <c r="U427"/>
  <c r="S432"/>
  <c r="S431"/>
  <c r="S428"/>
  <c r="S427"/>
  <c r="Q432"/>
  <c r="Q431"/>
  <c r="Q428"/>
  <c r="Q427"/>
  <c r="O432"/>
  <c r="O431"/>
  <c r="O428"/>
  <c r="O427"/>
  <c r="G430"/>
  <c r="G431"/>
  <c r="G432"/>
  <c r="G429"/>
  <c r="G428"/>
  <c r="G427"/>
  <c r="V298" l="1"/>
  <c r="W298" s="1"/>
  <c r="R298" l="1"/>
  <c r="S298" s="1"/>
  <c r="G298"/>
  <c r="H298"/>
  <c r="I298" s="1"/>
  <c r="T298"/>
  <c r="U298" s="1"/>
  <c r="L298"/>
  <c r="M298" s="1"/>
  <c r="N298"/>
  <c r="O298" s="1"/>
  <c r="P298"/>
  <c r="Q298" s="1"/>
  <c r="J298"/>
  <c r="K298" s="1"/>
  <c r="F377" l="1"/>
  <c r="G521" l="1"/>
  <c r="F433"/>
  <c r="F434"/>
  <c r="F393"/>
  <c r="F387"/>
  <c r="F386"/>
  <c r="F385"/>
  <c r="F379"/>
  <c r="F378"/>
  <c r="F374"/>
  <c r="F358"/>
  <c r="F356"/>
  <c r="F349"/>
  <c r="F348"/>
  <c r="F343"/>
  <c r="T339"/>
  <c r="U339" s="1"/>
  <c r="T434" l="1"/>
  <c r="U434" s="1"/>
  <c r="P434"/>
  <c r="Q434" s="1"/>
  <c r="N434"/>
  <c r="O434" s="1"/>
  <c r="V434"/>
  <c r="W434" s="1"/>
  <c r="R434"/>
  <c r="S434" s="1"/>
  <c r="L434"/>
  <c r="M434" s="1"/>
  <c r="J434"/>
  <c r="K434" s="1"/>
  <c r="H434"/>
  <c r="I434" s="1"/>
  <c r="P433"/>
  <c r="J433"/>
  <c r="N433"/>
  <c r="H433"/>
  <c r="L433"/>
  <c r="R433"/>
  <c r="V433"/>
  <c r="T433"/>
  <c r="R339"/>
  <c r="S339" s="1"/>
  <c r="V339"/>
  <c r="W339" s="1"/>
  <c r="L339"/>
  <c r="M339" s="1"/>
  <c r="N339"/>
  <c r="O339" s="1"/>
  <c r="P339"/>
  <c r="Q339" s="1"/>
  <c r="G339"/>
  <c r="F335" l="1"/>
  <c r="F334"/>
  <c r="F333"/>
  <c r="F332"/>
  <c r="F331"/>
  <c r="F330"/>
  <c r="F328"/>
  <c r="F329"/>
  <c r="F327"/>
  <c r="F326"/>
  <c r="F325"/>
  <c r="F324"/>
  <c r="F322"/>
  <c r="F321"/>
  <c r="F320"/>
  <c r="F310"/>
  <c r="F470" l="1"/>
  <c r="R470" l="1"/>
  <c r="J470"/>
  <c r="V470"/>
  <c r="N470"/>
  <c r="L470"/>
  <c r="T470"/>
  <c r="P470"/>
  <c r="H470"/>
  <c r="W123"/>
  <c r="U123"/>
  <c r="S123"/>
  <c r="Q123"/>
  <c r="O123"/>
  <c r="M123"/>
  <c r="F506" l="1"/>
  <c r="R506" l="1"/>
  <c r="S506" s="1"/>
  <c r="P506"/>
  <c r="Q506" s="1"/>
  <c r="T506"/>
  <c r="U506" s="1"/>
  <c r="N506"/>
  <c r="O506" s="1"/>
  <c r="L506"/>
  <c r="M506" s="1"/>
  <c r="J506"/>
  <c r="K506" s="1"/>
  <c r="V506"/>
  <c r="W506" s="1"/>
  <c r="H20"/>
  <c r="I20" s="1"/>
  <c r="H21"/>
  <c r="I21" s="1"/>
  <c r="F402"/>
  <c r="H402" l="1"/>
  <c r="P402"/>
  <c r="Q402" s="1"/>
  <c r="T402"/>
  <c r="U402" s="1"/>
  <c r="N402"/>
  <c r="O402" s="1"/>
  <c r="R402"/>
  <c r="S402" s="1"/>
  <c r="V402"/>
  <c r="W402" s="1"/>
  <c r="V278"/>
  <c r="W278" s="1"/>
  <c r="F296"/>
  <c r="T296" s="1"/>
  <c r="U296" s="1"/>
  <c r="F300"/>
  <c r="N300" s="1"/>
  <c r="O300" s="1"/>
  <c r="T300" l="1"/>
  <c r="U300" s="1"/>
  <c r="P300"/>
  <c r="Q300" s="1"/>
  <c r="V300"/>
  <c r="W300" s="1"/>
  <c r="R300"/>
  <c r="S300" s="1"/>
  <c r="T278"/>
  <c r="U278" s="1"/>
  <c r="J278"/>
  <c r="K278" s="1"/>
  <c r="H300"/>
  <c r="I300" s="1"/>
  <c r="J300"/>
  <c r="K300" s="1"/>
  <c r="L300"/>
  <c r="M300" s="1"/>
  <c r="N278"/>
  <c r="O278" s="1"/>
  <c r="P278"/>
  <c r="Q278" s="1"/>
  <c r="R278"/>
  <c r="S278" s="1"/>
  <c r="L278"/>
  <c r="M278" s="1"/>
  <c r="G278"/>
  <c r="H278"/>
  <c r="I278" s="1"/>
  <c r="J296"/>
  <c r="K296" s="1"/>
  <c r="L296"/>
  <c r="M296" s="1"/>
  <c r="N296"/>
  <c r="O296" s="1"/>
  <c r="V296"/>
  <c r="W296" s="1"/>
  <c r="P296"/>
  <c r="Q296" s="1"/>
  <c r="R296"/>
  <c r="S296" s="1"/>
  <c r="G296"/>
  <c r="H296"/>
  <c r="I296" s="1"/>
  <c r="G300"/>
  <c r="N417" l="1"/>
  <c r="L417"/>
  <c r="J417"/>
  <c r="N418"/>
  <c r="L418"/>
  <c r="F496"/>
  <c r="F498"/>
  <c r="F497"/>
  <c r="F352"/>
  <c r="R352" s="1"/>
  <c r="S352" s="1"/>
  <c r="L497" l="1"/>
  <c r="M497" s="1"/>
  <c r="J497"/>
  <c r="K497" s="1"/>
  <c r="H497"/>
  <c r="I497" s="1"/>
  <c r="V497"/>
  <c r="W497" s="1"/>
  <c r="T497"/>
  <c r="U497" s="1"/>
  <c r="R497"/>
  <c r="S497" s="1"/>
  <c r="P497"/>
  <c r="Q497" s="1"/>
  <c r="N497"/>
  <c r="O497" s="1"/>
  <c r="J498"/>
  <c r="K498" s="1"/>
  <c r="V498"/>
  <c r="W498" s="1"/>
  <c r="T498"/>
  <c r="U498" s="1"/>
  <c r="R498"/>
  <c r="S498" s="1"/>
  <c r="P498"/>
  <c r="Q498" s="1"/>
  <c r="N498"/>
  <c r="O498" s="1"/>
  <c r="L498"/>
  <c r="M498" s="1"/>
  <c r="T496"/>
  <c r="U496" s="1"/>
  <c r="J496"/>
  <c r="K496" s="1"/>
  <c r="R496"/>
  <c r="S496" s="1"/>
  <c r="P496"/>
  <c r="Q496" s="1"/>
  <c r="N496"/>
  <c r="O496" s="1"/>
  <c r="L496"/>
  <c r="M496" s="1"/>
  <c r="V496"/>
  <c r="W496" s="1"/>
  <c r="G496"/>
  <c r="H496"/>
  <c r="I496" s="1"/>
  <c r="V352"/>
  <c r="W352" s="1"/>
  <c r="T352"/>
  <c r="U352" s="1"/>
  <c r="G352"/>
  <c r="N352"/>
  <c r="O352" s="1"/>
  <c r="L352"/>
  <c r="M352" s="1"/>
  <c r="P352"/>
  <c r="Q352" s="1"/>
  <c r="V112" l="1"/>
  <c r="V111"/>
  <c r="T112"/>
  <c r="T111"/>
  <c r="R112"/>
  <c r="R111"/>
  <c r="P112"/>
  <c r="P111"/>
  <c r="N112"/>
  <c r="N111"/>
  <c r="F375" l="1"/>
  <c r="F369"/>
  <c r="F347"/>
  <c r="F303"/>
  <c r="F302"/>
  <c r="F297"/>
  <c r="F289"/>
  <c r="F174"/>
  <c r="F173"/>
  <c r="F172"/>
  <c r="F171"/>
  <c r="L171" s="1"/>
  <c r="F170"/>
  <c r="F169"/>
  <c r="P171" l="1"/>
  <c r="N171"/>
  <c r="R171"/>
  <c r="T171"/>
  <c r="H171"/>
  <c r="J171"/>
  <c r="J286"/>
  <c r="H285"/>
  <c r="I285" s="1"/>
  <c r="F284"/>
  <c r="H284" s="1"/>
  <c r="J285" l="1"/>
  <c r="L286"/>
  <c r="L285"/>
  <c r="H286"/>
  <c r="I286" s="1"/>
  <c r="F516"/>
  <c r="F373"/>
  <c r="F253" l="1"/>
  <c r="H253" s="1"/>
  <c r="F252"/>
  <c r="H252" s="1"/>
  <c r="I252" s="1"/>
  <c r="H250"/>
  <c r="I250" s="1"/>
  <c r="F249"/>
  <c r="F246"/>
  <c r="F244"/>
  <c r="F243"/>
  <c r="F241"/>
  <c r="F240"/>
  <c r="F232"/>
  <c r="F230"/>
  <c r="F229"/>
  <c r="F223"/>
  <c r="F222"/>
  <c r="F220"/>
  <c r="F219"/>
  <c r="F218"/>
  <c r="F224"/>
  <c r="F204"/>
  <c r="V178"/>
  <c r="V177"/>
  <c r="V176"/>
  <c r="V175"/>
  <c r="T178"/>
  <c r="T177"/>
  <c r="T176"/>
  <c r="T175"/>
  <c r="R178"/>
  <c r="R177"/>
  <c r="R176"/>
  <c r="R175"/>
  <c r="P178"/>
  <c r="P177"/>
  <c r="P176"/>
  <c r="P175"/>
  <c r="N178"/>
  <c r="N177"/>
  <c r="N176"/>
  <c r="N175"/>
  <c r="F164"/>
  <c r="F99"/>
  <c r="H99" s="1"/>
  <c r="F101"/>
  <c r="H101" s="1"/>
  <c r="F102"/>
  <c r="H102" s="1"/>
  <c r="F142"/>
  <c r="F351" l="1"/>
  <c r="F124"/>
  <c r="F126"/>
  <c r="F624"/>
  <c r="F337"/>
  <c r="F336"/>
  <c r="F370"/>
  <c r="R370" s="1"/>
  <c r="S370" s="1"/>
  <c r="R380"/>
  <c r="S380" s="1"/>
  <c r="F381"/>
  <c r="T370" l="1"/>
  <c r="U370" s="1"/>
  <c r="G370"/>
  <c r="L370"/>
  <c r="M370" s="1"/>
  <c r="N370"/>
  <c r="O370" s="1"/>
  <c r="P370"/>
  <c r="Q370" s="1"/>
  <c r="G380"/>
  <c r="L380"/>
  <c r="M380" s="1"/>
  <c r="V380"/>
  <c r="W380" s="1"/>
  <c r="N380"/>
  <c r="O380" s="1"/>
  <c r="P380"/>
  <c r="Q380" s="1"/>
  <c r="T380"/>
  <c r="U380" s="1"/>
  <c r="F614"/>
  <c r="F623"/>
  <c r="T614" l="1"/>
  <c r="R614"/>
  <c r="P614"/>
  <c r="N614"/>
  <c r="L614"/>
  <c r="J614"/>
  <c r="F411"/>
  <c r="F189"/>
  <c r="F196"/>
  <c r="F105"/>
  <c r="F435"/>
  <c r="F438"/>
  <c r="O648"/>
  <c r="F617"/>
  <c r="F550"/>
  <c r="F545"/>
  <c r="F544"/>
  <c r="F533"/>
  <c r="F532"/>
  <c r="F531"/>
  <c r="F529"/>
  <c r="F528"/>
  <c r="F527"/>
  <c r="F525"/>
  <c r="F524"/>
  <c r="V541"/>
  <c r="W541" s="1"/>
  <c r="F508"/>
  <c r="F507"/>
  <c r="F500"/>
  <c r="F499"/>
  <c r="F490"/>
  <c r="F488"/>
  <c r="F487"/>
  <c r="F484"/>
  <c r="F483"/>
  <c r="F489"/>
  <c r="F493"/>
  <c r="F492"/>
  <c r="F491"/>
  <c r="R489" l="1"/>
  <c r="S489" s="1"/>
  <c r="J489"/>
  <c r="K489" s="1"/>
  <c r="T489"/>
  <c r="U489" s="1"/>
  <c r="P489"/>
  <c r="Q489" s="1"/>
  <c r="N489"/>
  <c r="O489" s="1"/>
  <c r="L489"/>
  <c r="M489" s="1"/>
  <c r="V489"/>
  <c r="W489" s="1"/>
  <c r="N483"/>
  <c r="L483"/>
  <c r="J483"/>
  <c r="H483"/>
  <c r="R483"/>
  <c r="P483"/>
  <c r="T483"/>
  <c r="V483"/>
  <c r="L484"/>
  <c r="M484" s="1"/>
  <c r="P484"/>
  <c r="Q484" s="1"/>
  <c r="V484"/>
  <c r="W484" s="1"/>
  <c r="J484"/>
  <c r="K484" s="1"/>
  <c r="N484"/>
  <c r="O484" s="1"/>
  <c r="T484"/>
  <c r="U484" s="1"/>
  <c r="R484"/>
  <c r="S484" s="1"/>
  <c r="N500"/>
  <c r="O500" s="1"/>
  <c r="L500"/>
  <c r="M500" s="1"/>
  <c r="J500"/>
  <c r="K500" s="1"/>
  <c r="P500"/>
  <c r="Q500" s="1"/>
  <c r="V500"/>
  <c r="W500" s="1"/>
  <c r="T500"/>
  <c r="U500" s="1"/>
  <c r="R500"/>
  <c r="S500" s="1"/>
  <c r="J491"/>
  <c r="K491" s="1"/>
  <c r="H491"/>
  <c r="I491" s="1"/>
  <c r="V491"/>
  <c r="W491" s="1"/>
  <c r="T491"/>
  <c r="U491" s="1"/>
  <c r="R491"/>
  <c r="S491" s="1"/>
  <c r="P491"/>
  <c r="Q491" s="1"/>
  <c r="N491"/>
  <c r="O491" s="1"/>
  <c r="L491"/>
  <c r="M491" s="1"/>
  <c r="P508"/>
  <c r="Q508" s="1"/>
  <c r="J508"/>
  <c r="K508" s="1"/>
  <c r="V508"/>
  <c r="W508" s="1"/>
  <c r="T508"/>
  <c r="U508" s="1"/>
  <c r="R508"/>
  <c r="S508" s="1"/>
  <c r="N508"/>
  <c r="O508" s="1"/>
  <c r="L508"/>
  <c r="M508" s="1"/>
  <c r="L492"/>
  <c r="M492" s="1"/>
  <c r="P492"/>
  <c r="Q492" s="1"/>
  <c r="N492"/>
  <c r="O492" s="1"/>
  <c r="V492"/>
  <c r="W492" s="1"/>
  <c r="J492"/>
  <c r="K492" s="1"/>
  <c r="T492"/>
  <c r="U492" s="1"/>
  <c r="R492"/>
  <c r="S492" s="1"/>
  <c r="V487"/>
  <c r="W487" s="1"/>
  <c r="L487"/>
  <c r="M487" s="1"/>
  <c r="T487"/>
  <c r="U487" s="1"/>
  <c r="R487"/>
  <c r="S487" s="1"/>
  <c r="P487"/>
  <c r="Q487" s="1"/>
  <c r="N487"/>
  <c r="O487" s="1"/>
  <c r="J487"/>
  <c r="K487" s="1"/>
  <c r="H487"/>
  <c r="I487" s="1"/>
  <c r="L488"/>
  <c r="M488" s="1"/>
  <c r="V488"/>
  <c r="W488" s="1"/>
  <c r="T488"/>
  <c r="U488" s="1"/>
  <c r="R488"/>
  <c r="S488" s="1"/>
  <c r="J488"/>
  <c r="K488" s="1"/>
  <c r="N488"/>
  <c r="O488" s="1"/>
  <c r="P488"/>
  <c r="Q488" s="1"/>
  <c r="V490"/>
  <c r="W490" s="1"/>
  <c r="T490"/>
  <c r="U490" s="1"/>
  <c r="R490"/>
  <c r="S490" s="1"/>
  <c r="P490"/>
  <c r="Q490" s="1"/>
  <c r="J490"/>
  <c r="K490" s="1"/>
  <c r="N490"/>
  <c r="O490" s="1"/>
  <c r="L490"/>
  <c r="M490" s="1"/>
  <c r="N499"/>
  <c r="O499" s="1"/>
  <c r="L499"/>
  <c r="M499" s="1"/>
  <c r="J499"/>
  <c r="K499" s="1"/>
  <c r="V499"/>
  <c r="W499" s="1"/>
  <c r="H499"/>
  <c r="I499" s="1"/>
  <c r="T499"/>
  <c r="U499" s="1"/>
  <c r="R499"/>
  <c r="S499" s="1"/>
  <c r="P499"/>
  <c r="Q499" s="1"/>
  <c r="V507"/>
  <c r="W507" s="1"/>
  <c r="T507"/>
  <c r="U507" s="1"/>
  <c r="R507"/>
  <c r="S507" s="1"/>
  <c r="P507"/>
  <c r="Q507" s="1"/>
  <c r="N507"/>
  <c r="O507" s="1"/>
  <c r="L507"/>
  <c r="M507" s="1"/>
  <c r="J507"/>
  <c r="K507" s="1"/>
  <c r="H507"/>
  <c r="I507" s="1"/>
  <c r="R493"/>
  <c r="S493" s="1"/>
  <c r="P493"/>
  <c r="Q493" s="1"/>
  <c r="N493"/>
  <c r="O493" s="1"/>
  <c r="L493"/>
  <c r="M493" s="1"/>
  <c r="J493"/>
  <c r="K493" s="1"/>
  <c r="V493"/>
  <c r="W493" s="1"/>
  <c r="T493"/>
  <c r="U493" s="1"/>
  <c r="R617"/>
  <c r="P617"/>
  <c r="N617"/>
  <c r="L617"/>
  <c r="J617"/>
  <c r="H616"/>
  <c r="I616" s="1"/>
  <c r="T616"/>
  <c r="L616"/>
  <c r="M616" s="1"/>
  <c r="R616"/>
  <c r="S616" s="1"/>
  <c r="P616"/>
  <c r="Q616" s="1"/>
  <c r="N616"/>
  <c r="O616" s="1"/>
  <c r="J616"/>
  <c r="K616" s="1"/>
  <c r="V438"/>
  <c r="W438" s="1"/>
  <c r="R438"/>
  <c r="S438" s="1"/>
  <c r="H438"/>
  <c r="I438" s="1"/>
  <c r="T438"/>
  <c r="U438" s="1"/>
  <c r="P438"/>
  <c r="Q438" s="1"/>
  <c r="N438"/>
  <c r="O438" s="1"/>
  <c r="J438"/>
  <c r="K438" s="1"/>
  <c r="L438"/>
  <c r="M438" s="1"/>
  <c r="V435"/>
  <c r="W435" s="1"/>
  <c r="R435"/>
  <c r="S435" s="1"/>
  <c r="P435"/>
  <c r="Q435" s="1"/>
  <c r="H435"/>
  <c r="I435" s="1"/>
  <c r="T435"/>
  <c r="U435" s="1"/>
  <c r="N435"/>
  <c r="O435" s="1"/>
  <c r="J435"/>
  <c r="K435" s="1"/>
  <c r="L435"/>
  <c r="M435" s="1"/>
  <c r="J541"/>
  <c r="K541" s="1"/>
  <c r="N541"/>
  <c r="O541" s="1"/>
  <c r="R541"/>
  <c r="S541" s="1"/>
  <c r="G541"/>
  <c r="H541"/>
  <c r="I541" s="1"/>
  <c r="L541"/>
  <c r="M541" s="1"/>
  <c r="P541"/>
  <c r="Q541" s="1"/>
  <c r="T541"/>
  <c r="U541" s="1"/>
  <c r="V306" l="1"/>
  <c r="W306" s="1"/>
  <c r="T306"/>
  <c r="U306" s="1"/>
  <c r="R306"/>
  <c r="S306" s="1"/>
  <c r="P306"/>
  <c r="Q306" s="1"/>
  <c r="N306"/>
  <c r="O306" s="1"/>
  <c r="L306"/>
  <c r="M306" s="1"/>
  <c r="J306"/>
  <c r="K306" s="1"/>
  <c r="H306"/>
  <c r="I306" s="1"/>
  <c r="G306"/>
  <c r="F186" l="1"/>
  <c r="G305" l="1"/>
  <c r="F311" l="1"/>
  <c r="F346" l="1"/>
  <c r="F344" l="1"/>
  <c r="T347" l="1"/>
  <c r="R347"/>
  <c r="P347"/>
  <c r="N347"/>
  <c r="L347"/>
  <c r="V308"/>
  <c r="V309"/>
  <c r="T308"/>
  <c r="T309"/>
  <c r="R308"/>
  <c r="R309"/>
  <c r="P308"/>
  <c r="P309"/>
  <c r="N308"/>
  <c r="N309"/>
  <c r="L308"/>
  <c r="L309"/>
  <c r="P358"/>
  <c r="N358"/>
  <c r="L358"/>
  <c r="V375"/>
  <c r="W375" s="1"/>
  <c r="T375"/>
  <c r="U375" s="1"/>
  <c r="R375"/>
  <c r="S375" s="1"/>
  <c r="P375"/>
  <c r="Q375" s="1"/>
  <c r="N375"/>
  <c r="O375" s="1"/>
  <c r="N387"/>
  <c r="L387"/>
  <c r="V384"/>
  <c r="W384" s="1"/>
  <c r="T384"/>
  <c r="U384" s="1"/>
  <c r="R384"/>
  <c r="S384" s="1"/>
  <c r="P384"/>
  <c r="Q384" s="1"/>
  <c r="N384"/>
  <c r="O384" s="1"/>
  <c r="L384"/>
  <c r="M384" s="1"/>
  <c r="V382"/>
  <c r="W382" s="1"/>
  <c r="T382"/>
  <c r="U382" s="1"/>
  <c r="R382"/>
  <c r="S382" s="1"/>
  <c r="P382"/>
  <c r="Q382" s="1"/>
  <c r="N382"/>
  <c r="O382" s="1"/>
  <c r="L382"/>
  <c r="M382" s="1"/>
  <c r="V373"/>
  <c r="W373" s="1"/>
  <c r="T373"/>
  <c r="U373" s="1"/>
  <c r="R373"/>
  <c r="S373" s="1"/>
  <c r="P373"/>
  <c r="Q373" s="1"/>
  <c r="N373"/>
  <c r="O373" s="1"/>
  <c r="L373"/>
  <c r="M373" s="1"/>
  <c r="V365"/>
  <c r="W365" s="1"/>
  <c r="T365"/>
  <c r="U365" s="1"/>
  <c r="R365"/>
  <c r="S365" s="1"/>
  <c r="P365"/>
  <c r="Q365" s="1"/>
  <c r="N365"/>
  <c r="O365" s="1"/>
  <c r="L365"/>
  <c r="M365" s="1"/>
  <c r="V359"/>
  <c r="W359" s="1"/>
  <c r="T359"/>
  <c r="U359" s="1"/>
  <c r="R359"/>
  <c r="S359" s="1"/>
  <c r="P359"/>
  <c r="Q359" s="1"/>
  <c r="N359"/>
  <c r="O359" s="1"/>
  <c r="L359"/>
  <c r="M359" s="1"/>
  <c r="V356"/>
  <c r="W356" s="1"/>
  <c r="T356"/>
  <c r="U356" s="1"/>
  <c r="R356"/>
  <c r="S356" s="1"/>
  <c r="P356"/>
  <c r="Q356" s="1"/>
  <c r="N356"/>
  <c r="O356" s="1"/>
  <c r="L356"/>
  <c r="M356" s="1"/>
  <c r="V353"/>
  <c r="W353" s="1"/>
  <c r="T353"/>
  <c r="U353" s="1"/>
  <c r="R353"/>
  <c r="S353" s="1"/>
  <c r="P353"/>
  <c r="Q353" s="1"/>
  <c r="N353"/>
  <c r="O353" s="1"/>
  <c r="L353"/>
  <c r="M353" s="1"/>
  <c r="V351"/>
  <c r="W351" s="1"/>
  <c r="T351"/>
  <c r="U351" s="1"/>
  <c r="R351"/>
  <c r="S351" s="1"/>
  <c r="P351"/>
  <c r="Q351" s="1"/>
  <c r="N351"/>
  <c r="O351" s="1"/>
  <c r="L351"/>
  <c r="M351" s="1"/>
  <c r="V344"/>
  <c r="W344" s="1"/>
  <c r="T344"/>
  <c r="U344" s="1"/>
  <c r="R344"/>
  <c r="S344" s="1"/>
  <c r="P344"/>
  <c r="Q344" s="1"/>
  <c r="N344"/>
  <c r="O344" s="1"/>
  <c r="L344"/>
  <c r="M344" s="1"/>
  <c r="G625"/>
  <c r="J625" l="1"/>
  <c r="K625" s="1"/>
  <c r="N625"/>
  <c r="O625" s="1"/>
  <c r="R625"/>
  <c r="S625" s="1"/>
  <c r="H625"/>
  <c r="I625" s="1"/>
  <c r="L625"/>
  <c r="M625" s="1"/>
  <c r="P625"/>
  <c r="Q625" s="1"/>
  <c r="G500" l="1"/>
  <c r="G499" l="1"/>
  <c r="H500"/>
  <c r="I500" s="1"/>
  <c r="H484" l="1"/>
  <c r="I484" s="1"/>
  <c r="G489"/>
  <c r="H489"/>
  <c r="I489" s="1"/>
  <c r="G484"/>
  <c r="I483"/>
  <c r="M483" l="1"/>
  <c r="K483"/>
  <c r="Q483"/>
  <c r="S483"/>
  <c r="U483"/>
  <c r="W483"/>
  <c r="O483"/>
  <c r="G483"/>
  <c r="T248"/>
  <c r="U248" s="1"/>
  <c r="T245"/>
  <c r="U245" s="1"/>
  <c r="L245" l="1"/>
  <c r="M245" s="1"/>
  <c r="V245"/>
  <c r="W245" s="1"/>
  <c r="J245"/>
  <c r="K245" s="1"/>
  <c r="H248"/>
  <c r="I248" s="1"/>
  <c r="P248"/>
  <c r="Q248" s="1"/>
  <c r="R248"/>
  <c r="S248" s="1"/>
  <c r="G248"/>
  <c r="J248"/>
  <c r="K248" s="1"/>
  <c r="L248"/>
  <c r="M248" s="1"/>
  <c r="V248"/>
  <c r="W248" s="1"/>
  <c r="N248"/>
  <c r="O248" s="1"/>
  <c r="N245"/>
  <c r="O245" s="1"/>
  <c r="P245"/>
  <c r="Q245" s="1"/>
  <c r="R245"/>
  <c r="S245" s="1"/>
  <c r="G245"/>
  <c r="H245"/>
  <c r="I245" s="1"/>
  <c r="R232" l="1"/>
  <c r="S232" s="1"/>
  <c r="V229"/>
  <c r="W229" s="1"/>
  <c r="H232" l="1"/>
  <c r="I232" s="1"/>
  <c r="G232"/>
  <c r="T232"/>
  <c r="U232" s="1"/>
  <c r="J232"/>
  <c r="K232" s="1"/>
  <c r="V232"/>
  <c r="W232" s="1"/>
  <c r="L232"/>
  <c r="M232" s="1"/>
  <c r="N232"/>
  <c r="O232" s="1"/>
  <c r="P232"/>
  <c r="Q232" s="1"/>
  <c r="P229"/>
  <c r="Q229" s="1"/>
  <c r="R229"/>
  <c r="S229" s="1"/>
  <c r="L229"/>
  <c r="M229" s="1"/>
  <c r="G229"/>
  <c r="T229"/>
  <c r="U229" s="1"/>
  <c r="N229"/>
  <c r="O229" s="1"/>
  <c r="H229"/>
  <c r="I229" s="1"/>
  <c r="J229"/>
  <c r="K229" s="1"/>
  <c r="P549" l="1"/>
  <c r="Q549" s="1"/>
  <c r="N550"/>
  <c r="O550" s="1"/>
  <c r="L550" l="1"/>
  <c r="M550" s="1"/>
  <c r="R549"/>
  <c r="S549" s="1"/>
  <c r="G549"/>
  <c r="H549"/>
  <c r="I549" s="1"/>
  <c r="T549"/>
  <c r="U549" s="1"/>
  <c r="P550"/>
  <c r="Q550" s="1"/>
  <c r="J549"/>
  <c r="K549" s="1"/>
  <c r="J550"/>
  <c r="K550" s="1"/>
  <c r="R550"/>
  <c r="S550" s="1"/>
  <c r="G550"/>
  <c r="L549"/>
  <c r="M549" s="1"/>
  <c r="H550"/>
  <c r="I550" s="1"/>
  <c r="T550"/>
  <c r="U550" s="1"/>
  <c r="N549"/>
  <c r="O549" s="1"/>
  <c r="G469" l="1"/>
  <c r="L355" l="1"/>
  <c r="M355" s="1"/>
  <c r="V355"/>
  <c r="W355" s="1"/>
  <c r="T355"/>
  <c r="U355" s="1"/>
  <c r="R355"/>
  <c r="S355" s="1"/>
  <c r="P355"/>
  <c r="Q355" s="1"/>
  <c r="N355"/>
  <c r="O355" s="1"/>
  <c r="V197"/>
  <c r="W197" s="1"/>
  <c r="G198"/>
  <c r="J198"/>
  <c r="K198" s="1"/>
  <c r="L198"/>
  <c r="M198" s="1"/>
  <c r="N198"/>
  <c r="O198" s="1"/>
  <c r="P198"/>
  <c r="Q198" s="1"/>
  <c r="R198"/>
  <c r="S198" s="1"/>
  <c r="T198"/>
  <c r="U198" s="1"/>
  <c r="V198"/>
  <c r="W198" s="1"/>
  <c r="R215"/>
  <c r="S215" s="1"/>
  <c r="R197" l="1"/>
  <c r="S197" s="1"/>
  <c r="T197"/>
  <c r="U197" s="1"/>
  <c r="L197"/>
  <c r="M197" s="1"/>
  <c r="G197"/>
  <c r="J197"/>
  <c r="K197" s="1"/>
  <c r="N197"/>
  <c r="O197" s="1"/>
  <c r="P197"/>
  <c r="Q197" s="1"/>
  <c r="V215"/>
  <c r="W215" s="1"/>
  <c r="N215"/>
  <c r="O215" s="1"/>
  <c r="P215"/>
  <c r="Q215" s="1"/>
  <c r="L215"/>
  <c r="M215" s="1"/>
  <c r="T215"/>
  <c r="U215" s="1"/>
  <c r="G215"/>
  <c r="J215"/>
  <c r="K215" s="1"/>
  <c r="V528"/>
  <c r="W528" s="1"/>
  <c r="V527"/>
  <c r="W527" s="1"/>
  <c r="P528" l="1"/>
  <c r="Q528" s="1"/>
  <c r="R528"/>
  <c r="S528" s="1"/>
  <c r="L528"/>
  <c r="M528" s="1"/>
  <c r="N528"/>
  <c r="O528" s="1"/>
  <c r="G528"/>
  <c r="H528"/>
  <c r="I528" s="1"/>
  <c r="T528"/>
  <c r="U528" s="1"/>
  <c r="J528"/>
  <c r="K528" s="1"/>
  <c r="T527"/>
  <c r="U527" s="1"/>
  <c r="L527"/>
  <c r="M527" s="1"/>
  <c r="N527"/>
  <c r="O527" s="1"/>
  <c r="G527"/>
  <c r="P527"/>
  <c r="Q527" s="1"/>
  <c r="R527"/>
  <c r="S527" s="1"/>
  <c r="H527"/>
  <c r="I527" s="1"/>
  <c r="J527"/>
  <c r="K527" s="1"/>
  <c r="V526"/>
  <c r="W526" s="1"/>
  <c r="T526"/>
  <c r="U526" s="1"/>
  <c r="R526"/>
  <c r="S526" s="1"/>
  <c r="P526"/>
  <c r="Q526" s="1"/>
  <c r="N526"/>
  <c r="O526" s="1"/>
  <c r="L526"/>
  <c r="M526" s="1"/>
  <c r="J526"/>
  <c r="K526" s="1"/>
  <c r="H526"/>
  <c r="I526" s="1"/>
  <c r="G526"/>
  <c r="T416"/>
  <c r="U416" s="1"/>
  <c r="R416"/>
  <c r="S416" s="1"/>
  <c r="P416"/>
  <c r="Q416" s="1"/>
  <c r="N416"/>
  <c r="O416" s="1"/>
  <c r="L416"/>
  <c r="M416" s="1"/>
  <c r="T415"/>
  <c r="U415" s="1"/>
  <c r="R415"/>
  <c r="S415" s="1"/>
  <c r="P415"/>
  <c r="Q415" s="1"/>
  <c r="N415"/>
  <c r="O415" s="1"/>
  <c r="L415"/>
  <c r="M415" s="1"/>
  <c r="T414"/>
  <c r="U414" s="1"/>
  <c r="R414"/>
  <c r="S414" s="1"/>
  <c r="P414"/>
  <c r="Q414" s="1"/>
  <c r="N414"/>
  <c r="O414" s="1"/>
  <c r="L414"/>
  <c r="M414" s="1"/>
  <c r="T413"/>
  <c r="R413"/>
  <c r="P413"/>
  <c r="N413"/>
  <c r="L413"/>
  <c r="G548" l="1"/>
  <c r="N106"/>
  <c r="L106"/>
  <c r="J106"/>
  <c r="V106"/>
  <c r="T106"/>
  <c r="R106"/>
  <c r="P106"/>
  <c r="N548" l="1"/>
  <c r="O548" s="1"/>
  <c r="P548"/>
  <c r="Q548" s="1"/>
  <c r="R548"/>
  <c r="S548" s="1"/>
  <c r="J548"/>
  <c r="K548" s="1"/>
  <c r="H548"/>
  <c r="I548" s="1"/>
  <c r="T548"/>
  <c r="U548" s="1"/>
  <c r="L548"/>
  <c r="M548" s="1"/>
  <c r="V336" l="1"/>
  <c r="W336" s="1"/>
  <c r="T336"/>
  <c r="U336" s="1"/>
  <c r="R336"/>
  <c r="S336" s="1"/>
  <c r="L336"/>
  <c r="M336" s="1"/>
  <c r="P336"/>
  <c r="Q336" s="1"/>
  <c r="N336"/>
  <c r="O336" s="1"/>
  <c r="V314"/>
  <c r="W314" s="1"/>
  <c r="T314"/>
  <c r="U314" s="1"/>
  <c r="R314"/>
  <c r="S314" s="1"/>
  <c r="P314"/>
  <c r="Q314" s="1"/>
  <c r="N314"/>
  <c r="O314" s="1"/>
  <c r="L314"/>
  <c r="M314" s="1"/>
  <c r="R338"/>
  <c r="S338" s="1"/>
  <c r="V338"/>
  <c r="W338" s="1"/>
  <c r="T338"/>
  <c r="U338" s="1"/>
  <c r="P338"/>
  <c r="Q338" s="1"/>
  <c r="N338"/>
  <c r="O338" s="1"/>
  <c r="L338"/>
  <c r="M338" s="1"/>
  <c r="L334"/>
  <c r="M334" s="1"/>
  <c r="P334"/>
  <c r="Q334" s="1"/>
  <c r="N334"/>
  <c r="O334" s="1"/>
  <c r="R334"/>
  <c r="S334" s="1"/>
  <c r="R337"/>
  <c r="S337" s="1"/>
  <c r="P337"/>
  <c r="Q337" s="1"/>
  <c r="N337"/>
  <c r="O337" s="1"/>
  <c r="L337"/>
  <c r="M337" s="1"/>
  <c r="T337"/>
  <c r="U337" s="1"/>
  <c r="V337"/>
  <c r="W337" s="1"/>
  <c r="G351"/>
  <c r="J418"/>
  <c r="F407"/>
  <c r="H407" s="1"/>
  <c r="I402"/>
  <c r="T231"/>
  <c r="U231" s="1"/>
  <c r="T325" l="1"/>
  <c r="U325" s="1"/>
  <c r="V325"/>
  <c r="W325" s="1"/>
  <c r="R325"/>
  <c r="S325" s="1"/>
  <c r="P325"/>
  <c r="Q325" s="1"/>
  <c r="N325"/>
  <c r="O325" s="1"/>
  <c r="L325"/>
  <c r="M325" s="1"/>
  <c r="R324"/>
  <c r="S324" s="1"/>
  <c r="P324"/>
  <c r="Q324" s="1"/>
  <c r="N324"/>
  <c r="O324" s="1"/>
  <c r="V324"/>
  <c r="W324" s="1"/>
  <c r="L324"/>
  <c r="M324" s="1"/>
  <c r="T324"/>
  <c r="U324" s="1"/>
  <c r="T368"/>
  <c r="U368" s="1"/>
  <c r="R368"/>
  <c r="S368" s="1"/>
  <c r="P368"/>
  <c r="Q368" s="1"/>
  <c r="V368"/>
  <c r="W368" s="1"/>
  <c r="N368"/>
  <c r="O368" s="1"/>
  <c r="L368"/>
  <c r="M368" s="1"/>
  <c r="G231"/>
  <c r="H231"/>
  <c r="I231" s="1"/>
  <c r="L231"/>
  <c r="M231" s="1"/>
  <c r="P231"/>
  <c r="Q231" s="1"/>
  <c r="J231"/>
  <c r="K231" s="1"/>
  <c r="N231"/>
  <c r="O231" s="1"/>
  <c r="R231"/>
  <c r="S231" s="1"/>
  <c r="V231"/>
  <c r="W231" s="1"/>
  <c r="G365" l="1"/>
  <c r="H254"/>
  <c r="I254" s="1"/>
  <c r="H262"/>
  <c r="I262" s="1"/>
  <c r="H258"/>
  <c r="I258" s="1"/>
  <c r="V137"/>
  <c r="T137"/>
  <c r="R137"/>
  <c r="P137"/>
  <c r="P141"/>
  <c r="N141"/>
  <c r="N137"/>
  <c r="L137"/>
  <c r="J137"/>
  <c r="V141"/>
  <c r="T141"/>
  <c r="R141"/>
  <c r="L141"/>
  <c r="J141"/>
  <c r="T170" l="1"/>
  <c r="U170" s="1"/>
  <c r="G173"/>
  <c r="G174"/>
  <c r="N172"/>
  <c r="O172" s="1"/>
  <c r="U171"/>
  <c r="T169"/>
  <c r="U169" s="1"/>
  <c r="T166"/>
  <c r="U166" s="1"/>
  <c r="T167"/>
  <c r="U167" s="1"/>
  <c r="R165"/>
  <c r="S165" s="1"/>
  <c r="L166" l="1"/>
  <c r="M166" s="1"/>
  <c r="G166"/>
  <c r="N166"/>
  <c r="O166" s="1"/>
  <c r="L174"/>
  <c r="M174" s="1"/>
  <c r="N174"/>
  <c r="O174" s="1"/>
  <c r="T174"/>
  <c r="U174" s="1"/>
  <c r="R170"/>
  <c r="S170" s="1"/>
  <c r="P170"/>
  <c r="Q170" s="1"/>
  <c r="H170"/>
  <c r="I170" s="1"/>
  <c r="L170"/>
  <c r="M170" s="1"/>
  <c r="G170"/>
  <c r="J170"/>
  <c r="K170" s="1"/>
  <c r="N170"/>
  <c r="O170" s="1"/>
  <c r="L173"/>
  <c r="M173" s="1"/>
  <c r="N173"/>
  <c r="O173" s="1"/>
  <c r="T173"/>
  <c r="U173" s="1"/>
  <c r="J173"/>
  <c r="K173" s="1"/>
  <c r="P173"/>
  <c r="Q173" s="1"/>
  <c r="H173"/>
  <c r="I173" s="1"/>
  <c r="R173"/>
  <c r="S173" s="1"/>
  <c r="J174"/>
  <c r="K174" s="1"/>
  <c r="P174"/>
  <c r="Q174" s="1"/>
  <c r="H174"/>
  <c r="I174" s="1"/>
  <c r="R174"/>
  <c r="S174" s="1"/>
  <c r="P172"/>
  <c r="Q172" s="1"/>
  <c r="G172"/>
  <c r="J172"/>
  <c r="K172" s="1"/>
  <c r="R172"/>
  <c r="S172" s="1"/>
  <c r="L172"/>
  <c r="M172" s="1"/>
  <c r="T172"/>
  <c r="U172" s="1"/>
  <c r="I171"/>
  <c r="S171"/>
  <c r="Q171"/>
  <c r="M171"/>
  <c r="G171"/>
  <c r="K171"/>
  <c r="O171"/>
  <c r="G169"/>
  <c r="J169"/>
  <c r="K169" s="1"/>
  <c r="N169"/>
  <c r="O169" s="1"/>
  <c r="R169"/>
  <c r="S169" s="1"/>
  <c r="H169"/>
  <c r="I169" s="1"/>
  <c r="L169"/>
  <c r="M169" s="1"/>
  <c r="P169"/>
  <c r="Q169" s="1"/>
  <c r="P166"/>
  <c r="Q166" s="1"/>
  <c r="H166"/>
  <c r="I166" s="1"/>
  <c r="J166"/>
  <c r="K166" s="1"/>
  <c r="R166"/>
  <c r="S166" s="1"/>
  <c r="J167"/>
  <c r="K167" s="1"/>
  <c r="N167"/>
  <c r="O167" s="1"/>
  <c r="R167"/>
  <c r="S167" s="1"/>
  <c r="G167"/>
  <c r="H167"/>
  <c r="I167" s="1"/>
  <c r="L167"/>
  <c r="M167" s="1"/>
  <c r="P167"/>
  <c r="Q167" s="1"/>
  <c r="L165"/>
  <c r="M165" s="1"/>
  <c r="T165"/>
  <c r="U165" s="1"/>
  <c r="G165"/>
  <c r="N165"/>
  <c r="O165" s="1"/>
  <c r="P165"/>
  <c r="Q165" s="1"/>
  <c r="H165"/>
  <c r="I165" s="1"/>
  <c r="J165"/>
  <c r="K165" s="1"/>
  <c r="R409" l="1"/>
  <c r="S409" s="1"/>
  <c r="L409" l="1"/>
  <c r="M409" s="1"/>
  <c r="G409"/>
  <c r="T409"/>
  <c r="U409" s="1"/>
  <c r="J409"/>
  <c r="K409" s="1"/>
  <c r="V409"/>
  <c r="W409" s="1"/>
  <c r="N409"/>
  <c r="O409" s="1"/>
  <c r="P409"/>
  <c r="Q409" s="1"/>
  <c r="V299" l="1"/>
  <c r="W299" s="1"/>
  <c r="T299"/>
  <c r="U299" s="1"/>
  <c r="R299"/>
  <c r="S299" s="1"/>
  <c r="P299"/>
  <c r="Q299" s="1"/>
  <c r="N299"/>
  <c r="O299" s="1"/>
  <c r="L299"/>
  <c r="M299" s="1"/>
  <c r="J299"/>
  <c r="K299" s="1"/>
  <c r="H299"/>
  <c r="I299" s="1"/>
  <c r="G299"/>
  <c r="V534" l="1"/>
  <c r="W534" s="1"/>
  <c r="T534"/>
  <c r="U534" s="1"/>
  <c r="R534"/>
  <c r="S534" s="1"/>
  <c r="P534"/>
  <c r="Q534" s="1"/>
  <c r="N534"/>
  <c r="O534" s="1"/>
  <c r="L534"/>
  <c r="M534" s="1"/>
  <c r="J534"/>
  <c r="K534" s="1"/>
  <c r="H534"/>
  <c r="I534" s="1"/>
  <c r="G534"/>
  <c r="W551" l="1"/>
  <c r="U551"/>
  <c r="S551"/>
  <c r="Q551"/>
  <c r="O551"/>
  <c r="M551"/>
  <c r="K551"/>
  <c r="I551"/>
  <c r="W511" l="1"/>
  <c r="U511"/>
  <c r="S511"/>
  <c r="Q511"/>
  <c r="O511"/>
  <c r="M511"/>
  <c r="K511"/>
  <c r="I511"/>
  <c r="AA87" l="1"/>
  <c r="AA86"/>
  <c r="AA83"/>
  <c r="AA82"/>
  <c r="T374" l="1"/>
  <c r="U374" s="1"/>
  <c r="R374"/>
  <c r="S374" s="1"/>
  <c r="L374"/>
  <c r="M374" s="1"/>
  <c r="P374"/>
  <c r="Q374" s="1"/>
  <c r="V374"/>
  <c r="W374" s="1"/>
  <c r="N374"/>
  <c r="O374" s="1"/>
  <c r="R381"/>
  <c r="S381" s="1"/>
  <c r="P381"/>
  <c r="Q381" s="1"/>
  <c r="N381"/>
  <c r="O381" s="1"/>
  <c r="L381"/>
  <c r="M381" s="1"/>
  <c r="T381"/>
  <c r="U381" s="1"/>
  <c r="V381"/>
  <c r="W381" s="1"/>
  <c r="N357"/>
  <c r="O357" s="1"/>
  <c r="V357"/>
  <c r="W357" s="1"/>
  <c r="P357"/>
  <c r="Q357" s="1"/>
  <c r="T357"/>
  <c r="U357" s="1"/>
  <c r="R357"/>
  <c r="S357" s="1"/>
  <c r="L357"/>
  <c r="M357" s="1"/>
  <c r="V388"/>
  <c r="W388" s="1"/>
  <c r="T388"/>
  <c r="U388" s="1"/>
  <c r="R388"/>
  <c r="S388" s="1"/>
  <c r="P388"/>
  <c r="Q388" s="1"/>
  <c r="N388"/>
  <c r="O388" s="1"/>
  <c r="L388"/>
  <c r="M388" s="1"/>
  <c r="J98"/>
  <c r="L26" l="1"/>
  <c r="M26" s="1"/>
  <c r="W37"/>
  <c r="U37"/>
  <c r="S37"/>
  <c r="Q37"/>
  <c r="O37"/>
  <c r="V58"/>
  <c r="W58" s="1"/>
  <c r="T58"/>
  <c r="U58" s="1"/>
  <c r="R58"/>
  <c r="S58" s="1"/>
  <c r="P58"/>
  <c r="Q58" s="1"/>
  <c r="N58"/>
  <c r="O58" s="1"/>
  <c r="L58"/>
  <c r="M58" s="1"/>
  <c r="J58"/>
  <c r="K58" s="1"/>
  <c r="V57"/>
  <c r="W57" s="1"/>
  <c r="T57"/>
  <c r="U57" s="1"/>
  <c r="R57"/>
  <c r="S57" s="1"/>
  <c r="P57"/>
  <c r="Q57" s="1"/>
  <c r="N57"/>
  <c r="O57" s="1"/>
  <c r="L57"/>
  <c r="M57" s="1"/>
  <c r="J57"/>
  <c r="K57" s="1"/>
  <c r="V56"/>
  <c r="W56" s="1"/>
  <c r="T56"/>
  <c r="U56" s="1"/>
  <c r="R56"/>
  <c r="S56" s="1"/>
  <c r="P56"/>
  <c r="Q56" s="1"/>
  <c r="N56"/>
  <c r="O56" s="1"/>
  <c r="L56"/>
  <c r="M56" s="1"/>
  <c r="J56"/>
  <c r="K56" s="1"/>
  <c r="V55"/>
  <c r="T55"/>
  <c r="R55"/>
  <c r="P55"/>
  <c r="N55"/>
  <c r="L55"/>
  <c r="J55"/>
  <c r="V65"/>
  <c r="W65" s="1"/>
  <c r="T65"/>
  <c r="U65" s="1"/>
  <c r="R65"/>
  <c r="S65" s="1"/>
  <c r="P65"/>
  <c r="Q65" s="1"/>
  <c r="N65"/>
  <c r="O65" s="1"/>
  <c r="V64"/>
  <c r="W64" s="1"/>
  <c r="T64"/>
  <c r="U64" s="1"/>
  <c r="R64"/>
  <c r="S64" s="1"/>
  <c r="P64"/>
  <c r="Q64" s="1"/>
  <c r="N64"/>
  <c r="O64" s="1"/>
  <c r="V68"/>
  <c r="W68" s="1"/>
  <c r="T68"/>
  <c r="U68" s="1"/>
  <c r="R68"/>
  <c r="S68" s="1"/>
  <c r="P68"/>
  <c r="Q68" s="1"/>
  <c r="N68"/>
  <c r="O68" s="1"/>
  <c r="L68"/>
  <c r="M68" s="1"/>
  <c r="K68"/>
  <c r="V63"/>
  <c r="W63" s="1"/>
  <c r="T63"/>
  <c r="U63" s="1"/>
  <c r="R63"/>
  <c r="S63" s="1"/>
  <c r="P63"/>
  <c r="Q63" s="1"/>
  <c r="N63"/>
  <c r="O63" s="1"/>
  <c r="L63"/>
  <c r="M63" s="1"/>
  <c r="J63"/>
  <c r="K63" s="1"/>
  <c r="V62"/>
  <c r="W62" s="1"/>
  <c r="T62"/>
  <c r="U62" s="1"/>
  <c r="R62"/>
  <c r="S62" s="1"/>
  <c r="P62"/>
  <c r="Q62" s="1"/>
  <c r="N62"/>
  <c r="O62" s="1"/>
  <c r="V61"/>
  <c r="W61" s="1"/>
  <c r="T61"/>
  <c r="U61" s="1"/>
  <c r="R61"/>
  <c r="S61" s="1"/>
  <c r="P61"/>
  <c r="Q61" s="1"/>
  <c r="N61"/>
  <c r="O61" s="1"/>
  <c r="V60"/>
  <c r="W60" s="1"/>
  <c r="T60"/>
  <c r="U60" s="1"/>
  <c r="R60"/>
  <c r="S60" s="1"/>
  <c r="P60"/>
  <c r="Q60" s="1"/>
  <c r="N60"/>
  <c r="O60" s="1"/>
  <c r="G62"/>
  <c r="V59"/>
  <c r="T59"/>
  <c r="R59"/>
  <c r="P59"/>
  <c r="N59"/>
  <c r="L59"/>
  <c r="J59"/>
  <c r="T14"/>
  <c r="U14" s="1"/>
  <c r="R14"/>
  <c r="S14" s="1"/>
  <c r="P14"/>
  <c r="Q14" s="1"/>
  <c r="N14"/>
  <c r="O14" s="1"/>
  <c r="L14"/>
  <c r="M14" s="1"/>
  <c r="J14"/>
  <c r="K14" s="1"/>
  <c r="N10"/>
  <c r="V11"/>
  <c r="W11" s="1"/>
  <c r="T11"/>
  <c r="U11" s="1"/>
  <c r="R11"/>
  <c r="S11" s="1"/>
  <c r="P11"/>
  <c r="Q11" s="1"/>
  <c r="N11"/>
  <c r="O11" s="1"/>
  <c r="V13"/>
  <c r="W13" s="1"/>
  <c r="T13"/>
  <c r="U13" s="1"/>
  <c r="R13"/>
  <c r="S13" s="1"/>
  <c r="P13"/>
  <c r="Q13" s="1"/>
  <c r="N13"/>
  <c r="O13" s="1"/>
  <c r="P30"/>
  <c r="Q30" s="1"/>
  <c r="T21"/>
  <c r="U21" s="1"/>
  <c r="R21"/>
  <c r="S21" s="1"/>
  <c r="P21"/>
  <c r="Q21" s="1"/>
  <c r="N21"/>
  <c r="O21" s="1"/>
  <c r="L21"/>
  <c r="M21" s="1"/>
  <c r="J21"/>
  <c r="K21" s="1"/>
  <c r="T20"/>
  <c r="U20" s="1"/>
  <c r="R20"/>
  <c r="S20" s="1"/>
  <c r="P20"/>
  <c r="Q20" s="1"/>
  <c r="N20"/>
  <c r="O20" s="1"/>
  <c r="L20"/>
  <c r="M20" s="1"/>
  <c r="J20"/>
  <c r="T27"/>
  <c r="R27"/>
  <c r="P27"/>
  <c r="N27"/>
  <c r="L27"/>
  <c r="L28"/>
  <c r="T26" l="1"/>
  <c r="U26" s="1"/>
  <c r="N26"/>
  <c r="O26" s="1"/>
  <c r="P26"/>
  <c r="Q26" s="1"/>
  <c r="R26"/>
  <c r="S26" s="1"/>
  <c r="T30"/>
  <c r="U30" s="1"/>
  <c r="R30"/>
  <c r="S30" s="1"/>
  <c r="J30"/>
  <c r="K30" s="1"/>
  <c r="L30"/>
  <c r="M30" s="1"/>
  <c r="N30"/>
  <c r="O30" s="1"/>
  <c r="P28"/>
  <c r="T28"/>
  <c r="R28"/>
  <c r="N28"/>
  <c r="L340" l="1"/>
  <c r="M340" s="1"/>
  <c r="N340"/>
  <c r="O340" s="1"/>
  <c r="P340"/>
  <c r="Q340" s="1"/>
  <c r="R340"/>
  <c r="S340" s="1"/>
  <c r="V279"/>
  <c r="W279" s="1"/>
  <c r="T279"/>
  <c r="U279" s="1"/>
  <c r="R279"/>
  <c r="S279" s="1"/>
  <c r="P279"/>
  <c r="Q279" s="1"/>
  <c r="N279"/>
  <c r="O279" s="1"/>
  <c r="L279"/>
  <c r="M279" s="1"/>
  <c r="J279"/>
  <c r="K279" s="1"/>
  <c r="G279"/>
  <c r="J255" l="1"/>
  <c r="K255" s="1"/>
  <c r="N255"/>
  <c r="O255" s="1"/>
  <c r="I255"/>
  <c r="T255" l="1"/>
  <c r="U255" s="1"/>
  <c r="V255"/>
  <c r="W255" s="1"/>
  <c r="G255"/>
  <c r="L255"/>
  <c r="M255" s="1"/>
  <c r="R255"/>
  <c r="S255" s="1"/>
  <c r="P255"/>
  <c r="Q255" s="1"/>
  <c r="R407"/>
  <c r="S407" s="1"/>
  <c r="T243"/>
  <c r="U243" s="1"/>
  <c r="V253"/>
  <c r="W253" s="1"/>
  <c r="H247"/>
  <c r="I247" s="1"/>
  <c r="L407" l="1"/>
  <c r="M407" s="1"/>
  <c r="T407"/>
  <c r="U407" s="1"/>
  <c r="J407"/>
  <c r="K407" s="1"/>
  <c r="N407"/>
  <c r="O407" s="1"/>
  <c r="P407"/>
  <c r="Q407" s="1"/>
  <c r="G407"/>
  <c r="I407"/>
  <c r="V407"/>
  <c r="W407" s="1"/>
  <c r="I253"/>
  <c r="G253"/>
  <c r="J253"/>
  <c r="K253" s="1"/>
  <c r="L253"/>
  <c r="M253" s="1"/>
  <c r="N253"/>
  <c r="O253" s="1"/>
  <c r="P253"/>
  <c r="Q253" s="1"/>
  <c r="R253"/>
  <c r="S253" s="1"/>
  <c r="T253"/>
  <c r="U253" s="1"/>
  <c r="G243"/>
  <c r="L243"/>
  <c r="M243" s="1"/>
  <c r="P243"/>
  <c r="Q243" s="1"/>
  <c r="N243"/>
  <c r="O243" s="1"/>
  <c r="V243"/>
  <c r="W243" s="1"/>
  <c r="H243"/>
  <c r="I243" s="1"/>
  <c r="J243"/>
  <c r="K243" s="1"/>
  <c r="R243"/>
  <c r="S243" s="1"/>
  <c r="P247" l="1"/>
  <c r="Q247" s="1"/>
  <c r="R247"/>
  <c r="S247" s="1"/>
  <c r="T247" l="1"/>
  <c r="U247" s="1"/>
  <c r="G247"/>
  <c r="J247"/>
  <c r="K247" s="1"/>
  <c r="V247"/>
  <c r="W247" s="1"/>
  <c r="L247"/>
  <c r="M247" s="1"/>
  <c r="N247"/>
  <c r="O247" s="1"/>
  <c r="H143" l="1"/>
  <c r="I143" s="1"/>
  <c r="V143"/>
  <c r="W143" s="1"/>
  <c r="T143"/>
  <c r="U143" s="1"/>
  <c r="R143"/>
  <c r="S143" s="1"/>
  <c r="P143"/>
  <c r="Q143" s="1"/>
  <c r="N143"/>
  <c r="O143" s="1"/>
  <c r="L143"/>
  <c r="M143" s="1"/>
  <c r="J143"/>
  <c r="K143" s="1"/>
  <c r="L95"/>
  <c r="J95"/>
  <c r="V97"/>
  <c r="W97" s="1"/>
  <c r="T97"/>
  <c r="U97" s="1"/>
  <c r="R97"/>
  <c r="S97" s="1"/>
  <c r="P97"/>
  <c r="Q97" s="1"/>
  <c r="N97"/>
  <c r="O97" s="1"/>
  <c r="L97"/>
  <c r="M97" s="1"/>
  <c r="J97"/>
  <c r="K97" s="1"/>
  <c r="J160"/>
  <c r="V160"/>
  <c r="T160"/>
  <c r="R160"/>
  <c r="S160" s="1"/>
  <c r="P160"/>
  <c r="Q160" s="1"/>
  <c r="N160"/>
  <c r="O160" s="1"/>
  <c r="L160"/>
  <c r="M160" s="1"/>
  <c r="H488" l="1"/>
  <c r="I488" s="1"/>
  <c r="G488" l="1"/>
  <c r="T184"/>
  <c r="U184" s="1"/>
  <c r="G487" l="1"/>
  <c r="V184"/>
  <c r="W184" s="1"/>
  <c r="R184"/>
  <c r="S184" s="1"/>
  <c r="G184"/>
  <c r="L184"/>
  <c r="M184" s="1"/>
  <c r="N184"/>
  <c r="O184" s="1"/>
  <c r="P184"/>
  <c r="Q184" s="1"/>
  <c r="G183"/>
  <c r="T182"/>
  <c r="U182" s="1"/>
  <c r="T181"/>
  <c r="U181" s="1"/>
  <c r="G180"/>
  <c r="L185"/>
  <c r="M185" s="1"/>
  <c r="L179"/>
  <c r="G178"/>
  <c r="G177"/>
  <c r="G176"/>
  <c r="G175"/>
  <c r="W178"/>
  <c r="U178"/>
  <c r="S178"/>
  <c r="Q178"/>
  <c r="O178"/>
  <c r="W177"/>
  <c r="U177"/>
  <c r="S177"/>
  <c r="Q177"/>
  <c r="O177"/>
  <c r="W176"/>
  <c r="U176"/>
  <c r="S176"/>
  <c r="Q176"/>
  <c r="O176"/>
  <c r="W175"/>
  <c r="U175"/>
  <c r="S175"/>
  <c r="Q175"/>
  <c r="O175"/>
  <c r="V201"/>
  <c r="W201" s="1"/>
  <c r="T201"/>
  <c r="U201" s="1"/>
  <c r="R201"/>
  <c r="S201" s="1"/>
  <c r="P201"/>
  <c r="Q201" s="1"/>
  <c r="N201"/>
  <c r="O201" s="1"/>
  <c r="V203"/>
  <c r="W203" s="1"/>
  <c r="T203"/>
  <c r="U203" s="1"/>
  <c r="R203"/>
  <c r="S203" s="1"/>
  <c r="P203"/>
  <c r="Q203" s="1"/>
  <c r="N203"/>
  <c r="O203" s="1"/>
  <c r="V202"/>
  <c r="W202" s="1"/>
  <c r="T202"/>
  <c r="U202" s="1"/>
  <c r="R202"/>
  <c r="S202" s="1"/>
  <c r="P202"/>
  <c r="Q202" s="1"/>
  <c r="N202"/>
  <c r="O202" s="1"/>
  <c r="V200"/>
  <c r="W200" s="1"/>
  <c r="T200"/>
  <c r="U200" s="1"/>
  <c r="R200"/>
  <c r="S200" s="1"/>
  <c r="P200"/>
  <c r="Q200" s="1"/>
  <c r="N200"/>
  <c r="O200" s="1"/>
  <c r="L200"/>
  <c r="M200" s="1"/>
  <c r="J200"/>
  <c r="K200" s="1"/>
  <c r="V212"/>
  <c r="W212" s="1"/>
  <c r="T212"/>
  <c r="U212" s="1"/>
  <c r="R212"/>
  <c r="S212" s="1"/>
  <c r="P212"/>
  <c r="Q212" s="1"/>
  <c r="N212"/>
  <c r="O212" s="1"/>
  <c r="L212"/>
  <c r="M212" s="1"/>
  <c r="J212"/>
  <c r="K212" s="1"/>
  <c r="V211"/>
  <c r="W211" s="1"/>
  <c r="T211"/>
  <c r="U211" s="1"/>
  <c r="R211"/>
  <c r="S211" s="1"/>
  <c r="P211"/>
  <c r="Q211" s="1"/>
  <c r="N211"/>
  <c r="O211" s="1"/>
  <c r="L211"/>
  <c r="M211" s="1"/>
  <c r="J211"/>
  <c r="K211" s="1"/>
  <c r="V210"/>
  <c r="W210" s="1"/>
  <c r="T210"/>
  <c r="U210" s="1"/>
  <c r="R210"/>
  <c r="S210" s="1"/>
  <c r="P210"/>
  <c r="Q210" s="1"/>
  <c r="N210"/>
  <c r="O210" s="1"/>
  <c r="L210"/>
  <c r="M210" s="1"/>
  <c r="J210"/>
  <c r="K210" s="1"/>
  <c r="V209"/>
  <c r="W209" s="1"/>
  <c r="T209"/>
  <c r="U209" s="1"/>
  <c r="R209"/>
  <c r="S209" s="1"/>
  <c r="P209"/>
  <c r="Q209" s="1"/>
  <c r="N209"/>
  <c r="O209" s="1"/>
  <c r="L209"/>
  <c r="M209" s="1"/>
  <c r="J209"/>
  <c r="K209" s="1"/>
  <c r="V208"/>
  <c r="W208" s="1"/>
  <c r="T208"/>
  <c r="U208" s="1"/>
  <c r="R208"/>
  <c r="S208" s="1"/>
  <c r="P208"/>
  <c r="Q208" s="1"/>
  <c r="N208"/>
  <c r="O208" s="1"/>
  <c r="L208"/>
  <c r="M208" s="1"/>
  <c r="J208"/>
  <c r="K208" s="1"/>
  <c r="V207"/>
  <c r="W207" s="1"/>
  <c r="T207"/>
  <c r="U207" s="1"/>
  <c r="R207"/>
  <c r="S207" s="1"/>
  <c r="P207"/>
  <c r="Q207" s="1"/>
  <c r="N207"/>
  <c r="O207" s="1"/>
  <c r="L207"/>
  <c r="M207" s="1"/>
  <c r="J207"/>
  <c r="K207" s="1"/>
  <c r="N216"/>
  <c r="N217"/>
  <c r="L217"/>
  <c r="L216"/>
  <c r="J216"/>
  <c r="T537"/>
  <c r="U537" s="1"/>
  <c r="V228"/>
  <c r="W228" s="1"/>
  <c r="T228"/>
  <c r="U228" s="1"/>
  <c r="R228"/>
  <c r="S228" s="1"/>
  <c r="P228"/>
  <c r="Q228" s="1"/>
  <c r="N228"/>
  <c r="O228" s="1"/>
  <c r="L228"/>
  <c r="M228" s="1"/>
  <c r="J228"/>
  <c r="K228" s="1"/>
  <c r="H228"/>
  <c r="I228" s="1"/>
  <c r="V227"/>
  <c r="W227" s="1"/>
  <c r="T227"/>
  <c r="U227" s="1"/>
  <c r="R227"/>
  <c r="S227" s="1"/>
  <c r="P227"/>
  <c r="Q227" s="1"/>
  <c r="N227"/>
  <c r="O227" s="1"/>
  <c r="L227"/>
  <c r="M227" s="1"/>
  <c r="J227"/>
  <c r="K227" s="1"/>
  <c r="H227"/>
  <c r="I227" s="1"/>
  <c r="V226"/>
  <c r="W226" s="1"/>
  <c r="T226"/>
  <c r="U226" s="1"/>
  <c r="R226"/>
  <c r="S226" s="1"/>
  <c r="P226"/>
  <c r="Q226" s="1"/>
  <c r="N226"/>
  <c r="O226" s="1"/>
  <c r="L226"/>
  <c r="M226" s="1"/>
  <c r="J226"/>
  <c r="K226" s="1"/>
  <c r="H226"/>
  <c r="I226" s="1"/>
  <c r="V230"/>
  <c r="W230" s="1"/>
  <c r="T230"/>
  <c r="U230" s="1"/>
  <c r="R230"/>
  <c r="S230" s="1"/>
  <c r="P230"/>
  <c r="Q230" s="1"/>
  <c r="N230"/>
  <c r="O230" s="1"/>
  <c r="L230"/>
  <c r="M230" s="1"/>
  <c r="J230"/>
  <c r="K230" s="1"/>
  <c r="H230"/>
  <c r="I230" s="1"/>
  <c r="V281"/>
  <c r="W281" s="1"/>
  <c r="T281"/>
  <c r="U281" s="1"/>
  <c r="R281"/>
  <c r="S281" s="1"/>
  <c r="P281"/>
  <c r="Q281" s="1"/>
  <c r="N281"/>
  <c r="O281" s="1"/>
  <c r="L281"/>
  <c r="M281" s="1"/>
  <c r="J281"/>
  <c r="K281" s="1"/>
  <c r="V280"/>
  <c r="W280" s="1"/>
  <c r="T280"/>
  <c r="U280" s="1"/>
  <c r="R280"/>
  <c r="S280" s="1"/>
  <c r="P280"/>
  <c r="Q280" s="1"/>
  <c r="N280"/>
  <c r="O280" s="1"/>
  <c r="L280"/>
  <c r="M280" s="1"/>
  <c r="J280"/>
  <c r="K280" s="1"/>
  <c r="V307"/>
  <c r="W307" s="1"/>
  <c r="T307"/>
  <c r="U307" s="1"/>
  <c r="R307"/>
  <c r="S307" s="1"/>
  <c r="P307"/>
  <c r="Q307" s="1"/>
  <c r="N307"/>
  <c r="O307" s="1"/>
  <c r="L307"/>
  <c r="M307" s="1"/>
  <c r="J307"/>
  <c r="K307" s="1"/>
  <c r="H307"/>
  <c r="I307" s="1"/>
  <c r="V305"/>
  <c r="W305" s="1"/>
  <c r="T305"/>
  <c r="U305" s="1"/>
  <c r="R305"/>
  <c r="S305" s="1"/>
  <c r="P305"/>
  <c r="Q305" s="1"/>
  <c r="N305"/>
  <c r="O305" s="1"/>
  <c r="L305"/>
  <c r="M305" s="1"/>
  <c r="J305"/>
  <c r="K305" s="1"/>
  <c r="H305"/>
  <c r="I305" s="1"/>
  <c r="V304"/>
  <c r="W304" s="1"/>
  <c r="T304"/>
  <c r="U304" s="1"/>
  <c r="R304"/>
  <c r="S304" s="1"/>
  <c r="P304"/>
  <c r="Q304" s="1"/>
  <c r="N304"/>
  <c r="O304" s="1"/>
  <c r="L304"/>
  <c r="M304" s="1"/>
  <c r="J304"/>
  <c r="K304" s="1"/>
  <c r="H304"/>
  <c r="I304" s="1"/>
  <c r="V295"/>
  <c r="W295" s="1"/>
  <c r="T295"/>
  <c r="U295" s="1"/>
  <c r="R295"/>
  <c r="S295" s="1"/>
  <c r="P295"/>
  <c r="Q295" s="1"/>
  <c r="N295"/>
  <c r="O295" s="1"/>
  <c r="L295"/>
  <c r="M295" s="1"/>
  <c r="J295"/>
  <c r="K295" s="1"/>
  <c r="H295"/>
  <c r="I295" s="1"/>
  <c r="V294"/>
  <c r="W294" s="1"/>
  <c r="T294"/>
  <c r="U294" s="1"/>
  <c r="R294"/>
  <c r="S294" s="1"/>
  <c r="P294"/>
  <c r="Q294" s="1"/>
  <c r="N294"/>
  <c r="O294" s="1"/>
  <c r="L294"/>
  <c r="M294" s="1"/>
  <c r="J294"/>
  <c r="K294" s="1"/>
  <c r="H294"/>
  <c r="I294" s="1"/>
  <c r="V293"/>
  <c r="W293" s="1"/>
  <c r="T293"/>
  <c r="U293" s="1"/>
  <c r="R293"/>
  <c r="S293" s="1"/>
  <c r="P293"/>
  <c r="Q293" s="1"/>
  <c r="N293"/>
  <c r="O293" s="1"/>
  <c r="L293"/>
  <c r="M293" s="1"/>
  <c r="J293"/>
  <c r="K293" s="1"/>
  <c r="H293"/>
  <c r="I293" s="1"/>
  <c r="V292"/>
  <c r="W292" s="1"/>
  <c r="T292"/>
  <c r="U292" s="1"/>
  <c r="R292"/>
  <c r="S292" s="1"/>
  <c r="P292"/>
  <c r="Q292" s="1"/>
  <c r="N292"/>
  <c r="O292" s="1"/>
  <c r="L292"/>
  <c r="M292" s="1"/>
  <c r="J292"/>
  <c r="K292" s="1"/>
  <c r="H292"/>
  <c r="I292" s="1"/>
  <c r="V291"/>
  <c r="W291" s="1"/>
  <c r="T291"/>
  <c r="U291" s="1"/>
  <c r="R291"/>
  <c r="S291" s="1"/>
  <c r="P291"/>
  <c r="Q291" s="1"/>
  <c r="N291"/>
  <c r="O291" s="1"/>
  <c r="L291"/>
  <c r="M291" s="1"/>
  <c r="J291"/>
  <c r="K291" s="1"/>
  <c r="H291"/>
  <c r="I291" s="1"/>
  <c r="V288"/>
  <c r="W288" s="1"/>
  <c r="T288"/>
  <c r="U288" s="1"/>
  <c r="R288"/>
  <c r="S288" s="1"/>
  <c r="P288"/>
  <c r="Q288" s="1"/>
  <c r="N288"/>
  <c r="O288" s="1"/>
  <c r="L288"/>
  <c r="M288" s="1"/>
  <c r="J288"/>
  <c r="K288" s="1"/>
  <c r="H288"/>
  <c r="I288" s="1"/>
  <c r="V277"/>
  <c r="W277" s="1"/>
  <c r="T277"/>
  <c r="U277" s="1"/>
  <c r="R277"/>
  <c r="S277" s="1"/>
  <c r="P277"/>
  <c r="Q277" s="1"/>
  <c r="N277"/>
  <c r="O277" s="1"/>
  <c r="L277"/>
  <c r="M277" s="1"/>
  <c r="J277"/>
  <c r="K277" s="1"/>
  <c r="H277"/>
  <c r="I277" s="1"/>
  <c r="V276"/>
  <c r="W276" s="1"/>
  <c r="T276"/>
  <c r="U276" s="1"/>
  <c r="R276"/>
  <c r="S276" s="1"/>
  <c r="P276"/>
  <c r="Q276" s="1"/>
  <c r="N276"/>
  <c r="O276" s="1"/>
  <c r="L276"/>
  <c r="M276" s="1"/>
  <c r="J276"/>
  <c r="K276" s="1"/>
  <c r="H276"/>
  <c r="I276" s="1"/>
  <c r="H261"/>
  <c r="I261" s="1"/>
  <c r="J261"/>
  <c r="K261" s="1"/>
  <c r="L261"/>
  <c r="M261" s="1"/>
  <c r="N261"/>
  <c r="O261" s="1"/>
  <c r="P261"/>
  <c r="Q261" s="1"/>
  <c r="V274"/>
  <c r="W274" s="1"/>
  <c r="T274"/>
  <c r="U274" s="1"/>
  <c r="R274"/>
  <c r="S274" s="1"/>
  <c r="P274"/>
  <c r="Q274" s="1"/>
  <c r="N274"/>
  <c r="O274" s="1"/>
  <c r="V273"/>
  <c r="W273" s="1"/>
  <c r="T273"/>
  <c r="U273" s="1"/>
  <c r="R273"/>
  <c r="S273" s="1"/>
  <c r="P273"/>
  <c r="Q273" s="1"/>
  <c r="N273"/>
  <c r="O273" s="1"/>
  <c r="V272"/>
  <c r="W272" s="1"/>
  <c r="T272"/>
  <c r="U272" s="1"/>
  <c r="R272"/>
  <c r="S272" s="1"/>
  <c r="P272"/>
  <c r="Q272" s="1"/>
  <c r="N272"/>
  <c r="O272" s="1"/>
  <c r="V271"/>
  <c r="W271" s="1"/>
  <c r="T271"/>
  <c r="U271" s="1"/>
  <c r="R271"/>
  <c r="S271" s="1"/>
  <c r="P271"/>
  <c r="Q271" s="1"/>
  <c r="N271"/>
  <c r="O271" s="1"/>
  <c r="V270"/>
  <c r="W270" s="1"/>
  <c r="T270"/>
  <c r="U270" s="1"/>
  <c r="R270"/>
  <c r="S270" s="1"/>
  <c r="P270"/>
  <c r="Q270" s="1"/>
  <c r="N270"/>
  <c r="O270" s="1"/>
  <c r="H260"/>
  <c r="H259"/>
  <c r="H257"/>
  <c r="V262"/>
  <c r="W262" s="1"/>
  <c r="T262"/>
  <c r="U262" s="1"/>
  <c r="R262"/>
  <c r="S262" s="1"/>
  <c r="P262"/>
  <c r="Q262" s="1"/>
  <c r="N262"/>
  <c r="O262" s="1"/>
  <c r="L262"/>
  <c r="M262" s="1"/>
  <c r="J262"/>
  <c r="K262" s="1"/>
  <c r="V261"/>
  <c r="W261" s="1"/>
  <c r="T261"/>
  <c r="U261" s="1"/>
  <c r="R261"/>
  <c r="S261" s="1"/>
  <c r="V260"/>
  <c r="W260" s="1"/>
  <c r="T260"/>
  <c r="U260" s="1"/>
  <c r="R260"/>
  <c r="S260" s="1"/>
  <c r="P260"/>
  <c r="Q260" s="1"/>
  <c r="N260"/>
  <c r="O260" s="1"/>
  <c r="L260"/>
  <c r="M260" s="1"/>
  <c r="J260"/>
  <c r="K260" s="1"/>
  <c r="V259"/>
  <c r="W259" s="1"/>
  <c r="T259"/>
  <c r="U259" s="1"/>
  <c r="R259"/>
  <c r="S259" s="1"/>
  <c r="P259"/>
  <c r="Q259" s="1"/>
  <c r="N259"/>
  <c r="O259" s="1"/>
  <c r="L259"/>
  <c r="M259" s="1"/>
  <c r="J259"/>
  <c r="K259" s="1"/>
  <c r="V258"/>
  <c r="W258" s="1"/>
  <c r="T258"/>
  <c r="U258" s="1"/>
  <c r="R258"/>
  <c r="S258" s="1"/>
  <c r="P258"/>
  <c r="Q258" s="1"/>
  <c r="N258"/>
  <c r="O258" s="1"/>
  <c r="L258"/>
  <c r="M258" s="1"/>
  <c r="J258"/>
  <c r="K258" s="1"/>
  <c r="V257"/>
  <c r="W257" s="1"/>
  <c r="T257"/>
  <c r="U257" s="1"/>
  <c r="R257"/>
  <c r="S257" s="1"/>
  <c r="P257"/>
  <c r="Q257" s="1"/>
  <c r="N257"/>
  <c r="O257" s="1"/>
  <c r="L257"/>
  <c r="M257" s="1"/>
  <c r="J257"/>
  <c r="K257" s="1"/>
  <c r="V256"/>
  <c r="W256" s="1"/>
  <c r="T256"/>
  <c r="U256" s="1"/>
  <c r="R256"/>
  <c r="S256" s="1"/>
  <c r="P256"/>
  <c r="Q256" s="1"/>
  <c r="N256"/>
  <c r="O256" s="1"/>
  <c r="L256"/>
  <c r="M256" s="1"/>
  <c r="J256"/>
  <c r="K256" s="1"/>
  <c r="P254"/>
  <c r="J254"/>
  <c r="L254"/>
  <c r="N254"/>
  <c r="R254"/>
  <c r="T254"/>
  <c r="V254"/>
  <c r="V269"/>
  <c r="W269" s="1"/>
  <c r="T269"/>
  <c r="U269" s="1"/>
  <c r="R269"/>
  <c r="S269" s="1"/>
  <c r="P269"/>
  <c r="Q269" s="1"/>
  <c r="N269"/>
  <c r="O269" s="1"/>
  <c r="L269"/>
  <c r="M269" s="1"/>
  <c r="J269"/>
  <c r="K269" s="1"/>
  <c r="P420"/>
  <c r="Q420" s="1"/>
  <c r="N420"/>
  <c r="O420" s="1"/>
  <c r="O417"/>
  <c r="M417"/>
  <c r="K417"/>
  <c r="V420"/>
  <c r="W420" s="1"/>
  <c r="T420"/>
  <c r="U420" s="1"/>
  <c r="R420"/>
  <c r="S420" s="1"/>
  <c r="L420"/>
  <c r="M420" s="1"/>
  <c r="J420"/>
  <c r="K420" s="1"/>
  <c r="K418"/>
  <c r="L182" l="1"/>
  <c r="M182" s="1"/>
  <c r="P185"/>
  <c r="Q185" s="1"/>
  <c r="V183"/>
  <c r="W183" s="1"/>
  <c r="P183"/>
  <c r="Q183" s="1"/>
  <c r="R185"/>
  <c r="S185" s="1"/>
  <c r="T185"/>
  <c r="U185" s="1"/>
  <c r="R182"/>
  <c r="S182" s="1"/>
  <c r="L180"/>
  <c r="M180" s="1"/>
  <c r="R180"/>
  <c r="S180" s="1"/>
  <c r="P180"/>
  <c r="Q180" s="1"/>
  <c r="G182"/>
  <c r="R183"/>
  <c r="S183" s="1"/>
  <c r="L183"/>
  <c r="M183" s="1"/>
  <c r="T183"/>
  <c r="U183" s="1"/>
  <c r="N183"/>
  <c r="O183" s="1"/>
  <c r="P182"/>
  <c r="Q182" s="1"/>
  <c r="N182"/>
  <c r="O182" s="1"/>
  <c r="V182"/>
  <c r="W182" s="1"/>
  <c r="G181"/>
  <c r="R181"/>
  <c r="S181" s="1"/>
  <c r="L181"/>
  <c r="M181" s="1"/>
  <c r="P181"/>
  <c r="Q181" s="1"/>
  <c r="V181"/>
  <c r="W181" s="1"/>
  <c r="N181"/>
  <c r="O181" s="1"/>
  <c r="N180"/>
  <c r="O180" s="1"/>
  <c r="V180"/>
  <c r="W180" s="1"/>
  <c r="T180"/>
  <c r="U180" s="1"/>
  <c r="N185"/>
  <c r="O185" s="1"/>
  <c r="V185"/>
  <c r="W185" s="1"/>
  <c r="G185"/>
  <c r="P179"/>
  <c r="R179"/>
  <c r="T179"/>
  <c r="N179"/>
  <c r="V179"/>
  <c r="H537"/>
  <c r="I537" s="1"/>
  <c r="L537"/>
  <c r="M537" s="1"/>
  <c r="V537"/>
  <c r="W537" s="1"/>
  <c r="P537"/>
  <c r="Q537" s="1"/>
  <c r="G537"/>
  <c r="J537"/>
  <c r="K537" s="1"/>
  <c r="N537"/>
  <c r="O537" s="1"/>
  <c r="R537"/>
  <c r="S537" s="1"/>
  <c r="H360"/>
  <c r="V360"/>
  <c r="W360" s="1"/>
  <c r="T360"/>
  <c r="U360" s="1"/>
  <c r="R360"/>
  <c r="S360" s="1"/>
  <c r="P360"/>
  <c r="Q360" s="1"/>
  <c r="N360"/>
  <c r="O360" s="1"/>
  <c r="L360"/>
  <c r="M360" s="1"/>
  <c r="J360"/>
  <c r="K360" s="1"/>
  <c r="I651" l="1"/>
  <c r="I650"/>
  <c r="I648"/>
  <c r="I649"/>
  <c r="W648"/>
  <c r="U648"/>
  <c r="S648"/>
  <c r="Q648"/>
  <c r="M648"/>
  <c r="K648"/>
  <c r="W510" l="1"/>
  <c r="N626"/>
  <c r="O626" s="1"/>
  <c r="P624"/>
  <c r="Q624" s="1"/>
  <c r="N624" l="1"/>
  <c r="O624" s="1"/>
  <c r="J624"/>
  <c r="K624" s="1"/>
  <c r="H624"/>
  <c r="I624" s="1"/>
  <c r="R626"/>
  <c r="S626" s="1"/>
  <c r="L626"/>
  <c r="M626" s="1"/>
  <c r="H626"/>
  <c r="I626" s="1"/>
  <c r="P626"/>
  <c r="Q626" s="1"/>
  <c r="R624"/>
  <c r="S624" s="1"/>
  <c r="U510"/>
  <c r="I510"/>
  <c r="M510"/>
  <c r="Q510"/>
  <c r="K510"/>
  <c r="O510"/>
  <c r="S510"/>
  <c r="L624"/>
  <c r="M624" s="1"/>
  <c r="J626"/>
  <c r="K626" s="1"/>
  <c r="G467" l="1"/>
  <c r="V426" l="1"/>
  <c r="W426" s="1"/>
  <c r="P426"/>
  <c r="Q426" s="1"/>
  <c r="T426"/>
  <c r="U426" s="1"/>
  <c r="N426"/>
  <c r="O426" s="1"/>
  <c r="L426"/>
  <c r="M426" s="1"/>
  <c r="J426"/>
  <c r="K426" s="1"/>
  <c r="R426"/>
  <c r="S426" s="1"/>
  <c r="R425"/>
  <c r="S425" s="1"/>
  <c r="J425"/>
  <c r="K425" s="1"/>
  <c r="V425"/>
  <c r="W425" s="1"/>
  <c r="L425"/>
  <c r="M425" s="1"/>
  <c r="T425"/>
  <c r="U425" s="1"/>
  <c r="N425"/>
  <c r="O425" s="1"/>
  <c r="P425"/>
  <c r="Q425" s="1"/>
  <c r="Q433"/>
  <c r="I433"/>
  <c r="W433"/>
  <c r="O433"/>
  <c r="M433"/>
  <c r="K433"/>
  <c r="U433"/>
  <c r="S433"/>
  <c r="G486"/>
  <c r="H486"/>
  <c r="I486" s="1"/>
  <c r="G485"/>
  <c r="N411" l="1"/>
  <c r="O411" s="1"/>
  <c r="T411"/>
  <c r="U411" s="1"/>
  <c r="L411"/>
  <c r="M411" s="1"/>
  <c r="P411"/>
  <c r="Q411" s="1"/>
  <c r="R411"/>
  <c r="S411" s="1"/>
  <c r="J411"/>
  <c r="K411" s="1"/>
  <c r="V411"/>
  <c r="W411" s="1"/>
  <c r="L402"/>
  <c r="M402" s="1"/>
  <c r="J402"/>
  <c r="K402" s="1"/>
  <c r="V404"/>
  <c r="N404"/>
  <c r="T404"/>
  <c r="L404"/>
  <c r="R404"/>
  <c r="J404"/>
  <c r="P404"/>
  <c r="P390" l="1"/>
  <c r="Q390" s="1"/>
  <c r="J390"/>
  <c r="K390" s="1"/>
  <c r="H390"/>
  <c r="I390" s="1"/>
  <c r="L390"/>
  <c r="M390" s="1"/>
  <c r="N390"/>
  <c r="O390" s="1"/>
  <c r="N394"/>
  <c r="O394" s="1"/>
  <c r="L394"/>
  <c r="M394" s="1"/>
  <c r="J394"/>
  <c r="K394" s="1"/>
  <c r="P394"/>
  <c r="Q394" s="1"/>
  <c r="T401"/>
  <c r="U401" s="1"/>
  <c r="L401"/>
  <c r="M401" s="1"/>
  <c r="R401"/>
  <c r="S401" s="1"/>
  <c r="J401"/>
  <c r="K401" s="1"/>
  <c r="P401"/>
  <c r="Q401" s="1"/>
  <c r="I401"/>
  <c r="V401"/>
  <c r="W401" s="1"/>
  <c r="N401"/>
  <c r="O401" s="1"/>
  <c r="T393"/>
  <c r="U393" s="1"/>
  <c r="L393"/>
  <c r="M393" s="1"/>
  <c r="R393"/>
  <c r="S393" s="1"/>
  <c r="J393"/>
  <c r="K393" s="1"/>
  <c r="P393"/>
  <c r="Q393" s="1"/>
  <c r="H393"/>
  <c r="I393" s="1"/>
  <c r="V393"/>
  <c r="W393" s="1"/>
  <c r="N393"/>
  <c r="O393" s="1"/>
  <c r="L328"/>
  <c r="M328" s="1"/>
  <c r="V330" l="1"/>
  <c r="W330" s="1"/>
  <c r="T330"/>
  <c r="U330" s="1"/>
  <c r="N330"/>
  <c r="O330" s="1"/>
  <c r="R330"/>
  <c r="S330" s="1"/>
  <c r="P330"/>
  <c r="Q330" s="1"/>
  <c r="L330"/>
  <c r="M330" s="1"/>
  <c r="P343"/>
  <c r="Q343" s="1"/>
  <c r="N343"/>
  <c r="O343" s="1"/>
  <c r="L343"/>
  <c r="M343" s="1"/>
  <c r="R343"/>
  <c r="S343" s="1"/>
  <c r="V343"/>
  <c r="W343" s="1"/>
  <c r="T343"/>
  <c r="U343" s="1"/>
  <c r="P332"/>
  <c r="Q332" s="1"/>
  <c r="N332"/>
  <c r="O332" s="1"/>
  <c r="L332"/>
  <c r="M332" s="1"/>
  <c r="R332"/>
  <c r="S332" s="1"/>
  <c r="T332"/>
  <c r="U332" s="1"/>
  <c r="V332"/>
  <c r="W332" s="1"/>
  <c r="T342"/>
  <c r="U342" s="1"/>
  <c r="V342"/>
  <c r="W342" s="1"/>
  <c r="R342"/>
  <c r="S342" s="1"/>
  <c r="L342"/>
  <c r="M342" s="1"/>
  <c r="P342"/>
  <c r="Q342" s="1"/>
  <c r="N342"/>
  <c r="O342" s="1"/>
  <c r="T341"/>
  <c r="U341" s="1"/>
  <c r="N341"/>
  <c r="O341" s="1"/>
  <c r="R341"/>
  <c r="S341" s="1"/>
  <c r="P341"/>
  <c r="Q341" s="1"/>
  <c r="V341"/>
  <c r="W341" s="1"/>
  <c r="L341"/>
  <c r="M341" s="1"/>
  <c r="P329"/>
  <c r="Q329" s="1"/>
  <c r="N329"/>
  <c r="O329" s="1"/>
  <c r="L329"/>
  <c r="M329" s="1"/>
  <c r="R329"/>
  <c r="S329" s="1"/>
  <c r="T329"/>
  <c r="U329" s="1"/>
  <c r="V329"/>
  <c r="W329" s="1"/>
  <c r="N328"/>
  <c r="T331"/>
  <c r="U331" s="1"/>
  <c r="V331"/>
  <c r="W331" s="1"/>
  <c r="R331"/>
  <c r="S331" s="1"/>
  <c r="P331"/>
  <c r="Q331" s="1"/>
  <c r="N331"/>
  <c r="O331" s="1"/>
  <c r="L331"/>
  <c r="M331" s="1"/>
  <c r="L320"/>
  <c r="M320" s="1"/>
  <c r="R320"/>
  <c r="S320" s="1"/>
  <c r="P320"/>
  <c r="Q320" s="1"/>
  <c r="V320"/>
  <c r="W320" s="1"/>
  <c r="T320"/>
  <c r="U320" s="1"/>
  <c r="N320"/>
  <c r="O320" s="1"/>
  <c r="T327"/>
  <c r="U327" s="1"/>
  <c r="V327"/>
  <c r="W327" s="1"/>
  <c r="R327"/>
  <c r="S327" s="1"/>
  <c r="L327"/>
  <c r="M327" s="1"/>
  <c r="P327"/>
  <c r="Q327" s="1"/>
  <c r="N327"/>
  <c r="O327" s="1"/>
  <c r="L377"/>
  <c r="M377" s="1"/>
  <c r="V377"/>
  <c r="W377" s="1"/>
  <c r="P377"/>
  <c r="Q377" s="1"/>
  <c r="T377"/>
  <c r="U377" s="1"/>
  <c r="R377"/>
  <c r="S377" s="1"/>
  <c r="N377"/>
  <c r="O377" s="1"/>
  <c r="R369"/>
  <c r="S369" s="1"/>
  <c r="V369"/>
  <c r="W369" s="1"/>
  <c r="T369"/>
  <c r="U369" s="1"/>
  <c r="P369"/>
  <c r="Q369" s="1"/>
  <c r="N369"/>
  <c r="O369" s="1"/>
  <c r="L369"/>
  <c r="M369" s="1"/>
  <c r="R326"/>
  <c r="S326" s="1"/>
  <c r="P326"/>
  <c r="Q326" s="1"/>
  <c r="T326"/>
  <c r="U326" s="1"/>
  <c r="N326"/>
  <c r="O326" s="1"/>
  <c r="L326"/>
  <c r="M326" s="1"/>
  <c r="V326"/>
  <c r="W326" s="1"/>
  <c r="T321"/>
  <c r="U321" s="1"/>
  <c r="N321"/>
  <c r="O321" s="1"/>
  <c r="R321"/>
  <c r="S321" s="1"/>
  <c r="P321"/>
  <c r="Q321" s="1"/>
  <c r="V321"/>
  <c r="W321" s="1"/>
  <c r="L321"/>
  <c r="M321" s="1"/>
  <c r="N333"/>
  <c r="O333" s="1"/>
  <c r="V333"/>
  <c r="W333" s="1"/>
  <c r="T333"/>
  <c r="U333" s="1"/>
  <c r="R333"/>
  <c r="S333" s="1"/>
  <c r="P333"/>
  <c r="Q333" s="1"/>
  <c r="L333"/>
  <c r="M333" s="1"/>
  <c r="R335"/>
  <c r="S335" s="1"/>
  <c r="N335"/>
  <c r="O335" s="1"/>
  <c r="P335"/>
  <c r="Q335" s="1"/>
  <c r="L335"/>
  <c r="M335" s="1"/>
  <c r="P348"/>
  <c r="Q348" s="1"/>
  <c r="N348"/>
  <c r="O348" s="1"/>
  <c r="L348"/>
  <c r="M348" s="1"/>
  <c r="V348"/>
  <c r="T348"/>
  <c r="U348" s="1"/>
  <c r="R348"/>
  <c r="S348" s="1"/>
  <c r="L349"/>
  <c r="M349" s="1"/>
  <c r="N349"/>
  <c r="O349" s="1"/>
  <c r="V349"/>
  <c r="W349" s="1"/>
  <c r="T349"/>
  <c r="U349" s="1"/>
  <c r="P349"/>
  <c r="Q349" s="1"/>
  <c r="R349"/>
  <c r="S349" s="1"/>
  <c r="H346"/>
  <c r="I346" s="1"/>
  <c r="J346"/>
  <c r="N346"/>
  <c r="L346"/>
  <c r="U347"/>
  <c r="M347"/>
  <c r="S347"/>
  <c r="M358"/>
  <c r="Q358"/>
  <c r="O358"/>
  <c r="J345"/>
  <c r="K345" s="1"/>
  <c r="V345"/>
  <c r="W345" s="1"/>
  <c r="P345"/>
  <c r="Q345" s="1"/>
  <c r="H345"/>
  <c r="I345" s="1"/>
  <c r="R345"/>
  <c r="S345" s="1"/>
  <c r="L345"/>
  <c r="M345" s="1"/>
  <c r="T345"/>
  <c r="U345" s="1"/>
  <c r="N345"/>
  <c r="O345" s="1"/>
  <c r="V379" l="1"/>
  <c r="W379" s="1"/>
  <c r="T379"/>
  <c r="U379" s="1"/>
  <c r="V350"/>
  <c r="W350" s="1"/>
  <c r="T350"/>
  <c r="U350" s="1"/>
  <c r="R350"/>
  <c r="S350" s="1"/>
  <c r="P350"/>
  <c r="Q350" s="1"/>
  <c r="N350"/>
  <c r="O350" s="1"/>
  <c r="R379"/>
  <c r="S379" s="1"/>
  <c r="P379"/>
  <c r="Q379" s="1"/>
  <c r="N379"/>
  <c r="O379" s="1"/>
  <c r="L379"/>
  <c r="M379" s="1"/>
  <c r="L322"/>
  <c r="M322" s="1"/>
  <c r="T322"/>
  <c r="U322" s="1"/>
  <c r="V322"/>
  <c r="W322" s="1"/>
  <c r="R322"/>
  <c r="S322" s="1"/>
  <c r="P322"/>
  <c r="Q322" s="1"/>
  <c r="N322"/>
  <c r="O322" s="1"/>
  <c r="P386"/>
  <c r="Q386" s="1"/>
  <c r="N386"/>
  <c r="O386" s="1"/>
  <c r="L386"/>
  <c r="M386" s="1"/>
  <c r="T386"/>
  <c r="U386" s="1"/>
  <c r="R386"/>
  <c r="S386" s="1"/>
  <c r="V386"/>
  <c r="W386" s="1"/>
  <c r="T378"/>
  <c r="U378" s="1"/>
  <c r="R378"/>
  <c r="S378" s="1"/>
  <c r="P378"/>
  <c r="Q378" s="1"/>
  <c r="L378"/>
  <c r="M378" s="1"/>
  <c r="N378"/>
  <c r="O378" s="1"/>
  <c r="V378"/>
  <c r="W378" s="1"/>
  <c r="L310"/>
  <c r="R310"/>
  <c r="P310"/>
  <c r="T310"/>
  <c r="N310"/>
  <c r="V310"/>
  <c r="P385"/>
  <c r="Q385" s="1"/>
  <c r="V385"/>
  <c r="W385" s="1"/>
  <c r="T385"/>
  <c r="U385" s="1"/>
  <c r="R385"/>
  <c r="S385" s="1"/>
  <c r="N385"/>
  <c r="O385" s="1"/>
  <c r="L385"/>
  <c r="M385" s="1"/>
  <c r="P371"/>
  <c r="Q371" s="1"/>
  <c r="N371"/>
  <c r="O371" s="1"/>
  <c r="L371"/>
  <c r="M371" s="1"/>
  <c r="V371"/>
  <c r="W371" s="1"/>
  <c r="T371"/>
  <c r="U371" s="1"/>
  <c r="R371"/>
  <c r="S371" s="1"/>
  <c r="T367"/>
  <c r="U367" s="1"/>
  <c r="L367"/>
  <c r="M367" s="1"/>
  <c r="R367"/>
  <c r="S367" s="1"/>
  <c r="J367"/>
  <c r="K367" s="1"/>
  <c r="P367"/>
  <c r="Q367" s="1"/>
  <c r="H367"/>
  <c r="I367" s="1"/>
  <c r="V367"/>
  <c r="W367" s="1"/>
  <c r="N367"/>
  <c r="O367" s="1"/>
  <c r="R312" l="1"/>
  <c r="S312" s="1"/>
  <c r="J312"/>
  <c r="P312"/>
  <c r="Q312" s="1"/>
  <c r="V312"/>
  <c r="W312" s="1"/>
  <c r="N312"/>
  <c r="O312" s="1"/>
  <c r="L312"/>
  <c r="M312" s="1"/>
  <c r="T312"/>
  <c r="U312" s="1"/>
  <c r="K312"/>
  <c r="F251"/>
  <c r="H251" s="1"/>
  <c r="I251" s="1"/>
  <c r="H225"/>
  <c r="N186"/>
  <c r="V154" l="1"/>
  <c r="W154" s="1"/>
  <c r="T154"/>
  <c r="U154" s="1"/>
  <c r="N105"/>
  <c r="V105"/>
  <c r="T105"/>
  <c r="R105"/>
  <c r="P124"/>
  <c r="Q124" s="1"/>
  <c r="N124"/>
  <c r="O124" s="1"/>
  <c r="L124"/>
  <c r="M124" s="1"/>
  <c r="J124"/>
  <c r="K124" s="1"/>
  <c r="J145"/>
  <c r="K145" s="1"/>
  <c r="H145"/>
  <c r="I145" s="1"/>
  <c r="L145"/>
  <c r="M145" s="1"/>
  <c r="N145"/>
  <c r="O145" s="1"/>
  <c r="R96"/>
  <c r="S96" s="1"/>
  <c r="P96"/>
  <c r="Q96" s="1"/>
  <c r="N96"/>
  <c r="O96" s="1"/>
  <c r="L96"/>
  <c r="M96" s="1"/>
  <c r="J96"/>
  <c r="K96" s="1"/>
  <c r="V96"/>
  <c r="W96" s="1"/>
  <c r="T96"/>
  <c r="U96" s="1"/>
  <c r="H142"/>
  <c r="I142" s="1"/>
  <c r="T142"/>
  <c r="U142" s="1"/>
  <c r="R142"/>
  <c r="S142" s="1"/>
  <c r="P142"/>
  <c r="Q142" s="1"/>
  <c r="N142"/>
  <c r="O142" s="1"/>
  <c r="L142"/>
  <c r="M142" s="1"/>
  <c r="J142"/>
  <c r="K142" s="1"/>
  <c r="V142"/>
  <c r="W142" s="1"/>
  <c r="R126"/>
  <c r="S126" s="1"/>
  <c r="P126"/>
  <c r="Q126" s="1"/>
  <c r="N126"/>
  <c r="O126" s="1"/>
  <c r="L126"/>
  <c r="M126" s="1"/>
  <c r="J126"/>
  <c r="K126" s="1"/>
  <c r="V126"/>
  <c r="W126" s="1"/>
  <c r="T126"/>
  <c r="U126" s="1"/>
  <c r="H162"/>
  <c r="I162" s="1"/>
  <c r="R162"/>
  <c r="S162" s="1"/>
  <c r="V162"/>
  <c r="W162" s="1"/>
  <c r="T162"/>
  <c r="U162" s="1"/>
  <c r="N162"/>
  <c r="O162" s="1"/>
  <c r="P162"/>
  <c r="Q162" s="1"/>
  <c r="L162"/>
  <c r="M162" s="1"/>
  <c r="J162"/>
  <c r="K162" s="1"/>
  <c r="P154"/>
  <c r="N154"/>
  <c r="L154"/>
  <c r="R154"/>
  <c r="T163"/>
  <c r="U163" s="1"/>
  <c r="R163"/>
  <c r="S163" s="1"/>
  <c r="P163"/>
  <c r="Q163" s="1"/>
  <c r="L163"/>
  <c r="M163" s="1"/>
  <c r="N163"/>
  <c r="O163" s="1"/>
  <c r="J163"/>
  <c r="K163" s="1"/>
  <c r="V163"/>
  <c r="W163" s="1"/>
  <c r="J164"/>
  <c r="L164"/>
  <c r="L161"/>
  <c r="M161" s="1"/>
  <c r="J161"/>
  <c r="K161" s="1"/>
  <c r="T161"/>
  <c r="U161" s="1"/>
  <c r="P161"/>
  <c r="Q161" s="1"/>
  <c r="N161"/>
  <c r="O161" s="1"/>
  <c r="V161"/>
  <c r="W161" s="1"/>
  <c r="R161"/>
  <c r="S161" s="1"/>
  <c r="T187"/>
  <c r="U187" s="1"/>
  <c r="L187"/>
  <c r="M187" s="1"/>
  <c r="R187"/>
  <c r="S187" s="1"/>
  <c r="P187"/>
  <c r="Q187" s="1"/>
  <c r="V187"/>
  <c r="W187" s="1"/>
  <c r="N187"/>
  <c r="O187" s="1"/>
  <c r="P225"/>
  <c r="Q225" s="1"/>
  <c r="I225"/>
  <c r="V225"/>
  <c r="W225" s="1"/>
  <c r="N225"/>
  <c r="O225" s="1"/>
  <c r="T225"/>
  <c r="U225" s="1"/>
  <c r="L225"/>
  <c r="M225" s="1"/>
  <c r="R225"/>
  <c r="S225" s="1"/>
  <c r="J225"/>
  <c r="K225" s="1"/>
  <c r="T189"/>
  <c r="U189" s="1"/>
  <c r="L189"/>
  <c r="M189" s="1"/>
  <c r="R189"/>
  <c r="S189" s="1"/>
  <c r="J189"/>
  <c r="K189" s="1"/>
  <c r="P189"/>
  <c r="Q189" s="1"/>
  <c r="H189"/>
  <c r="I189" s="1"/>
  <c r="V189"/>
  <c r="W189" s="1"/>
  <c r="N189"/>
  <c r="O189" s="1"/>
  <c r="R204"/>
  <c r="S204" s="1"/>
  <c r="L204"/>
  <c r="M204" s="1"/>
  <c r="V204"/>
  <c r="W204" s="1"/>
  <c r="P204"/>
  <c r="Q204" s="1"/>
  <c r="T204"/>
  <c r="U204" s="1"/>
  <c r="J204"/>
  <c r="K204" s="1"/>
  <c r="N204"/>
  <c r="O204" s="1"/>
  <c r="H204"/>
  <c r="I204" s="1"/>
  <c r="P188"/>
  <c r="Q188" s="1"/>
  <c r="V188"/>
  <c r="W188" s="1"/>
  <c r="N188"/>
  <c r="O188" s="1"/>
  <c r="T188"/>
  <c r="U188" s="1"/>
  <c r="L188"/>
  <c r="M188" s="1"/>
  <c r="R188"/>
  <c r="S188" s="1"/>
  <c r="P186"/>
  <c r="Q186" s="1"/>
  <c r="V186"/>
  <c r="W186" s="1"/>
  <c r="O186"/>
  <c r="T186"/>
  <c r="U186" s="1"/>
  <c r="L186"/>
  <c r="M186" s="1"/>
  <c r="R186"/>
  <c r="S186" s="1"/>
  <c r="V196"/>
  <c r="W196" s="1"/>
  <c r="T196"/>
  <c r="U196" s="1"/>
  <c r="L196"/>
  <c r="M196" s="1"/>
  <c r="R196"/>
  <c r="S196" s="1"/>
  <c r="J196"/>
  <c r="K196" s="1"/>
  <c r="P196"/>
  <c r="Q196" s="1"/>
  <c r="N196"/>
  <c r="O196" s="1"/>
  <c r="P240"/>
  <c r="Q240" s="1"/>
  <c r="V240"/>
  <c r="W240" s="1"/>
  <c r="L240"/>
  <c r="M240" s="1"/>
  <c r="H240"/>
  <c r="T240"/>
  <c r="U240" s="1"/>
  <c r="J240"/>
  <c r="K240" s="1"/>
  <c r="N240"/>
  <c r="O240" s="1"/>
  <c r="R240"/>
  <c r="S240" s="1"/>
  <c r="V284"/>
  <c r="W284" s="1"/>
  <c r="N284"/>
  <c r="O284" s="1"/>
  <c r="T284"/>
  <c r="U284" s="1"/>
  <c r="J284"/>
  <c r="K284" s="1"/>
  <c r="P284"/>
  <c r="Q284" s="1"/>
  <c r="R284"/>
  <c r="S284" s="1"/>
  <c r="I284"/>
  <c r="L284"/>
  <c r="M284" s="1"/>
  <c r="V302"/>
  <c r="W302" s="1"/>
  <c r="N302"/>
  <c r="O302" s="1"/>
  <c r="L302"/>
  <c r="M302" s="1"/>
  <c r="T302"/>
  <c r="U302" s="1"/>
  <c r="J302"/>
  <c r="K302" s="1"/>
  <c r="R302"/>
  <c r="S302" s="1"/>
  <c r="H302"/>
  <c r="I302" s="1"/>
  <c r="P302"/>
  <c r="Q302" s="1"/>
  <c r="V297"/>
  <c r="W297" s="1"/>
  <c r="N297"/>
  <c r="O297" s="1"/>
  <c r="T297"/>
  <c r="U297" s="1"/>
  <c r="J297"/>
  <c r="K297" s="1"/>
  <c r="R297"/>
  <c r="S297" s="1"/>
  <c r="H297"/>
  <c r="I297" s="1"/>
  <c r="P297"/>
  <c r="Q297" s="1"/>
  <c r="L297"/>
  <c r="M297" s="1"/>
  <c r="R301"/>
  <c r="S301" s="1"/>
  <c r="J301"/>
  <c r="K301" s="1"/>
  <c r="T301"/>
  <c r="U301" s="1"/>
  <c r="P301"/>
  <c r="Q301" s="1"/>
  <c r="N301"/>
  <c r="O301" s="1"/>
  <c r="L301"/>
  <c r="M301" s="1"/>
  <c r="V301"/>
  <c r="W301" s="1"/>
  <c r="N218"/>
  <c r="O218" s="1"/>
  <c r="T218"/>
  <c r="U218" s="1"/>
  <c r="L218"/>
  <c r="M218" s="1"/>
  <c r="R218"/>
  <c r="S218" s="1"/>
  <c r="P218"/>
  <c r="Q218" s="1"/>
  <c r="J218"/>
  <c r="K218" s="1"/>
  <c r="V218"/>
  <c r="W218" s="1"/>
  <c r="P222"/>
  <c r="Q222" s="1"/>
  <c r="R222"/>
  <c r="S222" s="1"/>
  <c r="N222"/>
  <c r="O222" s="1"/>
  <c r="V222"/>
  <c r="W222" s="1"/>
  <c r="L222"/>
  <c r="M222" s="1"/>
  <c r="T222"/>
  <c r="U222" s="1"/>
  <c r="J222"/>
  <c r="K222" s="1"/>
  <c r="R241"/>
  <c r="S241" s="1"/>
  <c r="J241"/>
  <c r="K241" s="1"/>
  <c r="T241"/>
  <c r="U241" s="1"/>
  <c r="H241"/>
  <c r="P241"/>
  <c r="Q241" s="1"/>
  <c r="V241"/>
  <c r="W241" s="1"/>
  <c r="N241"/>
  <c r="O241" s="1"/>
  <c r="L241"/>
  <c r="M241" s="1"/>
  <c r="H242"/>
  <c r="T242"/>
  <c r="U242" s="1"/>
  <c r="L242"/>
  <c r="M242" s="1"/>
  <c r="P242"/>
  <c r="Q242" s="1"/>
  <c r="N242"/>
  <c r="O242" s="1"/>
  <c r="V242"/>
  <c r="W242" s="1"/>
  <c r="J242"/>
  <c r="K242" s="1"/>
  <c r="R242"/>
  <c r="S242" s="1"/>
  <c r="R252"/>
  <c r="S252" s="1"/>
  <c r="L252"/>
  <c r="M252" s="1"/>
  <c r="P252"/>
  <c r="Q252" s="1"/>
  <c r="J252"/>
  <c r="K252" s="1"/>
  <c r="N252"/>
  <c r="O252" s="1"/>
  <c r="V252"/>
  <c r="W252" s="1"/>
  <c r="T252"/>
  <c r="U252" s="1"/>
  <c r="T285"/>
  <c r="N285"/>
  <c r="P285"/>
  <c r="V285"/>
  <c r="R285"/>
  <c r="N287"/>
  <c r="O287" s="1"/>
  <c r="L287"/>
  <c r="M287" s="1"/>
  <c r="J287"/>
  <c r="K287" s="1"/>
  <c r="H287"/>
  <c r="I287" s="1"/>
  <c r="R303"/>
  <c r="S303" s="1"/>
  <c r="L303"/>
  <c r="M303" s="1"/>
  <c r="V303"/>
  <c r="W303" s="1"/>
  <c r="H303"/>
  <c r="I303" s="1"/>
  <c r="T303"/>
  <c r="U303" s="1"/>
  <c r="N303"/>
  <c r="O303" s="1"/>
  <c r="P303"/>
  <c r="Q303" s="1"/>
  <c r="J303"/>
  <c r="K303" s="1"/>
  <c r="O387"/>
  <c r="M387"/>
  <c r="R221"/>
  <c r="S221" s="1"/>
  <c r="L221"/>
  <c r="M221" s="1"/>
  <c r="V221"/>
  <c r="W221" s="1"/>
  <c r="T221"/>
  <c r="U221" s="1"/>
  <c r="N221"/>
  <c r="O221" s="1"/>
  <c r="P221"/>
  <c r="Q221" s="1"/>
  <c r="J221"/>
  <c r="K221" s="1"/>
  <c r="R219"/>
  <c r="S219" s="1"/>
  <c r="J219"/>
  <c r="K219" s="1"/>
  <c r="N219"/>
  <c r="O219" s="1"/>
  <c r="V219"/>
  <c r="W219" s="1"/>
  <c r="L219"/>
  <c r="M219" s="1"/>
  <c r="T219"/>
  <c r="U219" s="1"/>
  <c r="P219"/>
  <c r="Q219" s="1"/>
  <c r="V223"/>
  <c r="W223" s="1"/>
  <c r="N223"/>
  <c r="O223" s="1"/>
  <c r="R223"/>
  <c r="S223" s="1"/>
  <c r="J223"/>
  <c r="K223" s="1"/>
  <c r="P223"/>
  <c r="Q223" s="1"/>
  <c r="L223"/>
  <c r="M223" s="1"/>
  <c r="T223"/>
  <c r="U223" s="1"/>
  <c r="H246"/>
  <c r="R246"/>
  <c r="S246" s="1"/>
  <c r="J246"/>
  <c r="K246" s="1"/>
  <c r="P246"/>
  <c r="Q246" s="1"/>
  <c r="N246"/>
  <c r="O246" s="1"/>
  <c r="L246"/>
  <c r="M246" s="1"/>
  <c r="V246"/>
  <c r="W246" s="1"/>
  <c r="T246"/>
  <c r="U246" s="1"/>
  <c r="P249"/>
  <c r="Q249" s="1"/>
  <c r="T249"/>
  <c r="U249" s="1"/>
  <c r="J249"/>
  <c r="K249" s="1"/>
  <c r="R249"/>
  <c r="S249" s="1"/>
  <c r="V249"/>
  <c r="W249" s="1"/>
  <c r="N249"/>
  <c r="O249" s="1"/>
  <c r="L249"/>
  <c r="M249" s="1"/>
  <c r="P286"/>
  <c r="Q286" s="1"/>
  <c r="V286"/>
  <c r="W286" s="1"/>
  <c r="M286"/>
  <c r="T286"/>
  <c r="U286" s="1"/>
  <c r="K286"/>
  <c r="R286"/>
  <c r="S286" s="1"/>
  <c r="N286"/>
  <c r="O286" s="1"/>
  <c r="V289"/>
  <c r="W289" s="1"/>
  <c r="N289"/>
  <c r="O289" s="1"/>
  <c r="L289"/>
  <c r="M289" s="1"/>
  <c r="R289"/>
  <c r="S289" s="1"/>
  <c r="T289"/>
  <c r="U289" s="1"/>
  <c r="J289"/>
  <c r="K289" s="1"/>
  <c r="H289"/>
  <c r="I289" s="1"/>
  <c r="P289"/>
  <c r="Q289" s="1"/>
  <c r="U309"/>
  <c r="Q309"/>
  <c r="K309"/>
  <c r="O309"/>
  <c r="S309"/>
  <c r="M309"/>
  <c r="W309"/>
  <c r="V244"/>
  <c r="W244" s="1"/>
  <c r="N244"/>
  <c r="O244" s="1"/>
  <c r="L244"/>
  <c r="M244" s="1"/>
  <c r="T244"/>
  <c r="U244" s="1"/>
  <c r="J244"/>
  <c r="K244" s="1"/>
  <c r="H244"/>
  <c r="P244"/>
  <c r="Q244" s="1"/>
  <c r="R244"/>
  <c r="S244" s="1"/>
  <c r="T220"/>
  <c r="U220" s="1"/>
  <c r="L220"/>
  <c r="M220" s="1"/>
  <c r="V220"/>
  <c r="W220" s="1"/>
  <c r="J220"/>
  <c r="K220" s="1"/>
  <c r="R220"/>
  <c r="S220" s="1"/>
  <c r="P220"/>
  <c r="Q220" s="1"/>
  <c r="N220"/>
  <c r="O220" s="1"/>
  <c r="V234"/>
  <c r="N234"/>
  <c r="R234"/>
  <c r="S234" s="1"/>
  <c r="H234"/>
  <c r="P234"/>
  <c r="L234"/>
  <c r="J234"/>
  <c r="T234"/>
  <c r="T250"/>
  <c r="U250" s="1"/>
  <c r="J250"/>
  <c r="K250" s="1"/>
  <c r="V250"/>
  <c r="W250" s="1"/>
  <c r="N250"/>
  <c r="O250" s="1"/>
  <c r="L250"/>
  <c r="M250" s="1"/>
  <c r="R250"/>
  <c r="S250" s="1"/>
  <c r="P250"/>
  <c r="Q250" s="1"/>
  <c r="V283"/>
  <c r="W283" s="1"/>
  <c r="N283"/>
  <c r="O283" s="1"/>
  <c r="P283"/>
  <c r="Q283" s="1"/>
  <c r="J283"/>
  <c r="K283" s="1"/>
  <c r="L283"/>
  <c r="M283" s="1"/>
  <c r="T283"/>
  <c r="U283" s="1"/>
  <c r="R283"/>
  <c r="S283" s="1"/>
  <c r="H283"/>
  <c r="I283" s="1"/>
  <c r="V290"/>
  <c r="W290" s="1"/>
  <c r="N290"/>
  <c r="O290" s="1"/>
  <c r="R290"/>
  <c r="S290" s="1"/>
  <c r="H290"/>
  <c r="I290" s="1"/>
  <c r="P290"/>
  <c r="Q290" s="1"/>
  <c r="L290"/>
  <c r="M290" s="1"/>
  <c r="T290"/>
  <c r="U290" s="1"/>
  <c r="J290"/>
  <c r="K290" s="1"/>
  <c r="P403"/>
  <c r="Q403" s="1"/>
  <c r="I403"/>
  <c r="V403"/>
  <c r="W403" s="1"/>
  <c r="N403"/>
  <c r="O403" s="1"/>
  <c r="T403"/>
  <c r="U403" s="1"/>
  <c r="J403"/>
  <c r="K403" s="1"/>
  <c r="R403"/>
  <c r="S403" s="1"/>
  <c r="L403"/>
  <c r="M403" s="1"/>
  <c r="V468" l="1"/>
  <c r="T468"/>
  <c r="R468"/>
  <c r="P468"/>
  <c r="N468"/>
  <c r="L468"/>
  <c r="J468"/>
  <c r="H468"/>
  <c r="I468" s="1"/>
  <c r="W470"/>
  <c r="U470"/>
  <c r="S470"/>
  <c r="Q470"/>
  <c r="O470"/>
  <c r="M470"/>
  <c r="K470"/>
  <c r="I470"/>
  <c r="R623"/>
  <c r="S623" s="1"/>
  <c r="P623"/>
  <c r="Q623" s="1"/>
  <c r="N623"/>
  <c r="O623" s="1"/>
  <c r="L623"/>
  <c r="M623" s="1"/>
  <c r="J623"/>
  <c r="K623" s="1"/>
  <c r="H623"/>
  <c r="I623" s="1"/>
  <c r="R622"/>
  <c r="S622" s="1"/>
  <c r="P622"/>
  <c r="Q622" s="1"/>
  <c r="N622"/>
  <c r="O622" s="1"/>
  <c r="L622"/>
  <c r="M622" s="1"/>
  <c r="J622"/>
  <c r="K622" s="1"/>
  <c r="H622"/>
  <c r="I622" s="1"/>
  <c r="R619"/>
  <c r="P619"/>
  <c r="N619"/>
  <c r="L619"/>
  <c r="J619"/>
  <c r="H619"/>
  <c r="V572"/>
  <c r="W572" s="1"/>
  <c r="T572"/>
  <c r="U572" s="1"/>
  <c r="R572"/>
  <c r="S572" s="1"/>
  <c r="P572"/>
  <c r="Q572" s="1"/>
  <c r="N572"/>
  <c r="O572" s="1"/>
  <c r="L572"/>
  <c r="M572" s="1"/>
  <c r="J572"/>
  <c r="K572" s="1"/>
  <c r="V569"/>
  <c r="W569" s="1"/>
  <c r="T569"/>
  <c r="U569" s="1"/>
  <c r="R569"/>
  <c r="S569" s="1"/>
  <c r="P569"/>
  <c r="Q569" s="1"/>
  <c r="N569"/>
  <c r="O569" s="1"/>
  <c r="L569"/>
  <c r="M569" s="1"/>
  <c r="J569"/>
  <c r="K569" s="1"/>
  <c r="H569"/>
  <c r="I569" s="1"/>
  <c r="V567"/>
  <c r="W567" s="1"/>
  <c r="T567"/>
  <c r="U567" s="1"/>
  <c r="R567"/>
  <c r="S567" s="1"/>
  <c r="P567"/>
  <c r="Q567" s="1"/>
  <c r="N567"/>
  <c r="O567" s="1"/>
  <c r="L567"/>
  <c r="M567" s="1"/>
  <c r="J567"/>
  <c r="K567" s="1"/>
  <c r="H567"/>
  <c r="I567" s="1"/>
  <c r="V565"/>
  <c r="W565" s="1"/>
  <c r="T565"/>
  <c r="U565" s="1"/>
  <c r="R565"/>
  <c r="S565" s="1"/>
  <c r="P565"/>
  <c r="Q565" s="1"/>
  <c r="N565"/>
  <c r="O565" s="1"/>
  <c r="L565"/>
  <c r="M565" s="1"/>
  <c r="J565"/>
  <c r="K565" s="1"/>
  <c r="H565"/>
  <c r="I565" s="1"/>
  <c r="V573"/>
  <c r="W573" s="1"/>
  <c r="T573"/>
  <c r="U573" s="1"/>
  <c r="R573"/>
  <c r="S573" s="1"/>
  <c r="P573"/>
  <c r="Q573" s="1"/>
  <c r="N573"/>
  <c r="O573" s="1"/>
  <c r="L573"/>
  <c r="M573" s="1"/>
  <c r="J573"/>
  <c r="K573" s="1"/>
  <c r="V571"/>
  <c r="W571" s="1"/>
  <c r="T571"/>
  <c r="U571" s="1"/>
  <c r="R571"/>
  <c r="S571" s="1"/>
  <c r="P571"/>
  <c r="Q571" s="1"/>
  <c r="N571"/>
  <c r="O571" s="1"/>
  <c r="L571"/>
  <c r="M571" s="1"/>
  <c r="J571"/>
  <c r="K571" s="1"/>
  <c r="V568"/>
  <c r="W568" s="1"/>
  <c r="T568"/>
  <c r="U568" s="1"/>
  <c r="R568"/>
  <c r="S568" s="1"/>
  <c r="P568"/>
  <c r="Q568" s="1"/>
  <c r="N568"/>
  <c r="O568" s="1"/>
  <c r="L568"/>
  <c r="M568" s="1"/>
  <c r="J568"/>
  <c r="K568" s="1"/>
  <c r="H568"/>
  <c r="I568" s="1"/>
  <c r="V566"/>
  <c r="W566" s="1"/>
  <c r="T566"/>
  <c r="U566" s="1"/>
  <c r="R566"/>
  <c r="S566" s="1"/>
  <c r="P566"/>
  <c r="Q566" s="1"/>
  <c r="N566"/>
  <c r="O566" s="1"/>
  <c r="L566"/>
  <c r="M566" s="1"/>
  <c r="J566"/>
  <c r="K566" s="1"/>
  <c r="H566"/>
  <c r="I566" s="1"/>
  <c r="H564"/>
  <c r="V564"/>
  <c r="W564" s="1"/>
  <c r="T564"/>
  <c r="U564" s="1"/>
  <c r="R564"/>
  <c r="S564" s="1"/>
  <c r="P564"/>
  <c r="Q564" s="1"/>
  <c r="N564"/>
  <c r="O564" s="1"/>
  <c r="L564"/>
  <c r="M564" s="1"/>
  <c r="J564"/>
  <c r="K564" s="1"/>
  <c r="V563"/>
  <c r="W563" s="1"/>
  <c r="T563"/>
  <c r="U563" s="1"/>
  <c r="R563"/>
  <c r="S563" s="1"/>
  <c r="P563"/>
  <c r="Q563" s="1"/>
  <c r="N563"/>
  <c r="O563" s="1"/>
  <c r="L563"/>
  <c r="M563" s="1"/>
  <c r="N562"/>
  <c r="L562"/>
  <c r="V562"/>
  <c r="T562"/>
  <c r="R562"/>
  <c r="P562"/>
  <c r="J562"/>
  <c r="N520"/>
  <c r="O520" s="1"/>
  <c r="P520"/>
  <c r="Q520" s="1"/>
  <c r="R520"/>
  <c r="S520" s="1"/>
  <c r="T520"/>
  <c r="U520" s="1"/>
  <c r="V520"/>
  <c r="W520" s="1"/>
  <c r="N522"/>
  <c r="O522" s="1"/>
  <c r="P522"/>
  <c r="Q522" s="1"/>
  <c r="R522"/>
  <c r="S522" s="1"/>
  <c r="T522"/>
  <c r="U522" s="1"/>
  <c r="V522"/>
  <c r="W522" s="1"/>
  <c r="N535"/>
  <c r="O535" s="1"/>
  <c r="P535"/>
  <c r="Q535" s="1"/>
  <c r="R535"/>
  <c r="S535" s="1"/>
  <c r="T535"/>
  <c r="U535" s="1"/>
  <c r="V535"/>
  <c r="W535" s="1"/>
  <c r="N546"/>
  <c r="O546" s="1"/>
  <c r="P546"/>
  <c r="Q546" s="1"/>
  <c r="R546"/>
  <c r="S546" s="1"/>
  <c r="T546"/>
  <c r="U546" s="1"/>
  <c r="V546"/>
  <c r="W546" s="1"/>
  <c r="G230" l="1"/>
  <c r="L517"/>
  <c r="L520"/>
  <c r="L522"/>
  <c r="L535"/>
  <c r="L546"/>
  <c r="V517"/>
  <c r="W517" s="1"/>
  <c r="T517"/>
  <c r="U517" s="1"/>
  <c r="R517"/>
  <c r="S517" s="1"/>
  <c r="P517"/>
  <c r="Q517" s="1"/>
  <c r="N517"/>
  <c r="O517" s="1"/>
  <c r="H508" l="1"/>
  <c r="I508" s="1"/>
  <c r="H506"/>
  <c r="I506" s="1"/>
  <c r="H504"/>
  <c r="I504" s="1"/>
  <c r="H503"/>
  <c r="I503" s="1"/>
  <c r="H498"/>
  <c r="I498" s="1"/>
  <c r="H493"/>
  <c r="I493" s="1"/>
  <c r="H494"/>
  <c r="I494" s="1"/>
  <c r="H495"/>
  <c r="I495" s="1"/>
  <c r="H492"/>
  <c r="I492" s="1"/>
  <c r="H490"/>
  <c r="I490" s="1"/>
  <c r="J535" l="1"/>
  <c r="J546"/>
  <c r="K546" s="1"/>
  <c r="J517"/>
  <c r="K517" s="1"/>
  <c r="J520"/>
  <c r="K520" s="1"/>
  <c r="J522"/>
  <c r="K522" s="1"/>
  <c r="K535"/>
  <c r="J542"/>
  <c r="K542" s="1"/>
  <c r="H535"/>
  <c r="I535" s="1"/>
  <c r="G535"/>
  <c r="H546"/>
  <c r="I546" s="1"/>
  <c r="T543" l="1"/>
  <c r="U543" s="1"/>
  <c r="R543"/>
  <c r="S543" s="1"/>
  <c r="V543"/>
  <c r="W543" s="1"/>
  <c r="H542"/>
  <c r="I542" s="1"/>
  <c r="J545"/>
  <c r="K545" s="1"/>
  <c r="N545"/>
  <c r="O545" s="1"/>
  <c r="R545"/>
  <c r="S545" s="1"/>
  <c r="V545"/>
  <c r="W545" s="1"/>
  <c r="T545"/>
  <c r="U545" s="1"/>
  <c r="P545"/>
  <c r="Q545" s="1"/>
  <c r="L545"/>
  <c r="H544"/>
  <c r="I544" s="1"/>
  <c r="N544"/>
  <c r="O544" s="1"/>
  <c r="R544"/>
  <c r="S544" s="1"/>
  <c r="V544"/>
  <c r="W544" s="1"/>
  <c r="T544"/>
  <c r="U544" s="1"/>
  <c r="P544"/>
  <c r="Q544" s="1"/>
  <c r="L544"/>
  <c r="M544" s="1"/>
  <c r="H543"/>
  <c r="I543" s="1"/>
  <c r="P543"/>
  <c r="Q543" s="1"/>
  <c r="N543"/>
  <c r="O543" s="1"/>
  <c r="L543"/>
  <c r="M543" s="1"/>
  <c r="P542"/>
  <c r="Q542" s="1"/>
  <c r="T542"/>
  <c r="U542" s="1"/>
  <c r="R542"/>
  <c r="S542" s="1"/>
  <c r="N542"/>
  <c r="O542" s="1"/>
  <c r="V542"/>
  <c r="W542" s="1"/>
  <c r="L542"/>
  <c r="M542" s="1"/>
  <c r="J543"/>
  <c r="K543" s="1"/>
  <c r="J544"/>
  <c r="K544" s="1"/>
  <c r="H545"/>
  <c r="M546"/>
  <c r="M535"/>
  <c r="G545"/>
  <c r="G542"/>
  <c r="G544"/>
  <c r="I545" l="1"/>
  <c r="M545"/>
  <c r="H517"/>
  <c r="G522"/>
  <c r="T516"/>
  <c r="N523" l="1"/>
  <c r="O523" s="1"/>
  <c r="R523"/>
  <c r="S523" s="1"/>
  <c r="V523"/>
  <c r="W523" s="1"/>
  <c r="T523"/>
  <c r="U523" s="1"/>
  <c r="P523"/>
  <c r="Q523" s="1"/>
  <c r="L523"/>
  <c r="N530"/>
  <c r="O530" s="1"/>
  <c r="R530"/>
  <c r="S530" s="1"/>
  <c r="V530"/>
  <c r="W530" s="1"/>
  <c r="P530"/>
  <c r="Q530" s="1"/>
  <c r="T530"/>
  <c r="U530" s="1"/>
  <c r="L530"/>
  <c r="P539"/>
  <c r="Q539" s="1"/>
  <c r="T539"/>
  <c r="U539" s="1"/>
  <c r="R539"/>
  <c r="S539" s="1"/>
  <c r="V539"/>
  <c r="W539" s="1"/>
  <c r="N539"/>
  <c r="O539" s="1"/>
  <c r="L539"/>
  <c r="P524"/>
  <c r="Q524" s="1"/>
  <c r="T524"/>
  <c r="U524" s="1"/>
  <c r="N524"/>
  <c r="O524" s="1"/>
  <c r="R524"/>
  <c r="S524" s="1"/>
  <c r="V524"/>
  <c r="W524" s="1"/>
  <c r="L524"/>
  <c r="P531"/>
  <c r="Q531" s="1"/>
  <c r="T531"/>
  <c r="U531" s="1"/>
  <c r="N531"/>
  <c r="O531" s="1"/>
  <c r="V531"/>
  <c r="W531" s="1"/>
  <c r="R531"/>
  <c r="S531" s="1"/>
  <c r="L531"/>
  <c r="P533"/>
  <c r="Q533" s="1"/>
  <c r="T533"/>
  <c r="U533" s="1"/>
  <c r="V533"/>
  <c r="W533" s="1"/>
  <c r="R533"/>
  <c r="S533" s="1"/>
  <c r="N533"/>
  <c r="O533" s="1"/>
  <c r="L533"/>
  <c r="L525"/>
  <c r="P529"/>
  <c r="Q529" s="1"/>
  <c r="T529"/>
  <c r="U529" s="1"/>
  <c r="R529"/>
  <c r="S529" s="1"/>
  <c r="N529"/>
  <c r="O529" s="1"/>
  <c r="V529"/>
  <c r="W529" s="1"/>
  <c r="L529"/>
  <c r="N532"/>
  <c r="O532" s="1"/>
  <c r="R532"/>
  <c r="S532" s="1"/>
  <c r="V532"/>
  <c r="W532" s="1"/>
  <c r="P532"/>
  <c r="Q532" s="1"/>
  <c r="T532"/>
  <c r="U532" s="1"/>
  <c r="L532"/>
  <c r="N538"/>
  <c r="O538" s="1"/>
  <c r="R538"/>
  <c r="S538" s="1"/>
  <c r="V538"/>
  <c r="W538" s="1"/>
  <c r="P538"/>
  <c r="Q538" s="1"/>
  <c r="T538"/>
  <c r="U538" s="1"/>
  <c r="L538"/>
  <c r="H523"/>
  <c r="J523"/>
  <c r="K523" s="1"/>
  <c r="H530"/>
  <c r="J530"/>
  <c r="K530" s="1"/>
  <c r="I517"/>
  <c r="M517"/>
  <c r="H539"/>
  <c r="J539"/>
  <c r="K539" s="1"/>
  <c r="H524"/>
  <c r="J524"/>
  <c r="K524" s="1"/>
  <c r="H531"/>
  <c r="J531"/>
  <c r="K531" s="1"/>
  <c r="H533"/>
  <c r="J533"/>
  <c r="K533" s="1"/>
  <c r="H525"/>
  <c r="J525"/>
  <c r="K525" s="1"/>
  <c r="R516"/>
  <c r="S516" s="1"/>
  <c r="P516"/>
  <c r="Q516" s="1"/>
  <c r="V516"/>
  <c r="W516" s="1"/>
  <c r="N516"/>
  <c r="O516" s="1"/>
  <c r="U516"/>
  <c r="L516"/>
  <c r="M516" s="1"/>
  <c r="J516"/>
  <c r="K516" s="1"/>
  <c r="H529"/>
  <c r="J529"/>
  <c r="K529" s="1"/>
  <c r="H532"/>
  <c r="J532"/>
  <c r="K532" s="1"/>
  <c r="H538"/>
  <c r="J538"/>
  <c r="K538" s="1"/>
  <c r="G517"/>
  <c r="H522"/>
  <c r="G525"/>
  <c r="I538" l="1"/>
  <c r="M538"/>
  <c r="I531"/>
  <c r="M531"/>
  <c r="I539"/>
  <c r="M539"/>
  <c r="I530"/>
  <c r="M530"/>
  <c r="I523"/>
  <c r="M523"/>
  <c r="I529"/>
  <c r="M529"/>
  <c r="I532"/>
  <c r="M532"/>
  <c r="I522"/>
  <c r="M522"/>
  <c r="I525"/>
  <c r="M525"/>
  <c r="I533"/>
  <c r="M533"/>
  <c r="I524"/>
  <c r="M524"/>
  <c r="G518"/>
  <c r="G524"/>
  <c r="G523"/>
  <c r="H520"/>
  <c r="H516"/>
  <c r="I516" s="1"/>
  <c r="G546"/>
  <c r="G543"/>
  <c r="G539"/>
  <c r="G538"/>
  <c r="G533"/>
  <c r="G532"/>
  <c r="G531"/>
  <c r="G530"/>
  <c r="G529"/>
  <c r="G520"/>
  <c r="G516"/>
  <c r="I520" l="1"/>
  <c r="M520"/>
  <c r="G281"/>
  <c r="I360"/>
  <c r="V103" l="1"/>
  <c r="T103"/>
  <c r="R103"/>
  <c r="N103"/>
  <c r="V99"/>
  <c r="N99"/>
  <c r="T99"/>
  <c r="R99"/>
  <c r="N101"/>
  <c r="R101"/>
  <c r="T101"/>
  <c r="V101"/>
  <c r="R102"/>
  <c r="T102"/>
  <c r="N102"/>
  <c r="V102"/>
  <c r="G384"/>
  <c r="G360"/>
  <c r="W285" l="1"/>
  <c r="U285"/>
  <c r="S285"/>
  <c r="Q285"/>
  <c r="O285"/>
  <c r="M285"/>
  <c r="K285"/>
  <c r="G280"/>
  <c r="G307"/>
  <c r="G295"/>
  <c r="G293"/>
  <c r="G294"/>
  <c r="H16"/>
  <c r="I16" s="1"/>
  <c r="H17"/>
  <c r="I17" s="1"/>
  <c r="G17"/>
  <c r="G16"/>
  <c r="N17"/>
  <c r="G47"/>
  <c r="G46"/>
  <c r="W45"/>
  <c r="U45"/>
  <c r="S45"/>
  <c r="Q45"/>
  <c r="O45"/>
  <c r="G45"/>
  <c r="G123"/>
  <c r="K160" l="1"/>
  <c r="G160"/>
  <c r="W160"/>
  <c r="U160"/>
  <c r="G222" l="1"/>
  <c r="G388" l="1"/>
  <c r="G623" l="1"/>
  <c r="M154" l="1"/>
  <c r="S619" l="1"/>
  <c r="I619"/>
  <c r="Q619"/>
  <c r="O619"/>
  <c r="M619"/>
  <c r="K619"/>
  <c r="G619"/>
  <c r="S621"/>
  <c r="Q621"/>
  <c r="O621"/>
  <c r="M621"/>
  <c r="K621"/>
  <c r="I621"/>
  <c r="G621"/>
  <c r="G416" l="1"/>
  <c r="G415"/>
  <c r="O418" l="1"/>
  <c r="M418"/>
  <c r="Q59" l="1"/>
  <c r="M59"/>
  <c r="K59"/>
  <c r="W59"/>
  <c r="U59"/>
  <c r="S59"/>
  <c r="O59"/>
  <c r="G59"/>
  <c r="W137"/>
  <c r="U137"/>
  <c r="W141"/>
  <c r="U141"/>
  <c r="G340" l="1"/>
  <c r="R224" l="1"/>
  <c r="S224" s="1"/>
  <c r="P224"/>
  <c r="Q224" s="1"/>
  <c r="N224"/>
  <c r="O224" s="1"/>
  <c r="L224"/>
  <c r="M224" s="1"/>
  <c r="J224"/>
  <c r="K224" s="1"/>
  <c r="H224"/>
  <c r="I224" s="1"/>
  <c r="G224"/>
  <c r="G353" l="1"/>
  <c r="G292"/>
  <c r="G226" l="1"/>
  <c r="G227"/>
  <c r="G568" l="1"/>
  <c r="S137" l="1"/>
  <c r="Q137"/>
  <c r="O137"/>
  <c r="M137"/>
  <c r="K137"/>
  <c r="Q141"/>
  <c r="O141"/>
  <c r="M141"/>
  <c r="K141"/>
  <c r="S141"/>
  <c r="G228" l="1"/>
  <c r="I644" l="1"/>
  <c r="K644"/>
  <c r="W644"/>
  <c r="U644"/>
  <c r="S644"/>
  <c r="Q644"/>
  <c r="O644"/>
  <c r="M644"/>
  <c r="W643"/>
  <c r="U643"/>
  <c r="S643"/>
  <c r="Q643"/>
  <c r="O643"/>
  <c r="M643"/>
  <c r="S649"/>
  <c r="U649"/>
  <c r="W649"/>
  <c r="S650"/>
  <c r="U650"/>
  <c r="W650"/>
  <c r="S651"/>
  <c r="U651"/>
  <c r="W651"/>
  <c r="Q651"/>
  <c r="O651"/>
  <c r="M651"/>
  <c r="K651"/>
  <c r="I102" l="1"/>
  <c r="I101"/>
  <c r="I99"/>
  <c r="M121" l="1"/>
  <c r="M119"/>
  <c r="M118"/>
  <c r="M116"/>
  <c r="M115"/>
  <c r="O110"/>
  <c r="O109"/>
  <c r="M310"/>
  <c r="I257" l="1"/>
  <c r="I259"/>
  <c r="I260"/>
  <c r="Q74" l="1"/>
  <c r="Q73"/>
  <c r="Q71"/>
  <c r="Q69"/>
  <c r="Q70"/>
  <c r="S620" l="1"/>
  <c r="Q620"/>
  <c r="O620"/>
  <c r="M620"/>
  <c r="K620"/>
  <c r="I620"/>
  <c r="U616"/>
  <c r="U614"/>
  <c r="S614"/>
  <c r="Q614"/>
  <c r="O614"/>
  <c r="M614"/>
  <c r="K614"/>
  <c r="W468"/>
  <c r="U468"/>
  <c r="S468"/>
  <c r="Q468"/>
  <c r="O468"/>
  <c r="M468"/>
  <c r="K468"/>
  <c r="Q422"/>
  <c r="Q413"/>
  <c r="Q412"/>
  <c r="I404"/>
  <c r="Q404"/>
  <c r="Q347" l="1"/>
  <c r="O328"/>
  <c r="Q310"/>
  <c r="W308"/>
  <c r="U308"/>
  <c r="S308"/>
  <c r="Q308"/>
  <c r="O308"/>
  <c r="M308"/>
  <c r="K308"/>
  <c r="I246" l="1"/>
  <c r="I244"/>
  <c r="I242"/>
  <c r="I241"/>
  <c r="I240"/>
  <c r="I234"/>
  <c r="U254"/>
  <c r="S254"/>
  <c r="Q254"/>
  <c r="O254"/>
  <c r="M254"/>
  <c r="K254"/>
  <c r="W234"/>
  <c r="U234"/>
  <c r="Q234"/>
  <c r="O234"/>
  <c r="M234"/>
  <c r="K234"/>
  <c r="G277"/>
  <c r="G276"/>
  <c r="O216" l="1"/>
  <c r="M216"/>
  <c r="K216"/>
  <c r="N206"/>
  <c r="O206" s="1"/>
  <c r="L206"/>
  <c r="M206" s="1"/>
  <c r="J206"/>
  <c r="K206" s="1"/>
  <c r="Q179"/>
  <c r="M164"/>
  <c r="K164"/>
  <c r="Q154"/>
  <c r="V140" l="1"/>
  <c r="W140" s="1"/>
  <c r="T140"/>
  <c r="U140" s="1"/>
  <c r="R140"/>
  <c r="S140" s="1"/>
  <c r="P140"/>
  <c r="Q140" s="1"/>
  <c r="N140"/>
  <c r="O140" s="1"/>
  <c r="L140"/>
  <c r="M140" s="1"/>
  <c r="J140"/>
  <c r="K140" s="1"/>
  <c r="T136"/>
  <c r="R136"/>
  <c r="P136"/>
  <c r="Q136" s="1"/>
  <c r="J136"/>
  <c r="K136" s="1"/>
  <c r="L136"/>
  <c r="V136"/>
  <c r="N136"/>
  <c r="Q121"/>
  <c r="Q119"/>
  <c r="Q118"/>
  <c r="Q116"/>
  <c r="Q115"/>
  <c r="Q112"/>
  <c r="Q111"/>
  <c r="Q110"/>
  <c r="Q109"/>
  <c r="Q108"/>
  <c r="Q107"/>
  <c r="W105"/>
  <c r="U105"/>
  <c r="S105"/>
  <c r="P105"/>
  <c r="Q105" s="1"/>
  <c r="O105"/>
  <c r="L105"/>
  <c r="M105" s="1"/>
  <c r="J105"/>
  <c r="K105" s="1"/>
  <c r="W103"/>
  <c r="U103"/>
  <c r="S103"/>
  <c r="P103"/>
  <c r="Q103" s="1"/>
  <c r="O103"/>
  <c r="L103"/>
  <c r="M103" s="1"/>
  <c r="J103"/>
  <c r="K103" s="1"/>
  <c r="W102"/>
  <c r="U102"/>
  <c r="S102"/>
  <c r="P102"/>
  <c r="Q102" s="1"/>
  <c r="O102"/>
  <c r="L102"/>
  <c r="M102" s="1"/>
  <c r="J102"/>
  <c r="K102" s="1"/>
  <c r="W101"/>
  <c r="U101"/>
  <c r="S101"/>
  <c r="P101"/>
  <c r="Q101" s="1"/>
  <c r="O101"/>
  <c r="L101"/>
  <c r="M101" s="1"/>
  <c r="J101"/>
  <c r="K101" s="1"/>
  <c r="W99"/>
  <c r="U99"/>
  <c r="S99"/>
  <c r="P99"/>
  <c r="Q99" s="1"/>
  <c r="O99"/>
  <c r="L99"/>
  <c r="M99" s="1"/>
  <c r="J99"/>
  <c r="K99" s="1"/>
  <c r="W106"/>
  <c r="U106"/>
  <c r="S106"/>
  <c r="Q106"/>
  <c r="O106"/>
  <c r="M106"/>
  <c r="K106"/>
  <c r="K55"/>
  <c r="Q55"/>
  <c r="Q122" l="1"/>
  <c r="Q48" l="1"/>
  <c r="Q42"/>
  <c r="Q40"/>
  <c r="Q39"/>
  <c r="Q36"/>
  <c r="Q31"/>
  <c r="Q28" l="1"/>
  <c r="Q27"/>
  <c r="G506" l="1"/>
  <c r="G223"/>
  <c r="G234" l="1"/>
  <c r="G208"/>
  <c r="G143"/>
  <c r="G438" l="1"/>
  <c r="G382" l="1"/>
  <c r="G411"/>
  <c r="G616"/>
  <c r="G289"/>
  <c r="G358"/>
  <c r="G357"/>
  <c r="Q139"/>
  <c r="Q138"/>
  <c r="W40"/>
  <c r="S154"/>
  <c r="O154"/>
  <c r="W404"/>
  <c r="O346"/>
  <c r="M346"/>
  <c r="K346"/>
  <c r="O347"/>
  <c r="W310"/>
  <c r="U310"/>
  <c r="S310"/>
  <c r="O310"/>
  <c r="W112" l="1"/>
  <c r="U112"/>
  <c r="S112"/>
  <c r="O112"/>
  <c r="G126" l="1"/>
  <c r="G250" l="1"/>
  <c r="G188"/>
  <c r="G283" l="1"/>
  <c r="G381"/>
  <c r="G287" l="1"/>
  <c r="O71" l="1"/>
  <c r="G10"/>
  <c r="G203"/>
  <c r="G290" l="1"/>
  <c r="W69" l="1"/>
  <c r="U69"/>
  <c r="S69"/>
  <c r="O69"/>
  <c r="G284"/>
  <c r="U28" l="1"/>
  <c r="S28"/>
  <c r="O28"/>
  <c r="M28"/>
  <c r="G373" l="1"/>
  <c r="G163" l="1"/>
  <c r="G344" l="1"/>
  <c r="G624"/>
  <c r="G626"/>
  <c r="G420" l="1"/>
  <c r="G490" l="1"/>
  <c r="G41" l="1"/>
  <c r="U40"/>
  <c r="S40"/>
  <c r="O40"/>
  <c r="G40"/>
  <c r="G286" l="1"/>
  <c r="I564" l="1"/>
  <c r="G241" l="1"/>
  <c r="G244" l="1"/>
  <c r="G242"/>
  <c r="G164" l="1"/>
  <c r="G573" l="1"/>
  <c r="G572"/>
  <c r="G571"/>
  <c r="O10" l="1"/>
  <c r="P10"/>
  <c r="V12"/>
  <c r="T12"/>
  <c r="V98"/>
  <c r="T98"/>
  <c r="R98"/>
  <c r="N98"/>
  <c r="L98"/>
  <c r="K98"/>
  <c r="G394" l="1"/>
  <c r="G246" l="1"/>
  <c r="G297" l="1"/>
  <c r="G498" l="1"/>
  <c r="G285"/>
  <c r="G204" l="1"/>
  <c r="G456" l="1"/>
  <c r="G402"/>
  <c r="I675" l="1"/>
  <c r="M122"/>
  <c r="W121"/>
  <c r="W119"/>
  <c r="W118"/>
  <c r="W116"/>
  <c r="W115"/>
  <c r="U121"/>
  <c r="U119"/>
  <c r="U118"/>
  <c r="U116"/>
  <c r="U115"/>
  <c r="S121"/>
  <c r="S119"/>
  <c r="S118"/>
  <c r="S116"/>
  <c r="S115"/>
  <c r="O116"/>
  <c r="O118"/>
  <c r="O119"/>
  <c r="O121"/>
  <c r="O115"/>
  <c r="W107"/>
  <c r="W108"/>
  <c r="W109"/>
  <c r="W110"/>
  <c r="U107"/>
  <c r="U108"/>
  <c r="U109"/>
  <c r="U110"/>
  <c r="S107"/>
  <c r="S108"/>
  <c r="S109"/>
  <c r="S110"/>
  <c r="G419" l="1"/>
  <c r="W122" l="1"/>
  <c r="G508" l="1"/>
  <c r="G507"/>
  <c r="G493"/>
  <c r="G494"/>
  <c r="G495"/>
  <c r="G492"/>
  <c r="G491"/>
  <c r="G503"/>
  <c r="G504"/>
  <c r="G502"/>
  <c r="G449" l="1"/>
  <c r="G387" l="1"/>
  <c r="G288" l="1"/>
  <c r="G304"/>
  <c r="G291"/>
  <c r="G303" l="1"/>
  <c r="G302"/>
  <c r="G221" l="1"/>
  <c r="G11"/>
  <c r="G210" l="1"/>
  <c r="G614" l="1"/>
  <c r="U404" l="1"/>
  <c r="S404"/>
  <c r="O404"/>
  <c r="M404"/>
  <c r="K404"/>
  <c r="G211"/>
  <c r="O36"/>
  <c r="G187" l="1"/>
  <c r="G270" l="1"/>
  <c r="G272"/>
  <c r="G271"/>
  <c r="G385" l="1"/>
  <c r="G386"/>
  <c r="S42" l="1"/>
  <c r="G112" l="1"/>
  <c r="G435" l="1"/>
  <c r="G622" l="1"/>
  <c r="G620"/>
  <c r="G269"/>
  <c r="G212"/>
  <c r="G209"/>
  <c r="G207"/>
  <c r="G201"/>
  <c r="G202"/>
  <c r="G200"/>
  <c r="G106"/>
  <c r="G64"/>
  <c r="G63"/>
  <c r="G24"/>
  <c r="G22"/>
  <c r="G23"/>
  <c r="G379" l="1"/>
  <c r="U412" l="1"/>
  <c r="S412"/>
  <c r="M412"/>
  <c r="O412"/>
  <c r="G412"/>
  <c r="J454" l="1"/>
  <c r="J452"/>
  <c r="J451"/>
  <c r="J450"/>
  <c r="J453"/>
  <c r="J449"/>
  <c r="W254" l="1"/>
  <c r="W111"/>
  <c r="U111"/>
  <c r="S111"/>
  <c r="O111"/>
  <c r="G21"/>
  <c r="K20"/>
  <c r="G413"/>
  <c r="M413"/>
  <c r="O413"/>
  <c r="S413"/>
  <c r="U413"/>
  <c r="W348"/>
  <c r="G154"/>
  <c r="G259" l="1"/>
  <c r="G262" l="1"/>
  <c r="G26" l="1"/>
  <c r="G497" l="1"/>
  <c r="G56" l="1"/>
  <c r="G58"/>
  <c r="O31"/>
  <c r="G60"/>
  <c r="U31" l="1"/>
  <c r="G196"/>
  <c r="W562" l="1"/>
  <c r="U562"/>
  <c r="S562"/>
  <c r="Q562"/>
  <c r="O562"/>
  <c r="M562"/>
  <c r="K562"/>
  <c r="G30"/>
  <c r="G308"/>
  <c r="O122"/>
  <c r="S122"/>
  <c r="U122"/>
  <c r="G301" l="1"/>
  <c r="G569" l="1"/>
  <c r="G14" l="1"/>
  <c r="G470" l="1"/>
  <c r="G145" l="1"/>
  <c r="G142"/>
  <c r="G114"/>
  <c r="G113"/>
  <c r="G13"/>
  <c r="G20"/>
  <c r="J26"/>
  <c r="M27"/>
  <c r="O27"/>
  <c r="S27"/>
  <c r="U27"/>
  <c r="G28"/>
  <c r="G31"/>
  <c r="S31"/>
  <c r="W31"/>
  <c r="G32"/>
  <c r="G33"/>
  <c r="G34"/>
  <c r="G35"/>
  <c r="G36"/>
  <c r="S36"/>
  <c r="U36"/>
  <c r="W36"/>
  <c r="G37"/>
  <c r="G38"/>
  <c r="G39"/>
  <c r="O39"/>
  <c r="S39"/>
  <c r="U39"/>
  <c r="W39"/>
  <c r="G42"/>
  <c r="O42"/>
  <c r="U42"/>
  <c r="W42"/>
  <c r="G43"/>
  <c r="G44"/>
  <c r="G48"/>
  <c r="O48"/>
  <c r="S48"/>
  <c r="U48"/>
  <c r="W48"/>
  <c r="G49"/>
  <c r="G50"/>
  <c r="G55"/>
  <c r="M55"/>
  <c r="O55"/>
  <c r="S55"/>
  <c r="U55"/>
  <c r="W55"/>
  <c r="G57"/>
  <c r="G61"/>
  <c r="G65"/>
  <c r="G68"/>
  <c r="O70"/>
  <c r="S70"/>
  <c r="U70"/>
  <c r="W70"/>
  <c r="S71"/>
  <c r="U71"/>
  <c r="W71"/>
  <c r="M73"/>
  <c r="O73"/>
  <c r="S73"/>
  <c r="U73"/>
  <c r="M74"/>
  <c r="O74"/>
  <c r="S74"/>
  <c r="U74"/>
  <c r="G95"/>
  <c r="K95"/>
  <c r="M95"/>
  <c r="N95"/>
  <c r="G96"/>
  <c r="G97"/>
  <c r="G98"/>
  <c r="G99"/>
  <c r="G101"/>
  <c r="G102"/>
  <c r="G103"/>
  <c r="G105"/>
  <c r="G111"/>
  <c r="G122"/>
  <c r="G124"/>
  <c r="G134"/>
  <c r="Q134"/>
  <c r="G135"/>
  <c r="Q135"/>
  <c r="M136"/>
  <c r="O136"/>
  <c r="S136"/>
  <c r="U136"/>
  <c r="W136"/>
  <c r="G138"/>
  <c r="G139"/>
  <c r="G148"/>
  <c r="G161"/>
  <c r="G162"/>
  <c r="G179"/>
  <c r="M179"/>
  <c r="O179"/>
  <c r="S179"/>
  <c r="U179"/>
  <c r="W179"/>
  <c r="G186"/>
  <c r="G189"/>
  <c r="G206"/>
  <c r="G216"/>
  <c r="G217"/>
  <c r="M217"/>
  <c r="O217"/>
  <c r="P217"/>
  <c r="G218"/>
  <c r="G219"/>
  <c r="G220"/>
  <c r="G225"/>
  <c r="G240"/>
  <c r="G249"/>
  <c r="G251"/>
  <c r="G252"/>
  <c r="G254"/>
  <c r="G256"/>
  <c r="G257"/>
  <c r="G258"/>
  <c r="G260"/>
  <c r="G261"/>
  <c r="G273"/>
  <c r="G274"/>
  <c r="G310"/>
  <c r="G311"/>
  <c r="G312"/>
  <c r="G313"/>
  <c r="G314"/>
  <c r="G320"/>
  <c r="G321"/>
  <c r="G322"/>
  <c r="G324"/>
  <c r="G325"/>
  <c r="G326"/>
  <c r="G327"/>
  <c r="G328"/>
  <c r="G329"/>
  <c r="G330"/>
  <c r="G331"/>
  <c r="G332"/>
  <c r="G333"/>
  <c r="G334"/>
  <c r="G335"/>
  <c r="G336"/>
  <c r="G337"/>
  <c r="G338"/>
  <c r="G341"/>
  <c r="G342"/>
  <c r="G343"/>
  <c r="G345"/>
  <c r="G346"/>
  <c r="G347"/>
  <c r="G348"/>
  <c r="G349"/>
  <c r="G350"/>
  <c r="G354"/>
  <c r="G355"/>
  <c r="G356"/>
  <c r="G359"/>
  <c r="G367"/>
  <c r="G368"/>
  <c r="G369"/>
  <c r="G371"/>
  <c r="G374"/>
  <c r="G375"/>
  <c r="G377"/>
  <c r="G378"/>
  <c r="G390"/>
  <c r="G393"/>
  <c r="G401"/>
  <c r="G403"/>
  <c r="G404"/>
  <c r="G414"/>
  <c r="G417"/>
  <c r="G421"/>
  <c r="G422"/>
  <c r="O422"/>
  <c r="S422"/>
  <c r="U422"/>
  <c r="W422"/>
  <c r="G423"/>
  <c r="G424"/>
  <c r="G425"/>
  <c r="G426"/>
  <c r="G433"/>
  <c r="G434"/>
  <c r="G436"/>
  <c r="G450"/>
  <c r="G451"/>
  <c r="G452"/>
  <c r="G453"/>
  <c r="G454"/>
  <c r="G457"/>
  <c r="G458"/>
  <c r="G459"/>
  <c r="G460"/>
  <c r="G461"/>
  <c r="G462"/>
  <c r="G464"/>
  <c r="G465"/>
  <c r="G468"/>
  <c r="G566"/>
  <c r="G567"/>
  <c r="G501"/>
  <c r="G617"/>
  <c r="K617"/>
  <c r="M617"/>
  <c r="O617"/>
  <c r="Q617"/>
  <c r="S617"/>
  <c r="M641"/>
  <c r="O641"/>
  <c r="Q641"/>
  <c r="S641"/>
  <c r="U641"/>
  <c r="W641"/>
  <c r="K642"/>
  <c r="M642"/>
  <c r="O642"/>
  <c r="Q642"/>
  <c r="S642"/>
  <c r="U642"/>
  <c r="W642"/>
  <c r="K649"/>
  <c r="M649"/>
  <c r="O649"/>
  <c r="Q649"/>
  <c r="K650"/>
  <c r="M650"/>
  <c r="O650"/>
  <c r="Q650"/>
  <c r="M653"/>
  <c r="Q653"/>
  <c r="I674"/>
</calcChain>
</file>

<file path=xl/sharedStrings.xml><?xml version="1.0" encoding="utf-8"?>
<sst xmlns="http://schemas.openxmlformats.org/spreadsheetml/2006/main" count="1072" uniqueCount="887">
  <si>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</si>
  <si>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</si>
  <si>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</si>
  <si>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</si>
  <si>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</si>
  <si>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</si>
  <si>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</si>
  <si>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</si>
  <si>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</si>
  <si>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</si>
  <si>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</si>
  <si>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</si>
  <si>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</si>
  <si>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</si>
  <si>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</si>
  <si>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</si>
  <si>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</si>
  <si>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</si>
  <si>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</si>
  <si>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</si>
  <si>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</si>
  <si>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</si>
  <si>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</si>
  <si>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</si>
  <si>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</si>
  <si>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</si>
  <si>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</si>
  <si>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</si>
  <si>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</si>
  <si>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</si>
  <si>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</si>
  <si>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</si>
  <si>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</si>
  <si>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</si>
  <si>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</si>
  <si>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</si>
  <si>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</si>
  <si>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</si>
  <si>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</si>
  <si>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</si>
  <si>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</si>
  <si>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</si>
  <si>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</si>
  <si>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</si>
  <si>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</si>
  <si>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</si>
  <si>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</si>
  <si>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</si>
  <si>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</si>
  <si>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</si>
  <si>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</si>
  <si>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</si>
  <si>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</si>
  <si>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</si>
  <si>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</si>
  <si>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</si>
  <si>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</si>
  <si>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</si>
  <si>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</si>
  <si>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</si>
  <si>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</si>
  <si>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</si>
  <si>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</si>
  <si>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</si>
  <si>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</si>
  <si>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</si>
  <si>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</si>
  <si>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</si>
  <si>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</si>
  <si>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</si>
  <si>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</si>
  <si>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</si>
  <si>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</si>
  <si>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</si>
  <si>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</si>
  <si>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</si>
  <si>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</si>
  <si>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</si>
  <si>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</si>
  <si>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</si>
  <si>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</si>
  <si>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</si>
  <si>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</si>
  <si>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</si>
  <si>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</si>
  <si>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</si>
  <si>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</si>
  <si>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</si>
  <si>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</si>
  <si>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</si>
  <si>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</si>
  <si>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</si>
  <si>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</si>
  <si>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</si>
  <si>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</si>
  <si>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</si>
  <si>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</si>
  <si>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</si>
  <si>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</si>
  <si>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</si>
  <si>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</si>
  <si>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</si>
  <si>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</si>
  <si>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</si>
  <si>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</si>
  <si>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</si>
  <si>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</si>
  <si>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</si>
  <si>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</si>
  <si>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</si>
  <si>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</si>
  <si>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</si>
  <si>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</si>
  <si>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</si>
  <si>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</si>
  <si>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</si>
  <si>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</si>
  <si>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</si>
  <si>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</si>
  <si>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</si>
  <si>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</si>
  <si>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</si>
  <si>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</si>
  <si>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</si>
  <si>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</si>
  <si>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</si>
  <si>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</si>
  <si>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</si>
  <si>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</si>
  <si>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</si>
  <si>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</si>
  <si>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</si>
  <si>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</si>
  <si>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</si>
  <si>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</si>
  <si>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</si>
  <si>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</si>
  <si>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</si>
  <si>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</si>
  <si>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</si>
  <si>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</si>
  <si>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</si>
  <si>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</si>
  <si>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</si>
  <si>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</si>
  <si>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</si>
  <si>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</si>
  <si>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</si>
  <si>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</si>
  <si>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</si>
  <si>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</si>
  <si>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</si>
  <si>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</si>
  <si>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</si>
  <si>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</si>
  <si>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</si>
  <si>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</si>
  <si>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</si>
  <si>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</si>
  <si>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</si>
  <si>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</si>
  <si>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</si>
  <si>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</si>
  <si>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</si>
  <si>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</si>
  <si>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</si>
  <si>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</si>
  <si>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</si>
  <si>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</si>
  <si>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</si>
  <si>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</si>
  <si>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</si>
  <si>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</si>
  <si>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</si>
  <si>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</si>
  <si>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</si>
  <si>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</si>
  <si>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</si>
  <si>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</si>
  <si>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</si>
  <si>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</si>
  <si>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</si>
  <si>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</si>
  <si>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</si>
  <si>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</si>
  <si>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</si>
  <si>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</si>
  <si>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</si>
  <si>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</si>
  <si>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</si>
  <si>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</si>
  <si>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</si>
  <si>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</si>
  <si>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</si>
  <si>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</si>
  <si>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</si>
  <si>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</si>
  <si>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</si>
  <si>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</si>
  <si>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</si>
  <si>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</si>
  <si>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</si>
  <si>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</si>
  <si>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</si>
  <si>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</si>
  <si>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</si>
  <si>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</si>
  <si>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</si>
  <si>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</si>
  <si>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</si>
  <si>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</si>
  <si>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</si>
  <si>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</si>
  <si>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</si>
  <si>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</si>
  <si>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</si>
  <si>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</si>
  <si>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</si>
  <si>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</si>
  <si>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</si>
  <si>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</si>
  <si>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</si>
  <si>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</si>
  <si>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</si>
  <si>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</si>
  <si>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</si>
  <si>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</si>
  <si>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</si>
  <si>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</si>
  <si>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01004 - Tabla pino 3 espacios p/picada 18,5 x 30 c/agujero</t>
  </si>
  <si>
    <t>01005 - Tabla pino para asado  18,5 x 30 con 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</si>
  <si>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</si>
  <si>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</si>
  <si>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</si>
  <si>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</si>
  <si>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</si>
  <si>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</si>
  <si>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</si>
  <si>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 xml:space="preserve">02164 - Bolígrafo Metálico grip de goma </t>
  </si>
  <si>
    <t>02174 - Bolígrafo cuerpo silver retráctil</t>
  </si>
  <si>
    <t>02174-1- Bolígrafo cuerpo de color retráctil</t>
  </si>
  <si>
    <t xml:space="preserve">02180 - Bolígrafo supertanque grip de goma 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</si>
  <si>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</si>
  <si>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</si>
  <si>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</si>
  <si>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</si>
  <si>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</si>
  <si>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</si>
  <si>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</si>
  <si>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</si>
  <si>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</si>
  <si>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</si>
  <si>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</si>
  <si>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</si>
  <si>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</si>
  <si>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</si>
  <si>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</si>
  <si>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</si>
  <si>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</si>
  <si>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</si>
  <si>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</si>
  <si>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</si>
  <si>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</si>
  <si>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</si>
  <si>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</si>
  <si>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</si>
  <si>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</si>
  <si>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</si>
  <si>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</si>
  <si>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</si>
  <si>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</si>
  <si>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</si>
  <si>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02284 - Bolígrafo cuerpo fluo retráctil</t>
  </si>
  <si>
    <t>02310 - Bolígrafo metálico negro mate, interior de color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</si>
  <si>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</si>
  <si>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</si>
  <si>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</si>
  <si>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</si>
  <si>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</si>
  <si>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</si>
  <si>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</si>
  <si>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</si>
  <si>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</si>
  <si>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</si>
  <si>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</si>
  <si>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</si>
  <si>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</si>
  <si>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</si>
  <si>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</si>
  <si>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</si>
  <si>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</si>
  <si>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</si>
  <si>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</si>
  <si>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</si>
  <si>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</si>
  <si>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</si>
  <si>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</si>
  <si>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</si>
  <si>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</si>
  <si>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</si>
  <si>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</si>
  <si>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</si>
  <si>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</si>
  <si>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</si>
  <si>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</si>
  <si>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</si>
  <si>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</si>
  <si>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</si>
  <si>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</si>
  <si>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</si>
  <si>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</si>
  <si>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</si>
  <si>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</si>
  <si>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</si>
  <si>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</si>
  <si>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</si>
  <si>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</si>
  <si>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</si>
  <si>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</si>
  <si>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</si>
  <si>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</si>
  <si>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</si>
  <si>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</si>
  <si>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</si>
  <si>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</si>
  <si>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</si>
  <si>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</si>
  <si>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</si>
  <si>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</si>
  <si>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</si>
  <si>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</si>
  <si>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</si>
  <si>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</si>
  <si>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</si>
  <si>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</si>
  <si>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</si>
  <si>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</si>
  <si>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</si>
  <si>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</si>
  <si>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</si>
  <si>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</si>
  <si>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</si>
  <si>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</si>
  <si>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</si>
  <si>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</si>
  <si>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</si>
  <si>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</si>
  <si>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</si>
  <si>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</si>
  <si>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</si>
  <si>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</si>
  <si>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</si>
  <si>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</si>
  <si>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</si>
  <si>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</si>
  <si>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</si>
  <si>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</si>
  <si>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</si>
  <si>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</si>
  <si>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</si>
  <si>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</si>
  <si>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</si>
  <si>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</si>
  <si>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</si>
  <si>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</si>
  <si>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</si>
  <si>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</si>
  <si>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</si>
  <si>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</si>
  <si>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</si>
  <si>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</si>
  <si>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</si>
  <si>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</si>
  <si>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</si>
  <si>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</si>
  <si>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</si>
  <si>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</si>
  <si>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</si>
  <si>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</si>
  <si>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</si>
  <si>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</si>
  <si>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</si>
  <si>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</si>
  <si>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</si>
  <si>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</si>
  <si>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</si>
  <si>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</si>
  <si>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</si>
  <si>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</si>
  <si>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</si>
  <si>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</si>
  <si>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</si>
  <si>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</si>
  <si>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</si>
  <si>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</si>
  <si>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</si>
  <si>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</si>
  <si>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</si>
  <si>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</si>
  <si>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</si>
  <si>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</si>
  <si>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</si>
  <si>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</si>
  <si>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</si>
  <si>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</si>
  <si>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</si>
  <si>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</si>
  <si>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</si>
  <si>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</si>
  <si>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</si>
  <si>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</si>
  <si>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</si>
  <si>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</si>
  <si>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</si>
  <si>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</si>
  <si>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</si>
  <si>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</si>
  <si>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</si>
  <si>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</si>
  <si>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</si>
  <si>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</si>
  <si>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</si>
  <si>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</si>
  <si>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</si>
  <si>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</si>
  <si>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</si>
  <si>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</si>
  <si>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</si>
  <si>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</si>
  <si>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</si>
  <si>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</si>
  <si>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</si>
  <si>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</si>
  <si>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</si>
  <si>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</si>
  <si>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</si>
  <si>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</si>
  <si>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</si>
  <si>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</si>
  <si>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</si>
  <si>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</si>
  <si>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</si>
  <si>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00085 - Portapatente blanco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</si>
  <si>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</si>
  <si>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</si>
  <si>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</si>
  <si>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</si>
  <si>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</si>
  <si>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</si>
  <si>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</si>
  <si>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</si>
  <si>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</si>
  <si>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</si>
  <si>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</si>
  <si>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</si>
  <si>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</si>
  <si>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</si>
  <si>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</si>
  <si>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</si>
  <si>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</si>
  <si>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</si>
  <si>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</si>
  <si>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</si>
  <si>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</si>
  <si>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</si>
  <si>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</si>
  <si>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</si>
  <si>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</si>
  <si>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</si>
  <si>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</si>
  <si>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</si>
  <si>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</si>
  <si>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</si>
  <si>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</si>
  <si>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</si>
  <si>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02252 - Bolígrafo Ecológico cartón reciclado TRAZO NEGRO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</si>
  <si>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</si>
  <si>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</si>
  <si>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</si>
  <si>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</si>
  <si>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</si>
  <si>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</si>
  <si>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</si>
  <si>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</si>
  <si>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</si>
  <si>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IR A JARROS TÉRMICOS Y BOTELLAS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</si>
  <si>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</si>
  <si>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</si>
  <si>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</si>
  <si>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</si>
  <si>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</si>
  <si>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</si>
  <si>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</si>
  <si>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</si>
  <si>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</si>
  <si>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</si>
  <si>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</si>
  <si>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</si>
  <si>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</si>
  <si>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</si>
  <si>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</si>
  <si>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00933 - Anotador Ecológico 14x9cm con bolígrafo</t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</si>
  <si>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</si>
  <si>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</si>
  <si>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</si>
  <si>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</si>
  <si>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</si>
  <si>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</si>
  <si>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</si>
  <si>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</si>
  <si>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</si>
  <si>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</si>
  <si>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</si>
  <si>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</si>
  <si>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</si>
  <si>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</si>
  <si>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</si>
  <si>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</si>
  <si>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</si>
  <si>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</si>
  <si>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</si>
  <si>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</si>
  <si>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</si>
  <si>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 xml:space="preserve">00896 - Paraguas gigante reforzado combinado </t>
  </si>
  <si>
    <t>00887 - Paraguas gigante reforzado mango madera recto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</si>
  <si>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</si>
  <si>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</si>
  <si>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</si>
  <si>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</si>
  <si>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</si>
  <si>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</si>
  <si>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</si>
  <si>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</si>
  <si>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</si>
  <si>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</si>
  <si>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</si>
  <si>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</si>
  <si>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</si>
  <si>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LL-101 - Llavero de metal con forma de casa</t>
  </si>
  <si>
    <t>LL-101</t>
  </si>
  <si>
    <t>M-27-2</t>
  </si>
  <si>
    <t>02344TN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</si>
  <si>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</si>
  <si>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</si>
  <si>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</si>
  <si>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</si>
  <si>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</si>
  <si>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</si>
  <si>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</si>
  <si>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</si>
  <si>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</si>
  <si>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</si>
  <si>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</si>
  <si>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</si>
  <si>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</si>
  <si>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</si>
  <si>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</si>
  <si>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</si>
  <si>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</si>
  <si>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</si>
  <si>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</si>
  <si>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</si>
  <si>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</si>
  <si>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</si>
  <si>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</si>
  <si>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</si>
  <si>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</si>
  <si>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</si>
  <si>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</si>
  <si>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</si>
  <si>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</si>
  <si>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</si>
  <si>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</si>
  <si>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</si>
  <si>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</si>
  <si>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</si>
  <si>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02500 - Set de 12 lápices de colores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</si>
  <si>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</si>
  <si>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</si>
  <si>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</si>
  <si>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</si>
  <si>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</si>
  <si>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P5549 - Gorro Lavado 6 gajos 100% algodón desgastado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</si>
  <si>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</si>
  <si>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</si>
  <si>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</si>
  <si>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</si>
  <si>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</si>
  <si>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</si>
  <si>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</si>
  <si>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</si>
  <si>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</si>
  <si>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</si>
  <si>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</si>
  <si>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</si>
  <si>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</si>
  <si>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</si>
  <si>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</si>
  <si>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</si>
  <si>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</si>
  <si>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</si>
  <si>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</si>
  <si>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02344TN - Bolígrafo metálico trazo negro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</si>
  <si>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</si>
  <si>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</si>
  <si>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</si>
  <si>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02278 - Bolígrafo clásico negro con capuchón 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</si>
  <si>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</si>
  <si>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</si>
  <si>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</si>
  <si>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</si>
  <si>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</si>
  <si>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</si>
  <si>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</si>
  <si>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</si>
  <si>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</si>
  <si>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</si>
  <si>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</si>
  <si>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</si>
  <si>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</si>
  <si>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liso</t>
    </r>
    <r>
      <rPr>
        <sz val="8"/>
        <rFont val="Arial"/>
        <family val="2"/>
      </rPr>
      <t xml:space="preserve"> azul o negro sistema anti viento</t>
    </r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</si>
  <si>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</si>
  <si>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</si>
  <si>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</si>
  <si>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</si>
  <si>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</si>
  <si>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</si>
  <si>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</si>
  <si>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</si>
  <si>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</si>
  <si>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</si>
  <si>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</si>
  <si>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</si>
  <si>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</si>
  <si>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</si>
  <si>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</si>
  <si>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</si>
  <si>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</si>
  <si>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</si>
  <si>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</si>
  <si>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</si>
  <si>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</si>
  <si>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</si>
  <si>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</si>
  <si>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</si>
  <si>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</si>
  <si>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</si>
  <si>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</si>
  <si>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</si>
  <si>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</si>
  <si>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</si>
  <si>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</si>
  <si>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</si>
  <si>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</si>
  <si>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</si>
  <si>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</si>
  <si>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</si>
  <si>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</si>
  <si>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</si>
  <si>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>02322-1 - Bolígrafo metálico engomado retráctil aros cromados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</si>
  <si>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</si>
  <si>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</si>
  <si>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</si>
  <si>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</si>
  <si>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</si>
  <si>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</si>
  <si>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</si>
  <si>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</si>
  <si>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</si>
  <si>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</si>
  <si>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</si>
  <si>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</si>
  <si>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</si>
  <si>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</si>
  <si>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</si>
  <si>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</si>
  <si>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</si>
  <si>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</si>
  <si>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</si>
  <si>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</si>
  <si>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</si>
  <si>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</si>
  <si>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</si>
  <si>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</si>
  <si>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</si>
  <si>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</si>
  <si>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</si>
  <si>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</si>
  <si>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</si>
  <si>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00015 - Regla 30 cm alto impacto calendario full color</t>
  </si>
  <si>
    <t xml:space="preserve">00014 - Regla 30 cm alto impacto </t>
  </si>
  <si>
    <t xml:space="preserve">00013 - Regla 20 cm alto impacto </t>
  </si>
  <si>
    <t>01049 - Botella aluminio 650ml tapa con agarre</t>
  </si>
  <si>
    <t>01048 - Botella aluminio 660ml tapa con aro</t>
  </si>
  <si>
    <t>01050 - Botella aluminio 750ml con mosquetón</t>
  </si>
  <si>
    <t>01032 - Jarro térmico acero 500ml negro</t>
  </si>
  <si>
    <t>01010 - Tabla premium EUCALIPTO asado 30x20x2 cm</t>
  </si>
  <si>
    <t>01011 - Tabla premium EUCALIPTO asado 50x30x2 cm</t>
  </si>
  <si>
    <t>02257 - Lapiz Infinity metálico aleación grafito - Con goma</t>
  </si>
  <si>
    <t>00041 - Mate plástico con bombilla y aro saca yerba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</si>
  <si>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</si>
  <si>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</si>
  <si>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</si>
  <si>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</si>
  <si>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</si>
  <si>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</si>
  <si>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</si>
  <si>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</si>
  <si>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</si>
  <si>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</si>
  <si>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</si>
  <si>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</si>
  <si>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</si>
  <si>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00695 - Mochila Smart 20L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</si>
  <si>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</si>
  <si>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</si>
  <si>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</si>
  <si>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</si>
  <si>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</si>
  <si>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</si>
  <si>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</si>
  <si>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</si>
  <si>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</si>
  <si>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</si>
  <si>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</si>
  <si>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</si>
  <si>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</si>
  <si>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</si>
  <si>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</si>
  <si>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</si>
  <si>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</si>
  <si>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</si>
  <si>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02258 - Lapiz Eternity bambú aleación grafito - Con goma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</si>
  <si>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</si>
  <si>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</si>
  <si>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</si>
  <si>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</si>
  <si>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00880 - Paraguas rPet reciclado automático COLOR</t>
  </si>
  <si>
    <t>00880B - Paraguas rPet reciclado automático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</si>
  <si>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</si>
  <si>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</si>
  <si>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</si>
  <si>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</si>
  <si>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</si>
  <si>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</si>
  <si>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</si>
  <si>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</si>
  <si>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</si>
  <si>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</si>
  <si>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</si>
  <si>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</si>
  <si>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</si>
  <si>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</si>
  <si>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</si>
  <si>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</si>
  <si>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00881B - Paraguas retractil mini BLANCO con estuche mochila</t>
  </si>
  <si>
    <t>00881 - Paraguas retractil mini COLOR con estuche mochila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</si>
  <si>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</si>
  <si>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</si>
  <si>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</si>
  <si>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</si>
  <si>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</si>
  <si>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</si>
  <si>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</si>
  <si>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</si>
  <si>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</si>
  <si>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</si>
  <si>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</si>
  <si>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</si>
  <si>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</si>
  <si>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</si>
  <si>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</si>
  <si>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</si>
  <si>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</si>
  <si>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</si>
  <si>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</si>
  <si>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</si>
  <si>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</si>
  <si>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</si>
  <si>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</si>
  <si>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</si>
  <si>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</si>
  <si>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</si>
  <si>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</si>
  <si>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</si>
  <si>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</si>
  <si>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</si>
  <si>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</si>
  <si>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</si>
  <si>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</si>
  <si>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</si>
  <si>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</si>
  <si>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</si>
  <si>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</si>
  <si>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</si>
  <si>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</si>
  <si>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</si>
  <si>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</si>
  <si>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</si>
  <si>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</si>
  <si>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</si>
  <si>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</si>
  <si>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</si>
  <si>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</si>
  <si>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</si>
  <si>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</si>
  <si>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</si>
  <si>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</si>
  <si>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</si>
  <si>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</si>
  <si>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00534 - Marbete - Identificador de valijas rígido negro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</si>
  <si>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</si>
  <si>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</si>
  <si>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</si>
  <si>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</si>
  <si>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00907 - Paraguas gigante reforzado automático </t>
    </r>
    <r>
      <rPr>
        <b/>
        <sz val="8"/>
        <rFont val="Arial"/>
        <family val="2"/>
      </rPr>
      <t>AZUL</t>
    </r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</si>
  <si>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</si>
  <si>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00909 - Paraguas automático reforzado </t>
    </r>
    <r>
      <rPr>
        <b/>
        <sz val="8"/>
        <rFont val="Arial"/>
        <family val="2"/>
      </rPr>
      <t>NARANJA O VERDE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</si>
  <si>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</si>
  <si>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</si>
  <si>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</si>
  <si>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 - Paraguas ejecutivo BLANCO</t>
  </si>
  <si>
    <t>00878 - Paraguas ejecutivo rojo o azul marino</t>
  </si>
  <si>
    <t>00878B</t>
  </si>
  <si>
    <t>00882 - Paraguas ejecutivo DE COLOR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</si>
  <si>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</si>
  <si>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</si>
  <si>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</si>
  <si>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</si>
  <si>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</si>
  <si>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</si>
  <si>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</si>
  <si>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</si>
  <si>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</si>
  <si>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</si>
  <si>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</si>
  <si>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</si>
  <si>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</si>
  <si>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</si>
  <si>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</si>
  <si>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</si>
  <si>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</si>
  <si>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</si>
  <si>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</si>
  <si>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</si>
  <si>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</si>
  <si>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</si>
  <si>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</si>
  <si>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</si>
  <si>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</si>
  <si>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</si>
  <si>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</si>
  <si>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</si>
  <si>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</si>
  <si>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</si>
  <si>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</si>
  <si>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</si>
  <si>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</si>
  <si>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</si>
  <si>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</si>
  <si>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</si>
  <si>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</si>
  <si>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</si>
  <si>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</si>
  <si>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</si>
  <si>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</si>
  <si>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</si>
  <si>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</si>
  <si>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</si>
  <si>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</si>
  <si>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</si>
  <si>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</si>
  <si>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</si>
  <si>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</si>
  <si>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</si>
  <si>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</si>
  <si>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</si>
  <si>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</si>
  <si>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</si>
  <si>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</si>
  <si>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</si>
  <si>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</si>
  <si>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</si>
  <si>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>LISTA DE PRECIOS Nº 2 / 2024 (En Pesos)  -  NO INCLUYE I.V.A.  -  FEBRERO 2024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</si>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</sst>
</file>

<file path=xl/styles.xml><?xml version="1.0" encoding="utf-8"?>
<styleSheet xmlns="http://schemas.openxmlformats.org/spreadsheetml/2006/main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3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b/>
      <sz val="8"/>
      <color rgb="FF007635"/>
      <name val="Arial Narrow"/>
      <family val="2"/>
    </font>
    <font>
      <b/>
      <sz val="8"/>
      <color rgb="FF008E40"/>
      <name val="Arial Narrow"/>
      <family val="2"/>
    </font>
    <font>
      <b/>
      <sz val="8"/>
      <color rgb="FF00B05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0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3" xfId="0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2" fontId="5" fillId="5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2" fontId="5" fillId="9" borderId="5" xfId="0" applyNumberFormat="1" applyFont="1" applyFill="1" applyBorder="1" applyAlignment="1">
      <alignment horizontal="center" vertical="center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47" fillId="14" borderId="7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5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1" fillId="5" borderId="5" xfId="0" applyFont="1" applyFill="1" applyBorder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8" borderId="3" xfId="0" applyNumberFormat="1" applyFont="1" applyFill="1" applyBorder="1" applyAlignment="1">
      <alignment horizontal="center" vertical="center" wrapText="1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5" fillId="5" borderId="12" xfId="0" applyNumberFormat="1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78" fillId="5" borderId="10" xfId="0" applyNumberFormat="1" applyFont="1" applyFill="1" applyBorder="1" applyAlignment="1">
      <alignment horizontal="center" vertical="center"/>
    </xf>
    <xf numFmtId="2" fontId="78" fillId="5" borderId="3" xfId="0" applyNumberFormat="1" applyFont="1" applyFill="1" applyBorder="1" applyAlignment="1">
      <alignment horizontal="center" vertical="center"/>
    </xf>
    <xf numFmtId="1" fontId="78" fillId="8" borderId="10" xfId="0" applyNumberFormat="1" applyFont="1" applyFill="1" applyBorder="1" applyAlignment="1">
      <alignment horizontal="center" vertical="center"/>
    </xf>
    <xf numFmtId="1" fontId="112" fillId="5" borderId="3" xfId="0" applyNumberFormat="1" applyFont="1" applyFill="1" applyBorder="1" applyAlignment="1">
      <alignment horizontal="center" vertical="center"/>
    </xf>
    <xf numFmtId="1" fontId="112" fillId="8" borderId="3" xfId="0" applyNumberFormat="1" applyFont="1" applyFill="1" applyBorder="1" applyAlignment="1">
      <alignment horizontal="center" vertical="center"/>
    </xf>
    <xf numFmtId="1" fontId="112" fillId="8" borderId="4" xfId="0" applyNumberFormat="1" applyFont="1" applyFill="1" applyBorder="1" applyAlignment="1">
      <alignment horizontal="center" vertical="center"/>
    </xf>
    <xf numFmtId="1" fontId="112" fillId="5" borderId="4" xfId="0" applyNumberFormat="1" applyFont="1" applyFill="1" applyBorder="1" applyAlignment="1">
      <alignment horizontal="center" vertical="center"/>
    </xf>
    <xf numFmtId="1" fontId="112" fillId="9" borderId="3" xfId="0" applyNumberFormat="1" applyFont="1" applyFill="1" applyBorder="1" applyAlignment="1">
      <alignment horizontal="center" vertical="center"/>
    </xf>
    <xf numFmtId="1" fontId="112" fillId="8" borderId="5" xfId="0" applyNumberFormat="1" applyFont="1" applyFill="1" applyBorder="1" applyAlignment="1">
      <alignment horizontal="center" vertical="center"/>
    </xf>
    <xf numFmtId="1" fontId="112" fillId="5" borderId="5" xfId="0" applyNumberFormat="1" applyFont="1" applyFill="1" applyBorder="1" applyAlignment="1">
      <alignment horizontal="center" vertical="center"/>
    </xf>
    <xf numFmtId="1" fontId="112" fillId="8" borderId="7" xfId="0" applyNumberFormat="1" applyFont="1" applyFill="1" applyBorder="1" applyAlignment="1">
      <alignment horizontal="center" vertical="center"/>
    </xf>
    <xf numFmtId="1" fontId="112" fillId="5" borderId="7" xfId="0" applyNumberFormat="1" applyFont="1" applyFill="1" applyBorder="1" applyAlignment="1">
      <alignment horizontal="center" vertical="center"/>
    </xf>
    <xf numFmtId="1" fontId="112" fillId="8" borderId="1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71" fillId="8" borderId="3" xfId="0" applyFont="1" applyFill="1" applyBorder="1"/>
    <xf numFmtId="2" fontId="65" fillId="8" borderId="3" xfId="0" applyNumberFormat="1" applyFont="1" applyFill="1" applyBorder="1" applyAlignment="1">
      <alignment horizontal="center" vertical="center"/>
    </xf>
    <xf numFmtId="0" fontId="79" fillId="8" borderId="13" xfId="0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8" fillId="8" borderId="12" xfId="0" applyNumberFormat="1" applyFont="1" applyFill="1" applyBorder="1" applyAlignment="1">
      <alignment horizontal="center" vertical="center"/>
    </xf>
    <xf numFmtId="2" fontId="78" fillId="8" borderId="7" xfId="0" applyNumberFormat="1" applyFont="1" applyFill="1" applyBorder="1" applyAlignment="1">
      <alignment horizontal="center" vertical="center"/>
    </xf>
    <xf numFmtId="1" fontId="78" fillId="8" borderId="7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65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" fontId="77" fillId="8" borderId="5" xfId="0" applyNumberFormat="1" applyFont="1" applyFill="1" applyBorder="1" applyAlignment="1">
      <alignment horizontal="center" vertical="center"/>
    </xf>
    <xf numFmtId="1" fontId="114" fillId="5" borderId="10" xfId="0" applyNumberFormat="1" applyFont="1" applyFill="1" applyBorder="1" applyAlignment="1">
      <alignment horizontal="center" vertical="center"/>
    </xf>
    <xf numFmtId="1" fontId="116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8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7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20" fillId="2" borderId="5" xfId="2" applyNumberFormat="1" applyFont="1" applyFill="1" applyBorder="1" applyAlignment="1" applyProtection="1">
      <alignment horizontal="center"/>
    </xf>
    <xf numFmtId="167" fontId="121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167" fontId="128" fillId="2" borderId="4" xfId="2" applyNumberFormat="1" applyFont="1" applyFill="1" applyBorder="1" applyAlignment="1" applyProtection="1">
      <alignment horizontal="center"/>
    </xf>
    <xf numFmtId="167" fontId="128" fillId="2" borderId="11" xfId="2" applyNumberFormat="1" applyFont="1" applyFill="1" applyBorder="1" applyAlignment="1" applyProtection="1">
      <alignment horizontal="center"/>
    </xf>
    <xf numFmtId="167" fontId="128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67" fontId="129" fillId="2" borderId="3" xfId="0" applyNumberFormat="1" applyFont="1" applyFill="1" applyBorder="1" applyAlignment="1">
      <alignment horizontal="center"/>
    </xf>
    <xf numFmtId="167" fontId="128" fillId="2" borderId="3" xfId="2" applyNumberFormat="1" applyFont="1" applyFill="1" applyBorder="1" applyAlignment="1" applyProtection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2" fillId="5" borderId="0" xfId="0" applyNumberFormat="1" applyFont="1" applyFill="1" applyBorder="1" applyAlignment="1">
      <alignment horizontal="center" vertical="center"/>
    </xf>
    <xf numFmtId="1" fontId="114" fillId="8" borderId="10" xfId="0" applyNumberFormat="1" applyFont="1" applyFill="1" applyBorder="1" applyAlignment="1">
      <alignment horizontal="center" vertical="center"/>
    </xf>
    <xf numFmtId="1" fontId="115" fillId="5" borderId="1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5" fillId="8" borderId="5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2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2" fontId="5" fillId="8" borderId="13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5" borderId="13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0" fontId="5" fillId="7" borderId="3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8" borderId="3" xfId="0" applyNumberFormat="1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18" fillId="5" borderId="3" xfId="0" applyFont="1" applyFill="1" applyBorder="1" applyAlignment="1"/>
    <xf numFmtId="0" fontId="0" fillId="8" borderId="3" xfId="0" applyFill="1" applyBorder="1" applyAlignment="1">
      <alignment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2" xfId="0" applyFill="1" applyBorder="1" applyAlignment="1"/>
    <xf numFmtId="0" fontId="0" fillId="8" borderId="4" xfId="0" applyFill="1" applyBorder="1" applyAlignment="1"/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2" fillId="10" borderId="0" xfId="0" applyFont="1" applyFill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0" fontId="5" fillId="7" borderId="19" xfId="0" applyFont="1" applyFill="1" applyBorder="1" applyAlignment="1"/>
    <xf numFmtId="0" fontId="0" fillId="7" borderId="19" xfId="0" applyFill="1" applyBorder="1" applyAlignment="1"/>
    <xf numFmtId="0" fontId="72" fillId="10" borderId="1" xfId="0" applyFont="1" applyFill="1" applyBorder="1" applyAlignment="1"/>
    <xf numFmtId="0" fontId="72" fillId="10" borderId="0" xfId="0" applyFont="1" applyFill="1" applyAlignment="1"/>
    <xf numFmtId="0" fontId="72" fillId="10" borderId="30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18" fillId="8" borderId="3" xfId="0" applyFont="1" applyFill="1" applyBorder="1" applyAlignment="1"/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17" fillId="5" borderId="13" xfId="0" applyNumberFormat="1" applyFont="1" applyFill="1" applyBorder="1" applyAlignment="1"/>
    <xf numFmtId="0" fontId="1" fillId="8" borderId="3" xfId="0" applyFont="1" applyFill="1" applyBorder="1" applyAlignment="1">
      <alignment wrapText="1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/>
    <xf numFmtId="0" fontId="5" fillId="8" borderId="5" xfId="0" applyFont="1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0" fontId="72" fillId="13" borderId="23" xfId="0" applyFont="1" applyFill="1" applyBorder="1" applyAlignment="1">
      <alignment horizontal="center" vertical="center" wrapText="1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1" fillId="8" borderId="5" xfId="0" applyFont="1" applyFill="1" applyBorder="1" applyAlignment="1"/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0" fontId="87" fillId="14" borderId="9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37" fillId="10" borderId="0" xfId="0" applyFont="1" applyFill="1" applyBorder="1" applyAlignment="1"/>
    <xf numFmtId="0" fontId="37" fillId="10" borderId="0" xfId="0" applyFont="1" applyFill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1" fillId="7" borderId="3" xfId="0" applyFont="1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0" fontId="18" fillId="8" borderId="5" xfId="0" applyFont="1" applyFill="1" applyBorder="1" applyAlignment="1"/>
    <xf numFmtId="0" fontId="5" fillId="8" borderId="13" xfId="0" applyFont="1" applyFill="1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0" fontId="5" fillId="5" borderId="1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0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83" fillId="17" borderId="46" xfId="0" applyNumberFormat="1" applyFont="1" applyFill="1" applyBorder="1" applyAlignment="1">
      <alignment horizontal="center" vertical="center" wrapText="1"/>
    </xf>
    <xf numFmtId="0" fontId="110" fillId="17" borderId="17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/>
    <xf numFmtId="0" fontId="0" fillId="9" borderId="5" xfId="0" applyFill="1" applyBorder="1" applyAlignment="1"/>
    <xf numFmtId="0" fontId="91" fillId="8" borderId="3" xfId="0" applyFont="1" applyFill="1" applyBorder="1" applyAlignment="1">
      <alignment horizontal="left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0" fillId="17" borderId="68" xfId="0" applyFont="1" applyFill="1" applyBorder="1" applyAlignment="1">
      <alignment horizontal="center" vertical="center" wrapText="1"/>
    </xf>
    <xf numFmtId="0" fontId="110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1" fillId="5" borderId="3" xfId="0" applyFont="1" applyFill="1" applyBorder="1" applyAlignment="1">
      <alignment horizontal="left"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2" fontId="5" fillId="7" borderId="13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" fillId="5" borderId="3" xfId="0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2" fontId="5" fillId="9" borderId="5" xfId="0" applyNumberFormat="1" applyFont="1" applyFill="1" applyBorder="1" applyAlignment="1"/>
    <xf numFmtId="0" fontId="18" fillId="8" borderId="7" xfId="0" applyFont="1" applyFill="1" applyBorder="1" applyAlignment="1"/>
    <xf numFmtId="2" fontId="5" fillId="8" borderId="25" xfId="0" applyNumberFormat="1" applyFont="1" applyFill="1" applyBorder="1" applyAlignment="1">
      <alignment wrapText="1"/>
    </xf>
    <xf numFmtId="0" fontId="1" fillId="8" borderId="14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80" fillId="10" borderId="1" xfId="0" applyFont="1" applyFill="1" applyBorder="1" applyAlignment="1"/>
    <xf numFmtId="0" fontId="0" fillId="0" borderId="0" xfId="0" applyBorder="1" applyAlignment="1"/>
    <xf numFmtId="0" fontId="0" fillId="0" borderId="30" xfId="0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11" fillId="13" borderId="23" xfId="0" applyFont="1" applyFill="1" applyBorder="1" applyAlignment="1">
      <alignment horizontal="center" vertical="center" wrapText="1"/>
    </xf>
    <xf numFmtId="0" fontId="111" fillId="13" borderId="39" xfId="0" applyFont="1" applyFill="1" applyBorder="1" applyAlignment="1">
      <alignment horizontal="center" vertical="center" wrapText="1"/>
    </xf>
    <xf numFmtId="0" fontId="111" fillId="13" borderId="27" xfId="0" applyFont="1" applyFill="1" applyBorder="1" applyAlignment="1">
      <alignment horizontal="center" vertical="center" wrapText="1"/>
    </xf>
    <xf numFmtId="0" fontId="111" fillId="13" borderId="1" xfId="0" applyFont="1" applyFill="1" applyBorder="1" applyAlignment="1">
      <alignment horizontal="center" vertical="center" wrapText="1"/>
    </xf>
    <xf numFmtId="0" fontId="111" fillId="13" borderId="0" xfId="0" applyFont="1" applyFill="1" applyBorder="1" applyAlignment="1">
      <alignment horizontal="center" vertical="center" wrapText="1"/>
    </xf>
    <xf numFmtId="0" fontId="111" fillId="13" borderId="30" xfId="0" applyFont="1" applyFill="1" applyBorder="1" applyAlignment="1">
      <alignment horizontal="center" vertical="center" wrapText="1"/>
    </xf>
    <xf numFmtId="0" fontId="111" fillId="13" borderId="25" xfId="0" applyFont="1" applyFill="1" applyBorder="1" applyAlignment="1">
      <alignment horizontal="center" vertical="center" wrapText="1"/>
    </xf>
    <xf numFmtId="0" fontId="111" fillId="13" borderId="14" xfId="0" applyFont="1" applyFill="1" applyBorder="1" applyAlignment="1">
      <alignment horizontal="center" vertical="center" wrapText="1"/>
    </xf>
    <xf numFmtId="0" fontId="111" fillId="13" borderId="1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30" xfId="0" applyFont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49" fillId="5" borderId="3" xfId="0" applyNumberFormat="1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0" fontId="72" fillId="10" borderId="0" xfId="0" applyFont="1" applyFill="1" applyBorder="1" applyAlignment="1"/>
    <xf numFmtId="0" fontId="71" fillId="0" borderId="0" xfId="0" applyFont="1" applyAlignment="1"/>
    <xf numFmtId="0" fontId="71" fillId="0" borderId="30" xfId="0" applyFont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0" fontId="0" fillId="8" borderId="13" xfId="0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0" fontId="0" fillId="0" borderId="0" xfId="0" applyAlignment="1"/>
    <xf numFmtId="2" fontId="64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63" fillId="2" borderId="0" xfId="2" applyFont="1" applyFill="1" applyAlignment="1" applyProtection="1"/>
    <xf numFmtId="0" fontId="56" fillId="5" borderId="0" xfId="2" applyFont="1" applyFill="1" applyAlignment="1" applyProtection="1"/>
    <xf numFmtId="0" fontId="56" fillId="0" borderId="0" xfId="2" applyFont="1" applyAlignment="1" applyProtection="1"/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0" fontId="40" fillId="5" borderId="4" xfId="0" applyFont="1" applyFill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2" fontId="5" fillId="5" borderId="13" xfId="0" applyNumberFormat="1" applyFont="1" applyFill="1" applyBorder="1" applyAlignment="1">
      <alignment horizontal="left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0" fillId="5" borderId="13" xfId="0" applyFill="1" applyBorder="1" applyAlignment="1"/>
    <xf numFmtId="0" fontId="119" fillId="13" borderId="23" xfId="0" applyFont="1" applyFill="1" applyBorder="1" applyAlignment="1">
      <alignment horizontal="center" vertical="center" wrapText="1"/>
    </xf>
    <xf numFmtId="0" fontId="119" fillId="13" borderId="39" xfId="0" applyFont="1" applyFill="1" applyBorder="1" applyAlignment="1">
      <alignment horizontal="center" vertical="center" wrapText="1"/>
    </xf>
    <xf numFmtId="0" fontId="119" fillId="13" borderId="25" xfId="0" applyFont="1" applyFill="1" applyBorder="1" applyAlignment="1">
      <alignment horizontal="center" vertical="center" wrapText="1"/>
    </xf>
    <xf numFmtId="0" fontId="119" fillId="13" borderId="14" xfId="0" applyFont="1" applyFill="1" applyBorder="1" applyAlignment="1">
      <alignment horizontal="center" vertical="center" wrapText="1"/>
    </xf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/>
    <xf numFmtId="0" fontId="18" fillId="8" borderId="14" xfId="0" applyFont="1" applyFill="1" applyBorder="1" applyAlignment="1"/>
    <xf numFmtId="0" fontId="18" fillId="8" borderId="11" xfId="0" applyFont="1" applyFill="1" applyBorder="1" applyAlignment="1"/>
    <xf numFmtId="0" fontId="5" fillId="5" borderId="25" xfId="0" applyFont="1" applyFill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11" fillId="5" borderId="3" xfId="0" applyFont="1" applyFill="1" applyBorder="1" applyAlignment="1"/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center" vertical="center" wrapText="1"/>
    </xf>
    <xf numFmtId="0" fontId="130" fillId="21" borderId="18" xfId="2" applyFont="1" applyFill="1" applyBorder="1" applyAlignment="1" applyProtection="1">
      <alignment horizontal="center" vertical="center" wrapText="1"/>
    </xf>
    <xf numFmtId="0" fontId="130" fillId="21" borderId="8" xfId="2" applyFont="1" applyFill="1" applyBorder="1" applyAlignment="1" applyProtection="1">
      <alignment horizontal="center" vertical="center" wrapText="1"/>
    </xf>
    <xf numFmtId="0" fontId="130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56" fillId="2" borderId="0" xfId="2" applyFont="1" applyFill="1" applyAlignment="1" applyProtection="1"/>
    <xf numFmtId="0" fontId="127" fillId="21" borderId="31" xfId="2" applyFont="1" applyFill="1" applyBorder="1" applyAlignment="1" applyProtection="1">
      <alignment horizontal="center" vertical="center" wrapText="1"/>
    </xf>
    <xf numFmtId="0" fontId="127" fillId="21" borderId="41" xfId="2" applyFont="1" applyFill="1" applyBorder="1" applyAlignment="1" applyProtection="1">
      <alignment horizontal="center" vertical="center" wrapText="1"/>
    </xf>
    <xf numFmtId="0" fontId="127" fillId="21" borderId="42" xfId="2" applyFont="1" applyFill="1" applyBorder="1" applyAlignment="1" applyProtection="1">
      <alignment horizontal="center" vertical="center" wrapText="1"/>
    </xf>
    <xf numFmtId="0" fontId="127" fillId="21" borderId="34" xfId="2" applyFont="1" applyFill="1" applyBorder="1" applyAlignment="1" applyProtection="1">
      <alignment horizontal="center" vertical="center" wrapText="1"/>
    </xf>
    <xf numFmtId="0" fontId="127" fillId="21" borderId="28" xfId="2" applyFont="1" applyFill="1" applyBorder="1" applyAlignment="1" applyProtection="1">
      <alignment horizontal="center" vertical="center" wrapText="1"/>
    </xf>
    <xf numFmtId="0" fontId="127" fillId="21" borderId="43" xfId="2" applyFont="1" applyFill="1" applyBorder="1" applyAlignment="1" applyProtection="1">
      <alignment horizontal="center" vertical="center" wrapText="1"/>
    </xf>
    <xf numFmtId="0" fontId="67" fillId="21" borderId="64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166" fontId="5" fillId="8" borderId="3" xfId="0" applyNumberFormat="1" applyFont="1" applyFill="1" applyBorder="1" applyAlignment="1"/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4" fillId="9" borderId="18" xfId="0" applyFont="1" applyFill="1" applyBorder="1" applyAlignment="1">
      <alignment horizontal="center" vertical="center" wrapText="1"/>
    </xf>
    <xf numFmtId="0" fontId="124" fillId="9" borderId="8" xfId="0" applyFont="1" applyFill="1" applyBorder="1" applyAlignment="1">
      <alignment horizontal="center" vertical="center" wrapText="1"/>
    </xf>
    <xf numFmtId="0" fontId="125" fillId="9" borderId="9" xfId="0" applyFont="1" applyFill="1" applyBorder="1" applyAlignment="1">
      <alignment horizontal="center" vertical="center" wrapText="1"/>
    </xf>
    <xf numFmtId="0" fontId="126" fillId="21" borderId="3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22" fillId="21" borderId="18" xfId="0" applyFont="1" applyFill="1" applyBorder="1" applyAlignment="1">
      <alignment horizontal="center" vertical="center" wrapText="1"/>
    </xf>
    <xf numFmtId="0" fontId="123" fillId="21" borderId="8" xfId="0" applyFont="1" applyFill="1" applyBorder="1" applyAlignment="1">
      <alignment horizontal="center" vertical="center" wrapText="1"/>
    </xf>
    <xf numFmtId="0" fontId="123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80" fillId="5" borderId="1" xfId="0" applyFont="1" applyFill="1" applyBorder="1" applyAlignment="1"/>
    <xf numFmtId="0" fontId="0" fillId="5" borderId="0" xfId="0" applyFill="1" applyBorder="1" applyAlignment="1"/>
    <xf numFmtId="0" fontId="30" fillId="5" borderId="3" xfId="0" applyFont="1" applyFill="1" applyBorder="1" applyAlignment="1">
      <alignment horizontal="center" vertical="center" wrapText="1"/>
    </xf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2" fontId="1" fillId="9" borderId="5" xfId="0" applyNumberFormat="1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</cellXfs>
  <cellStyles count="4">
    <cellStyle name="Euro" xfId="1"/>
    <cellStyle name="Hipervínculo" xfId="2" builtinId="8"/>
    <cellStyle name="Normal" xfId="0" builtinId="0"/>
    <cellStyle name="Porcentual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68" Type="http://schemas.openxmlformats.org/officeDocument/2006/relationships/image" Target="../media/image67.jpeg"/><Relationship Id="rId7" Type="http://schemas.openxmlformats.org/officeDocument/2006/relationships/image" Target="../media/image7.jpeg"/><Relationship Id="rId71" Type="http://schemas.openxmlformats.org/officeDocument/2006/relationships/image" Target="../media/image70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png"/><Relationship Id="rId5" Type="http://schemas.openxmlformats.org/officeDocument/2006/relationships/image" Target="../media/image5.jpeg"/><Relationship Id="rId15" Type="http://schemas.openxmlformats.org/officeDocument/2006/relationships/hyperlink" Target="http://www.jivi.com.ar/home.asp" TargetMode="External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61" Type="http://schemas.openxmlformats.org/officeDocument/2006/relationships/image" Target="../media/image60.pn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jpeg"/><Relationship Id="rId62" Type="http://schemas.openxmlformats.org/officeDocument/2006/relationships/image" Target="../media/image61.png"/><Relationship Id="rId70" Type="http://schemas.openxmlformats.org/officeDocument/2006/relationships/image" Target="../media/image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448</xdr:row>
      <xdr:rowOff>28575</xdr:rowOff>
    </xdr:from>
    <xdr:to>
      <xdr:col>0</xdr:col>
      <xdr:colOff>285750</xdr:colOff>
      <xdr:row>448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=""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461</xdr:row>
      <xdr:rowOff>0</xdr:rowOff>
    </xdr:from>
    <xdr:to>
      <xdr:col>0</xdr:col>
      <xdr:colOff>285750</xdr:colOff>
      <xdr:row>462</xdr:row>
      <xdr:rowOff>0</xdr:rowOff>
    </xdr:to>
    <xdr:pic>
      <xdr:nvPicPr>
        <xdr:cNvPr id="274605" name="Picture 795" descr="BUZO">
          <a:extLst>
            <a:ext uri="{FF2B5EF4-FFF2-40B4-BE49-F238E27FC236}">
              <a16:creationId xmlns=""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=""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=""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=""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=""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23" name="Picture 828" descr="BUZO">
          <a:extLst>
            <a:ext uri="{FF2B5EF4-FFF2-40B4-BE49-F238E27FC236}">
              <a16:creationId xmlns=""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449</xdr:row>
      <xdr:rowOff>28575</xdr:rowOff>
    </xdr:from>
    <xdr:to>
      <xdr:col>0</xdr:col>
      <xdr:colOff>285750</xdr:colOff>
      <xdr:row>449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=""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=""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=""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=""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35" name="Picture 828" descr="BUZO">
          <a:extLst>
            <a:ext uri="{FF2B5EF4-FFF2-40B4-BE49-F238E27FC236}">
              <a16:creationId xmlns=""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=""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452</xdr:row>
      <xdr:rowOff>19050</xdr:rowOff>
    </xdr:from>
    <xdr:to>
      <xdr:col>0</xdr:col>
      <xdr:colOff>285750</xdr:colOff>
      <xdr:row>452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=""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19050</xdr:rowOff>
    </xdr:from>
    <xdr:to>
      <xdr:col>0</xdr:col>
      <xdr:colOff>285750</xdr:colOff>
      <xdr:row>453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=""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=""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=""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=""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=""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=""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=""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=""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=""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=""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=""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=""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=""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=""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=""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=""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=""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19050</xdr:rowOff>
    </xdr:from>
    <xdr:to>
      <xdr:col>0</xdr:col>
      <xdr:colOff>295275</xdr:colOff>
      <xdr:row>60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=""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=""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=""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=""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=""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706" name="Picture 828" descr="BUZO">
          <a:extLst>
            <a:ext uri="{FF2B5EF4-FFF2-40B4-BE49-F238E27FC236}">
              <a16:creationId xmlns=""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=""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=""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=""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=""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=""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=""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=""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460</xdr:row>
      <xdr:rowOff>0</xdr:rowOff>
    </xdr:from>
    <xdr:to>
      <xdr:col>0</xdr:col>
      <xdr:colOff>285750</xdr:colOff>
      <xdr:row>460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=""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=""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=""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19050</xdr:rowOff>
    </xdr:from>
    <xdr:to>
      <xdr:col>1</xdr:col>
      <xdr:colOff>0</xdr:colOff>
      <xdr:row>600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=""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=""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=""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=""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=""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=""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=""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28575</xdr:rowOff>
    </xdr:from>
    <xdr:to>
      <xdr:col>1</xdr:col>
      <xdr:colOff>0</xdr:colOff>
      <xdr:row>435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=""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=""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=""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=""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=""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=""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=""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=""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=""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=""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=""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=""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=""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=""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=""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=""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=""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274847" name="353 Imagen" descr="tampo icono.png">
          <a:extLst>
            <a:ext uri="{FF2B5EF4-FFF2-40B4-BE49-F238E27FC236}">
              <a16:creationId xmlns="" xmlns:a16="http://schemas.microsoft.com/office/drawing/2014/main" id="{E6F2BBCC-B7A0-4523-833B-E81036AE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274848" name="354 Imagen" descr="tampo icono.png">
          <a:extLst>
            <a:ext uri="{FF2B5EF4-FFF2-40B4-BE49-F238E27FC236}">
              <a16:creationId xmlns="" xmlns:a16="http://schemas.microsoft.com/office/drawing/2014/main" id="{A819E805-68DD-44D8-8579-F833C3DF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8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=""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=""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=""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=""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=""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=""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=""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=""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=""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=""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=""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=""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=""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=""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=""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=""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=""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=""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=""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19050</xdr:rowOff>
    </xdr:from>
    <xdr:to>
      <xdr:col>23</xdr:col>
      <xdr:colOff>439705</xdr:colOff>
      <xdr:row>601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=""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=""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=""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=""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=""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=""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=""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=""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=""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591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=""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591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=""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28575</xdr:rowOff>
    </xdr:from>
    <xdr:to>
      <xdr:col>23</xdr:col>
      <xdr:colOff>439705</xdr:colOff>
      <xdr:row>601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=""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=""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=""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=""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606</xdr:row>
      <xdr:rowOff>19050</xdr:rowOff>
    </xdr:from>
    <xdr:to>
      <xdr:col>23</xdr:col>
      <xdr:colOff>439705</xdr:colOff>
      <xdr:row>606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=""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613</xdr:row>
      <xdr:rowOff>19050</xdr:rowOff>
    </xdr:from>
    <xdr:to>
      <xdr:col>23</xdr:col>
      <xdr:colOff>438150</xdr:colOff>
      <xdr:row>613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=""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=""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=""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=""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=""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=""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=""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=""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=""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275038" name="553 Imagen" descr="tampo icono.png">
          <a:extLst>
            <a:ext uri="{FF2B5EF4-FFF2-40B4-BE49-F238E27FC236}">
              <a16:creationId xmlns="" xmlns:a16="http://schemas.microsoft.com/office/drawing/2014/main" id="{7966F1D3-9323-4930-9276-8916D5506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91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=""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275047" name="562 Imagen" descr="tampo icono.png">
          <a:extLst>
            <a:ext uri="{FF2B5EF4-FFF2-40B4-BE49-F238E27FC236}">
              <a16:creationId xmlns="" xmlns:a16="http://schemas.microsoft.com/office/drawing/2014/main" id="{E878A594-9AA6-4461-8469-C721B8DB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25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275075" name="602 Imagen" descr="SERI ROT ICONO.png">
          <a:extLst>
            <a:ext uri="{FF2B5EF4-FFF2-40B4-BE49-F238E27FC236}">
              <a16:creationId xmlns=""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=""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=""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=""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=""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=""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=""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=""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=""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=""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=""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=""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=""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=""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=""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=""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=""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=""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=""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=""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=""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=""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=""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=""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=""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=""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=""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=""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="" xmlns:a16="http://schemas.microsoft.com/office/drawing/2014/main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=""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=""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=""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=""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=""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=""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=""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=""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=""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=""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=""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=""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=""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=""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=""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=""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=""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=""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2" name="802 Imagen" descr="tampo icono.png">
          <a:extLst>
            <a:ext uri="{FF2B5EF4-FFF2-40B4-BE49-F238E27FC236}">
              <a16:creationId xmlns="" xmlns:a16="http://schemas.microsoft.com/office/drawing/2014/main" id="{2CFC64E4-4D02-4E8F-B04E-B85A265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97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=""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=""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=""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=""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=""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=""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=""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=""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=""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=""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=""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=""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=""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=""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=""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=""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=""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=""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=""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=""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=""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=""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=""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=""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=""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=""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=""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=""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=""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=""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=""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=""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=""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=""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=""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=""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=""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=""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=""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=""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=""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=""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=""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=""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=""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=""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=""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=""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=""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=""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=""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=""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=""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=""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=""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=""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=""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329" name="917 Imagen" descr="seri icono.png">
          <a:extLst>
            <a:ext uri="{FF2B5EF4-FFF2-40B4-BE49-F238E27FC236}">
              <a16:creationId xmlns="" xmlns:a16="http://schemas.microsoft.com/office/drawing/2014/main" id="{179017B4-C14D-4CE6-9773-9A9E1C3D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=""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=""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=""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=""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=""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=""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=""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=""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=""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275356" name="945 Imagen" descr="seri icono.png">
          <a:extLst>
            <a:ext uri="{FF2B5EF4-FFF2-40B4-BE49-F238E27FC236}">
              <a16:creationId xmlns=""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7" name="946 Imagen" descr="seri icono.png">
          <a:extLst>
            <a:ext uri="{FF2B5EF4-FFF2-40B4-BE49-F238E27FC236}">
              <a16:creationId xmlns="" xmlns:a16="http://schemas.microsoft.com/office/drawing/2014/main" id="{37CCD268-0924-4340-9231-3B6FF0A9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=""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=""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=""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=""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=""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=""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=""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=""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=""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=""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=""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=""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=""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=""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=""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=""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=""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=""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=""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=""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=""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=""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=""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=""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=""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=""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=""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=""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=""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=""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=""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=""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=""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=""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=""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=""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=""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=""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=""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=""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=""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=""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=""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=""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47625</xdr:colOff>
      <xdr:row>10</xdr:row>
      <xdr:rowOff>142875</xdr:rowOff>
    </xdr:to>
    <xdr:pic>
      <xdr:nvPicPr>
        <xdr:cNvPr id="275437" name="1061 Imagen" descr="seri icono.png">
          <a:extLst>
            <a:ext uri="{FF2B5EF4-FFF2-40B4-BE49-F238E27FC236}">
              <a16:creationId xmlns="" xmlns:a16="http://schemas.microsoft.com/office/drawing/2014/main" id="{B1E1D944-9E91-4235-A009-F53D1406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</xdr:row>
      <xdr:rowOff>19050</xdr:rowOff>
    </xdr:from>
    <xdr:to>
      <xdr:col>24</xdr:col>
      <xdr:colOff>47625</xdr:colOff>
      <xdr:row>9</xdr:row>
      <xdr:rowOff>142875</xdr:rowOff>
    </xdr:to>
    <xdr:pic>
      <xdr:nvPicPr>
        <xdr:cNvPr id="275439" name="1063 Imagen" descr="seri icono.png">
          <a:extLst>
            <a:ext uri="{FF2B5EF4-FFF2-40B4-BE49-F238E27FC236}">
              <a16:creationId xmlns="" xmlns:a16="http://schemas.microsoft.com/office/drawing/2014/main" id="{1CC2B576-5CB5-4D1A-994E-9935F2A3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462</xdr:row>
      <xdr:rowOff>19050</xdr:rowOff>
    </xdr:from>
    <xdr:to>
      <xdr:col>0</xdr:col>
      <xdr:colOff>161925</xdr:colOff>
      <xdr:row>463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=""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=""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=""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=""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=""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=""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=""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=""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=""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=""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=""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=""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=""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=""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=""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=""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=""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=""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=""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=""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610</xdr:row>
      <xdr:rowOff>19050</xdr:rowOff>
    </xdr:from>
    <xdr:to>
      <xdr:col>23</xdr:col>
      <xdr:colOff>439705</xdr:colOff>
      <xdr:row>610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=""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607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=""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=""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609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=""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=""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=""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=""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=""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=""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=""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=""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=""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=""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=""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=""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=""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=""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=""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=""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=""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153</xdr:row>
      <xdr:rowOff>19050</xdr:rowOff>
    </xdr:from>
    <xdr:ext cx="819150" cy="123825"/>
    <xdr:pic>
      <xdr:nvPicPr>
        <xdr:cNvPr id="1078" name="805 Imagen" descr="tampo icono.png">
          <a:extLst>
            <a:ext uri="{FF2B5EF4-FFF2-40B4-BE49-F238E27FC236}">
              <a16:creationId xmlns="" xmlns:a16="http://schemas.microsoft.com/office/drawing/2014/main" id="{68032BE5-E03B-42E7-A473-05D0EC49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=""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=""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=""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=""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=""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=""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346</xdr:row>
      <xdr:rowOff>28575</xdr:rowOff>
    </xdr:from>
    <xdr:to>
      <xdr:col>1</xdr:col>
      <xdr:colOff>0</xdr:colOff>
      <xdr:row>346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=""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=""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=""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=""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439705</xdr:colOff>
      <xdr:row>616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=""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=""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=""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=""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=""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=""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=""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=""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=""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220</xdr:row>
      <xdr:rowOff>19050</xdr:rowOff>
    </xdr:from>
    <xdr:to>
      <xdr:col>26</xdr:col>
      <xdr:colOff>9524</xdr:colOff>
      <xdr:row>220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=""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=""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033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6064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619</xdr:row>
      <xdr:rowOff>19050</xdr:rowOff>
    </xdr:from>
    <xdr:to>
      <xdr:col>23</xdr:col>
      <xdr:colOff>439705</xdr:colOff>
      <xdr:row>619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=""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=""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48389</xdr:colOff>
      <xdr:row>497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995" name="Imagen 99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=""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=""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925" name="602 Imagen" descr="SERI ROT ICONO.png">
          <a:extLst>
            <a:ext uri="{FF2B5EF4-FFF2-40B4-BE49-F238E27FC236}">
              <a16:creationId xmlns=""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72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=""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5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700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=""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617</xdr:row>
      <xdr:rowOff>19050</xdr:rowOff>
    </xdr:from>
    <xdr:to>
      <xdr:col>23</xdr:col>
      <xdr:colOff>439705</xdr:colOff>
      <xdr:row>617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=""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836" name="803 Imagen" descr="tampo icono.png">
          <a:extLst>
            <a:ext uri="{FF2B5EF4-FFF2-40B4-BE49-F238E27FC236}">
              <a16:creationId xmlns="" xmlns:a16="http://schemas.microsoft.com/office/drawing/2014/main" id="{5D8C26EA-8D0D-43A4-B618-1393D213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8327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=""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=""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016" name="602 Imagen" descr="SERI ROT ICONO.png">
          <a:extLst>
            <a:ext uri="{FF2B5EF4-FFF2-40B4-BE49-F238E27FC236}">
              <a16:creationId xmlns=""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87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=""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=""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=""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=""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=""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=""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=""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=""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=""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=""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=""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=""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=""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=""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462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=""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213</xdr:row>
      <xdr:rowOff>19050</xdr:rowOff>
    </xdr:from>
    <xdr:to>
      <xdr:col>10</xdr:col>
      <xdr:colOff>1</xdr:colOff>
      <xdr:row>213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=""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=""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=""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=""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944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04063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615</xdr:row>
      <xdr:rowOff>19050</xdr:rowOff>
    </xdr:from>
    <xdr:to>
      <xdr:col>23</xdr:col>
      <xdr:colOff>439705</xdr:colOff>
      <xdr:row>615</xdr:row>
      <xdr:rowOff>142875</xdr:rowOff>
    </xdr:to>
    <xdr:pic>
      <xdr:nvPicPr>
        <xdr:cNvPr id="1020" name="490 Imagen" descr="laser icono.png">
          <a:extLst>
            <a:ext uri="{FF2B5EF4-FFF2-40B4-BE49-F238E27FC236}">
              <a16:creationId xmlns="" xmlns:a16="http://schemas.microsoft.com/office/drawing/2014/main" id="{F904B26B-DFDE-4402-AD54-12A967BF9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5621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=""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=""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=""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=""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57150</xdr:colOff>
      <xdr:row>9</xdr:row>
      <xdr:rowOff>19050</xdr:rowOff>
    </xdr:from>
    <xdr:to>
      <xdr:col>25</xdr:col>
      <xdr:colOff>380999</xdr:colOff>
      <xdr:row>9</xdr:row>
      <xdr:rowOff>142875</xdr:rowOff>
    </xdr:to>
    <xdr:pic>
      <xdr:nvPicPr>
        <xdr:cNvPr id="86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</xdr:row>
      <xdr:rowOff>19050</xdr:rowOff>
    </xdr:from>
    <xdr:to>
      <xdr:col>25</xdr:col>
      <xdr:colOff>380999</xdr:colOff>
      <xdr:row>10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62</xdr:row>
      <xdr:rowOff>19050</xdr:rowOff>
    </xdr:from>
    <xdr:to>
      <xdr:col>26</xdr:col>
      <xdr:colOff>9524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67</xdr:row>
      <xdr:rowOff>19050</xdr:rowOff>
    </xdr:from>
    <xdr:to>
      <xdr:col>26</xdr:col>
      <xdr:colOff>9524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233</xdr:row>
      <xdr:rowOff>28575</xdr:rowOff>
    </xdr:from>
    <xdr:to>
      <xdr:col>26</xdr:col>
      <xdr:colOff>9524</xdr:colOff>
      <xdr:row>234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19050</xdr:rowOff>
    </xdr:from>
    <xdr:to>
      <xdr:col>26</xdr:col>
      <xdr:colOff>9524</xdr:colOff>
      <xdr:row>240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77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249</xdr:row>
      <xdr:rowOff>19050</xdr:rowOff>
    </xdr:from>
    <xdr:to>
      <xdr:col>26</xdr:col>
      <xdr:colOff>9524</xdr:colOff>
      <xdr:row>249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=""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=""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=""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=""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=""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=""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=""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425</xdr:row>
      <xdr:rowOff>19050</xdr:rowOff>
    </xdr:from>
    <xdr:to>
      <xdr:col>25</xdr:col>
      <xdr:colOff>380999</xdr:colOff>
      <xdr:row>425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424</xdr:row>
      <xdr:rowOff>19050</xdr:rowOff>
    </xdr:from>
    <xdr:to>
      <xdr:col>25</xdr:col>
      <xdr:colOff>380999</xdr:colOff>
      <xdr:row>424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=""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=""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2124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309</xdr:row>
      <xdr:rowOff>19050</xdr:rowOff>
    </xdr:from>
    <xdr:to>
      <xdr:col>26</xdr:col>
      <xdr:colOff>9524</xdr:colOff>
      <xdr:row>309</xdr:row>
      <xdr:rowOff>142875</xdr:rowOff>
    </xdr:to>
    <xdr:pic>
      <xdr:nvPicPr>
        <xdr:cNvPr id="123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079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242" name="566 Imagen" descr="tampo icono.png">
          <a:extLst>
            <a:ext uri="{FF2B5EF4-FFF2-40B4-BE49-F238E27FC236}">
              <a16:creationId xmlns=""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339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268</xdr:row>
      <xdr:rowOff>19050</xdr:rowOff>
    </xdr:from>
    <xdr:to>
      <xdr:col>26</xdr:col>
      <xdr:colOff>9524</xdr:colOff>
      <xdr:row>268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222</xdr:row>
      <xdr:rowOff>19050</xdr:rowOff>
    </xdr:from>
    <xdr:to>
      <xdr:col>26</xdr:col>
      <xdr:colOff>9524</xdr:colOff>
      <xdr:row>222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25</xdr:col>
      <xdr:colOff>380999</xdr:colOff>
      <xdr:row>153</xdr:row>
      <xdr:rowOff>142875</xdr:rowOff>
    </xdr:to>
    <xdr:pic>
      <xdr:nvPicPr>
        <xdr:cNvPr id="125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=""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28575</xdr:rowOff>
    </xdr:from>
    <xdr:ext cx="342900" cy="104775"/>
    <xdr:pic>
      <xdr:nvPicPr>
        <xdr:cNvPr id="1264" name="261 Imagen" descr="nuevo icono.png">
          <a:extLst>
            <a:ext uri="{FF2B5EF4-FFF2-40B4-BE49-F238E27FC236}">
              <a16:creationId xmlns=""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8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=""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=""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=""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=""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=""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436</xdr:row>
      <xdr:rowOff>19050</xdr:rowOff>
    </xdr:from>
    <xdr:to>
      <xdr:col>8</xdr:col>
      <xdr:colOff>181170</xdr:colOff>
      <xdr:row>436</xdr:row>
      <xdr:rowOff>142875</xdr:rowOff>
    </xdr:to>
    <xdr:pic>
      <xdr:nvPicPr>
        <xdr:cNvPr id="1272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82085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065" name="261 Imagen" descr="nuevo icono.png">
          <a:extLst>
            <a:ext uri="{FF2B5EF4-FFF2-40B4-BE49-F238E27FC236}">
              <a16:creationId xmlns=""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352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="" xmlns:a16="http://schemas.microsoft.com/office/drawing/2014/main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352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=""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313</xdr:row>
      <xdr:rowOff>19050</xdr:rowOff>
    </xdr:from>
    <xdr:to>
      <xdr:col>26</xdr:col>
      <xdr:colOff>9524</xdr:colOff>
      <xdr:row>313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297" name="518 Imagen" descr="laser fibra icono.png">
          <a:extLst>
            <a:ext uri="{FF2B5EF4-FFF2-40B4-BE49-F238E27FC236}">
              <a16:creationId xmlns=""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=""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=""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=""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620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=""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622</xdr:row>
      <xdr:rowOff>28575</xdr:rowOff>
    </xdr:from>
    <xdr:to>
      <xdr:col>1</xdr:col>
      <xdr:colOff>0</xdr:colOff>
      <xdr:row>622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=""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=""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89</xdr:row>
      <xdr:rowOff>9525</xdr:rowOff>
    </xdr:from>
    <xdr:to>
      <xdr:col>10</xdr:col>
      <xdr:colOff>2174</xdr:colOff>
      <xdr:row>89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=""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=""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221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=""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=""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=""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=""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=""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=""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=""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352" name="602 Imagen" descr="SERI ROT ICONO.png">
          <a:extLst>
            <a:ext uri="{FF2B5EF4-FFF2-40B4-BE49-F238E27FC236}">
              <a16:creationId xmlns=""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279</xdr:row>
      <xdr:rowOff>19050</xdr:rowOff>
    </xdr:from>
    <xdr:to>
      <xdr:col>25</xdr:col>
      <xdr:colOff>83819</xdr:colOff>
      <xdr:row>279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359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=""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183" name="602 Imagen" descr="SERI ROT ICONO.png">
          <a:extLst>
            <a:ext uri="{FF2B5EF4-FFF2-40B4-BE49-F238E27FC236}">
              <a16:creationId xmlns=""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515</xdr:row>
      <xdr:rowOff>19050</xdr:rowOff>
    </xdr:from>
    <xdr:to>
      <xdr:col>24</xdr:col>
      <xdr:colOff>75821</xdr:colOff>
      <xdr:row>515</xdr:row>
      <xdr:rowOff>140970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75821</xdr:colOff>
      <xdr:row>519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87" name="Imagen 138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51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19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44" name="Imagen 104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34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66" name="Imagen 106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495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456</xdr:row>
      <xdr:rowOff>19050</xdr:rowOff>
    </xdr:from>
    <xdr:to>
      <xdr:col>24</xdr:col>
      <xdr:colOff>75821</xdr:colOff>
      <xdr:row>456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=""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517</xdr:row>
      <xdr:rowOff>19050</xdr:rowOff>
    </xdr:from>
    <xdr:to>
      <xdr:col>24</xdr:col>
      <xdr:colOff>75821</xdr:colOff>
      <xdr:row>517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621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618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18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41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68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965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31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346</xdr:row>
      <xdr:rowOff>19050</xdr:rowOff>
    </xdr:from>
    <xdr:to>
      <xdr:col>26</xdr:col>
      <xdr:colOff>9524</xdr:colOff>
      <xdr:row>346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130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90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169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28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625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66675</xdr:colOff>
      <xdr:row>321</xdr:row>
      <xdr:rowOff>19050</xdr:rowOff>
    </xdr:from>
    <xdr:to>
      <xdr:col>26</xdr:col>
      <xdr:colOff>9524</xdr:colOff>
      <xdr:row>321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973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=""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28575</xdr:rowOff>
    </xdr:from>
    <xdr:to>
      <xdr:col>1</xdr:col>
      <xdr:colOff>0</xdr:colOff>
      <xdr:row>530</xdr:row>
      <xdr:rowOff>133350</xdr:rowOff>
    </xdr:to>
    <xdr:pic>
      <xdr:nvPicPr>
        <xdr:cNvPr id="1068" name="242 Imagen" descr="oferta icono.png">
          <a:extLst>
            <a:ext uri="{FF2B5EF4-FFF2-40B4-BE49-F238E27FC236}">
              <a16:creationId xmlns=""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52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=""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246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=""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252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=""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=""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254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442" name="602 Imagen" descr="SERI ROT ICONO.png">
          <a:extLst>
            <a:ext uri="{FF2B5EF4-FFF2-40B4-BE49-F238E27FC236}">
              <a16:creationId xmlns=""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278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=""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=""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=""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405</xdr:row>
      <xdr:rowOff>19050</xdr:rowOff>
    </xdr:from>
    <xdr:to>
      <xdr:col>8</xdr:col>
      <xdr:colOff>181170</xdr:colOff>
      <xdr:row>405</xdr:row>
      <xdr:rowOff>142875</xdr:rowOff>
    </xdr:to>
    <xdr:pic>
      <xdr:nvPicPr>
        <xdr:cNvPr id="1450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30269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=""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=""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124</xdr:row>
      <xdr:rowOff>19050</xdr:rowOff>
    </xdr:from>
    <xdr:to>
      <xdr:col>8</xdr:col>
      <xdr:colOff>181170</xdr:colOff>
      <xdr:row>124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=""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382</xdr:row>
      <xdr:rowOff>19050</xdr:rowOff>
    </xdr:from>
    <xdr:to>
      <xdr:col>8</xdr:col>
      <xdr:colOff>181170</xdr:colOff>
      <xdr:row>382</xdr:row>
      <xdr:rowOff>142875</xdr:rowOff>
    </xdr:to>
    <xdr:pic>
      <xdr:nvPicPr>
        <xdr:cNvPr id="1462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9169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6024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=""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=""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322</xdr:row>
      <xdr:rowOff>19050</xdr:rowOff>
    </xdr:from>
    <xdr:to>
      <xdr:col>8</xdr:col>
      <xdr:colOff>181170</xdr:colOff>
      <xdr:row>322</xdr:row>
      <xdr:rowOff>142875</xdr:rowOff>
    </xdr:to>
    <xdr:pic>
      <xdr:nvPicPr>
        <xdr:cNvPr id="1445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8729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=""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=""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=""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=""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=""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232</xdr:row>
      <xdr:rowOff>19050</xdr:rowOff>
    </xdr:from>
    <xdr:to>
      <xdr:col>10</xdr:col>
      <xdr:colOff>1</xdr:colOff>
      <xdr:row>232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6223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=""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391</xdr:row>
      <xdr:rowOff>19050</xdr:rowOff>
    </xdr:from>
    <xdr:to>
      <xdr:col>8</xdr:col>
      <xdr:colOff>181170</xdr:colOff>
      <xdr:row>391</xdr:row>
      <xdr:rowOff>142875</xdr:rowOff>
    </xdr:to>
    <xdr:pic>
      <xdr:nvPicPr>
        <xdr:cNvPr id="1150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0693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388</xdr:row>
      <xdr:rowOff>19050</xdr:rowOff>
    </xdr:from>
    <xdr:to>
      <xdr:col>8</xdr:col>
      <xdr:colOff>181170</xdr:colOff>
      <xdr:row>388</xdr:row>
      <xdr:rowOff>142875</xdr:rowOff>
    </xdr:to>
    <xdr:pic>
      <xdr:nvPicPr>
        <xdr:cNvPr id="1154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02361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260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462</xdr:row>
      <xdr:rowOff>19050</xdr:rowOff>
    </xdr:from>
    <xdr:to>
      <xdr:col>10</xdr:col>
      <xdr:colOff>1</xdr:colOff>
      <xdr:row>462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447" name="261 Imagen" descr="nuevo icono.png">
          <a:extLst>
            <a:ext uri="{FF2B5EF4-FFF2-40B4-BE49-F238E27FC236}">
              <a16:creationId xmlns=""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247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480" name="261 Imagen" descr="nuevo icono.png">
          <a:extLst>
            <a:ext uri="{FF2B5EF4-FFF2-40B4-BE49-F238E27FC236}">
              <a16:creationId xmlns=""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=""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1332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9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410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104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50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58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486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404</xdr:row>
      <xdr:rowOff>19050</xdr:rowOff>
    </xdr:from>
    <xdr:to>
      <xdr:col>8</xdr:col>
      <xdr:colOff>181170</xdr:colOff>
      <xdr:row>404</xdr:row>
      <xdr:rowOff>142875</xdr:rowOff>
    </xdr:to>
    <xdr:pic>
      <xdr:nvPicPr>
        <xdr:cNvPr id="992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31793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=""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498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=""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499</xdr:row>
      <xdr:rowOff>19050</xdr:rowOff>
    </xdr:from>
    <xdr:to>
      <xdr:col>24</xdr:col>
      <xdr:colOff>48389</xdr:colOff>
      <xdr:row>499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493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494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61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1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1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51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465</xdr:row>
      <xdr:rowOff>19050</xdr:rowOff>
    </xdr:from>
    <xdr:to>
      <xdr:col>8</xdr:col>
      <xdr:colOff>181170</xdr:colOff>
      <xdr:row>465</xdr:row>
      <xdr:rowOff>142875</xdr:rowOff>
    </xdr:to>
    <xdr:pic>
      <xdr:nvPicPr>
        <xdr:cNvPr id="1535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408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368</xdr:row>
      <xdr:rowOff>19050</xdr:rowOff>
    </xdr:from>
    <xdr:to>
      <xdr:col>26</xdr:col>
      <xdr:colOff>9524</xdr:colOff>
      <xdr:row>368</xdr:row>
      <xdr:rowOff>142875</xdr:rowOff>
    </xdr:to>
    <xdr:pic>
      <xdr:nvPicPr>
        <xdr:cNvPr id="1039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703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=""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=""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=""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508</xdr:row>
      <xdr:rowOff>19050</xdr:rowOff>
    </xdr:from>
    <xdr:to>
      <xdr:col>8</xdr:col>
      <xdr:colOff>181170</xdr:colOff>
      <xdr:row>508</xdr:row>
      <xdr:rowOff>142875</xdr:rowOff>
    </xdr:to>
    <xdr:pic>
      <xdr:nvPicPr>
        <xdr:cNvPr id="1089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83336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109" name="Imagen 110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34390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8283</xdr:colOff>
      <xdr:row>407</xdr:row>
      <xdr:rowOff>16566</xdr:rowOff>
    </xdr:from>
    <xdr:to>
      <xdr:col>8</xdr:col>
      <xdr:colOff>179928</xdr:colOff>
      <xdr:row>407</xdr:row>
      <xdr:rowOff>140391</xdr:rowOff>
    </xdr:to>
    <xdr:pic>
      <xdr:nvPicPr>
        <xdr:cNvPr id="1132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2631" y="62351479"/>
          <a:ext cx="57749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379</xdr:row>
      <xdr:rowOff>16566</xdr:rowOff>
    </xdr:from>
    <xdr:to>
      <xdr:col>24</xdr:col>
      <xdr:colOff>46383</xdr:colOff>
      <xdr:row>379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369</xdr:row>
      <xdr:rowOff>16566</xdr:rowOff>
    </xdr:from>
    <xdr:to>
      <xdr:col>24</xdr:col>
      <xdr:colOff>46383</xdr:colOff>
      <xdr:row>369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=""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=""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=""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=""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8283</xdr:colOff>
      <xdr:row>28</xdr:row>
      <xdr:rowOff>16566</xdr:rowOff>
    </xdr:from>
    <xdr:to>
      <xdr:col>8</xdr:col>
      <xdr:colOff>160876</xdr:colOff>
      <xdr:row>28</xdr:row>
      <xdr:rowOff>140391</xdr:rowOff>
    </xdr:to>
    <xdr:pic>
      <xdr:nvPicPr>
        <xdr:cNvPr id="1140" name="962 Imagen" descr="AGOTADO ICONO.png">
          <a:extLst>
            <a:ext uri="{FF2B5EF4-FFF2-40B4-BE49-F238E27FC236}">
              <a16:creationId xmlns=""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066" y="4654827"/>
          <a:ext cx="57873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=""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351</xdr:row>
      <xdr:rowOff>16566</xdr:rowOff>
    </xdr:from>
    <xdr:to>
      <xdr:col>24</xdr:col>
      <xdr:colOff>46383</xdr:colOff>
      <xdr:row>351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495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295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295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277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=""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277</xdr:row>
      <xdr:rowOff>16566</xdr:rowOff>
    </xdr:from>
    <xdr:to>
      <xdr:col>25</xdr:col>
      <xdr:colOff>82577</xdr:colOff>
      <xdr:row>277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=""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=""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28575</xdr:rowOff>
    </xdr:from>
    <xdr:to>
      <xdr:col>1</xdr:col>
      <xdr:colOff>0</xdr:colOff>
      <xdr:row>624</xdr:row>
      <xdr:rowOff>133350</xdr:rowOff>
    </xdr:to>
    <xdr:pic>
      <xdr:nvPicPr>
        <xdr:cNvPr id="1007" name="242 Imagen" descr="oferta icono.png">
          <a:extLst>
            <a:ext uri="{FF2B5EF4-FFF2-40B4-BE49-F238E27FC236}">
              <a16:creationId xmlns=""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28575</xdr:rowOff>
    </xdr:from>
    <xdr:to>
      <xdr:col>1</xdr:col>
      <xdr:colOff>0</xdr:colOff>
      <xdr:row>625</xdr:row>
      <xdr:rowOff>133350</xdr:rowOff>
    </xdr:to>
    <xdr:pic>
      <xdr:nvPicPr>
        <xdr:cNvPr id="1077" name="242 Imagen" descr="oferta icono.png">
          <a:extLst>
            <a:ext uri="{FF2B5EF4-FFF2-40B4-BE49-F238E27FC236}">
              <a16:creationId xmlns=""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21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=""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21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=""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611</xdr:row>
      <xdr:rowOff>28575</xdr:rowOff>
    </xdr:from>
    <xdr:to>
      <xdr:col>1</xdr:col>
      <xdr:colOff>0</xdr:colOff>
      <xdr:row>611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611</xdr:row>
      <xdr:rowOff>19050</xdr:rowOff>
    </xdr:from>
    <xdr:to>
      <xdr:col>23</xdr:col>
      <xdr:colOff>439705</xdr:colOff>
      <xdr:row>611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=""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=""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=""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=""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214" name="365 Imagen" descr="laser fibra icono.png">
          <a:extLst>
            <a:ext uri="{FF2B5EF4-FFF2-40B4-BE49-F238E27FC236}">
              <a16:creationId xmlns=""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81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=""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=""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=""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=""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=""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=""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143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=""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518</xdr:row>
      <xdr:rowOff>19050</xdr:rowOff>
    </xdr:from>
    <xdr:to>
      <xdr:col>24</xdr:col>
      <xdr:colOff>75821</xdr:colOff>
      <xdr:row>518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612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=""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614</xdr:row>
      <xdr:rowOff>19050</xdr:rowOff>
    </xdr:from>
    <xdr:to>
      <xdr:col>23</xdr:col>
      <xdr:colOff>438149</xdr:colOff>
      <xdr:row>614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569</xdr:row>
      <xdr:rowOff>19050</xdr:rowOff>
    </xdr:from>
    <xdr:to>
      <xdr:col>10</xdr:col>
      <xdr:colOff>1</xdr:colOff>
      <xdr:row>569</xdr:row>
      <xdr:rowOff>142875</xdr:rowOff>
    </xdr:to>
    <xdr:pic>
      <xdr:nvPicPr>
        <xdr:cNvPr id="930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258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=""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=""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=""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=""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363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103</xdr:row>
      <xdr:rowOff>19050</xdr:rowOff>
    </xdr:from>
    <xdr:to>
      <xdr:col>8</xdr:col>
      <xdr:colOff>181170</xdr:colOff>
      <xdr:row>103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=""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198</xdr:row>
      <xdr:rowOff>19050</xdr:rowOff>
    </xdr:from>
    <xdr:to>
      <xdr:col>8</xdr:col>
      <xdr:colOff>181170</xdr:colOff>
      <xdr:row>198</xdr:row>
      <xdr:rowOff>142875</xdr:rowOff>
    </xdr:to>
    <xdr:pic>
      <xdr:nvPicPr>
        <xdr:cNvPr id="1236" name="962 Imagen" descr="AGOTADO ICONO.png">
          <a:extLst>
            <a:ext uri="{FF2B5EF4-FFF2-40B4-BE49-F238E27FC236}">
              <a16:creationId xmlns=""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7371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535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=""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360</xdr:row>
      <xdr:rowOff>19050</xdr:rowOff>
    </xdr:from>
    <xdr:to>
      <xdr:col>8</xdr:col>
      <xdr:colOff>171645</xdr:colOff>
      <xdr:row>360</xdr:row>
      <xdr:rowOff>142875</xdr:rowOff>
    </xdr:to>
    <xdr:pic>
      <xdr:nvPicPr>
        <xdr:cNvPr id="981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371</xdr:row>
      <xdr:rowOff>19050</xdr:rowOff>
    </xdr:from>
    <xdr:to>
      <xdr:col>8</xdr:col>
      <xdr:colOff>181170</xdr:colOff>
      <xdr:row>371</xdr:row>
      <xdr:rowOff>142875</xdr:rowOff>
    </xdr:to>
    <xdr:pic>
      <xdr:nvPicPr>
        <xdr:cNvPr id="1026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881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539</xdr:row>
      <xdr:rowOff>19050</xdr:rowOff>
    </xdr:from>
    <xdr:to>
      <xdr:col>8</xdr:col>
      <xdr:colOff>181170</xdr:colOff>
      <xdr:row>539</xdr:row>
      <xdr:rowOff>142875</xdr:rowOff>
    </xdr:to>
    <xdr:pic>
      <xdr:nvPicPr>
        <xdr:cNvPr id="1035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677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281</xdr:row>
      <xdr:rowOff>19050</xdr:rowOff>
    </xdr:from>
    <xdr:to>
      <xdr:col>8</xdr:col>
      <xdr:colOff>181170</xdr:colOff>
      <xdr:row>281</xdr:row>
      <xdr:rowOff>142875</xdr:rowOff>
    </xdr:to>
    <xdr:pic>
      <xdr:nvPicPr>
        <xdr:cNvPr id="1008" name="962 Imagen" descr="AGOTADO ICONO.png">
          <a:extLst>
            <a:ext uri="{FF2B5EF4-FFF2-40B4-BE49-F238E27FC236}">
              <a16:creationId xmlns=""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34244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=""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=""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375</xdr:row>
      <xdr:rowOff>19050</xdr:rowOff>
    </xdr:from>
    <xdr:to>
      <xdr:col>8</xdr:col>
      <xdr:colOff>181170</xdr:colOff>
      <xdr:row>375</xdr:row>
      <xdr:rowOff>142875</xdr:rowOff>
    </xdr:to>
    <xdr:pic>
      <xdr:nvPicPr>
        <xdr:cNvPr id="1075" name="1079 Imagen" descr="AGOTADO ICONO.png">
          <a:extLst>
            <a:ext uri="{FF2B5EF4-FFF2-40B4-BE49-F238E27FC236}">
              <a16:creationId xmlns=""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7797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24</xdr:row>
      <xdr:rowOff>19050</xdr:rowOff>
    </xdr:from>
    <xdr:to>
      <xdr:col>8</xdr:col>
      <xdr:colOff>393838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=""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666" TargetMode="External"/><Relationship Id="rId299" Type="http://schemas.openxmlformats.org/officeDocument/2006/relationships/hyperlink" Target="https://www.jivi.com.ar/ficha.php?id=1415" TargetMode="External"/><Relationship Id="rId21" Type="http://schemas.openxmlformats.org/officeDocument/2006/relationships/hyperlink" Target="https://www.jivi.com.ar/ficha.php?id=98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1006" TargetMode="External"/><Relationship Id="rId324" Type="http://schemas.openxmlformats.org/officeDocument/2006/relationships/hyperlink" Target="https://www.jivi.com.ar/ficha.php?id=1427" TargetMode="External"/><Relationship Id="rId366" Type="http://schemas.openxmlformats.org/officeDocument/2006/relationships/hyperlink" Target="https://www.jivi.com.ar/ficha.php?id=1494" TargetMode="External"/><Relationship Id="rId531" Type="http://schemas.openxmlformats.org/officeDocument/2006/relationships/hyperlink" Target="https://www.jivi.com.ar/ficha.php?id=1684" TargetMode="External"/><Relationship Id="rId170" Type="http://schemas.openxmlformats.org/officeDocument/2006/relationships/hyperlink" Target="https://www.jivi.com.ar/ficha.php?id=1059" TargetMode="External"/><Relationship Id="rId226" Type="http://schemas.openxmlformats.org/officeDocument/2006/relationships/hyperlink" Target="https://www.jivi.com.ar/ficha.php?id=920" TargetMode="External"/><Relationship Id="rId433" Type="http://schemas.openxmlformats.org/officeDocument/2006/relationships/hyperlink" Target="https://www.jivi.com.ar/ficha.php?id=1567" TargetMode="External"/><Relationship Id="rId268" Type="http://schemas.openxmlformats.org/officeDocument/2006/relationships/hyperlink" Target="https://www.jivi.com.ar/ficha.php?id=1383" TargetMode="External"/><Relationship Id="rId475" Type="http://schemas.openxmlformats.org/officeDocument/2006/relationships/hyperlink" Target="https://www.jivi.com.ar/ficha.php?id=1224" TargetMode="External"/><Relationship Id="rId32" Type="http://schemas.openxmlformats.org/officeDocument/2006/relationships/hyperlink" Target="https://www.jivi.com.ar/ficha.php?id=109" TargetMode="External"/><Relationship Id="rId74" Type="http://schemas.openxmlformats.org/officeDocument/2006/relationships/hyperlink" Target="https://www.jivi.com.ar/ficha.php?id=326" TargetMode="External"/><Relationship Id="rId128" Type="http://schemas.openxmlformats.org/officeDocument/2006/relationships/hyperlink" Target="https://www.jivi.com.ar/ficha.php?id=780" TargetMode="External"/><Relationship Id="rId335" Type="http://schemas.openxmlformats.org/officeDocument/2006/relationships/hyperlink" Target="https://www.jivi.com.ar/ficha.php?id=1449" TargetMode="External"/><Relationship Id="rId377" Type="http://schemas.openxmlformats.org/officeDocument/2006/relationships/hyperlink" Target="https://www.jivi.com.ar/ficha.php?id=1506" TargetMode="External"/><Relationship Id="rId500" Type="http://schemas.openxmlformats.org/officeDocument/2006/relationships/hyperlink" Target="https://www.jivi.com.ar/ficha.php?id=1620" TargetMode="External"/><Relationship Id="rId5" Type="http://schemas.openxmlformats.org/officeDocument/2006/relationships/hyperlink" Target="https://www.jivi.com.ar/ficha.php?id=725" TargetMode="External"/><Relationship Id="rId181" Type="http://schemas.openxmlformats.org/officeDocument/2006/relationships/hyperlink" Target="https://www.jivi.com.ar/ficha.php?id=1094" TargetMode="External"/><Relationship Id="rId237" Type="http://schemas.openxmlformats.org/officeDocument/2006/relationships/hyperlink" Target="https://www.jivi.com.ar/ficha.php?id=1280" TargetMode="External"/><Relationship Id="rId402" Type="http://schemas.openxmlformats.org/officeDocument/2006/relationships/hyperlink" Target="https://www.jivi.com.ar/ficha.php?id=1546" TargetMode="External"/><Relationship Id="rId279" Type="http://schemas.openxmlformats.org/officeDocument/2006/relationships/hyperlink" Target="https://www.jivi.com.ar/ficha.php?id=1343" TargetMode="External"/><Relationship Id="rId444" Type="http://schemas.openxmlformats.org/officeDocument/2006/relationships/hyperlink" Target="https://www.jivi.com.ar/ficha.php?id=1296" TargetMode="External"/><Relationship Id="rId486" Type="http://schemas.openxmlformats.org/officeDocument/2006/relationships/hyperlink" Target="https://www.jivi.com.ar/ficha.php?id=1610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62" TargetMode="External"/><Relationship Id="rId290" Type="http://schemas.openxmlformats.org/officeDocument/2006/relationships/hyperlink" Target="https://www.jivi.com.ar/ficha.php?id=1111" TargetMode="External"/><Relationship Id="rId304" Type="http://schemas.openxmlformats.org/officeDocument/2006/relationships/hyperlink" Target="https://www.jivi.com.ar/ficha.php?id=1418" TargetMode="External"/><Relationship Id="rId346" Type="http://schemas.openxmlformats.org/officeDocument/2006/relationships/hyperlink" Target="https://www.jivi.com.ar/ficha.php?id=1465" TargetMode="External"/><Relationship Id="rId388" Type="http://schemas.openxmlformats.org/officeDocument/2006/relationships/hyperlink" Target="https://www.jivi.com.ar/ficha.php?id=1665" TargetMode="External"/><Relationship Id="rId511" Type="http://schemas.openxmlformats.org/officeDocument/2006/relationships/hyperlink" Target="https://www.jivi.com.ar/ficha.php?id=1642" TargetMode="External"/><Relationship Id="rId85" Type="http://schemas.openxmlformats.org/officeDocument/2006/relationships/hyperlink" Target="https://www.jivi.com.ar/ficha.php?id=392" TargetMode="External"/><Relationship Id="rId150" Type="http://schemas.openxmlformats.org/officeDocument/2006/relationships/hyperlink" Target="https://www.jivi.com.ar/ficha.php?id=948" TargetMode="External"/><Relationship Id="rId192" Type="http://schemas.openxmlformats.org/officeDocument/2006/relationships/hyperlink" Target="https://www.jivi.com.ar/ficha.php?id=1157" TargetMode="External"/><Relationship Id="rId206" Type="http://schemas.openxmlformats.org/officeDocument/2006/relationships/hyperlink" Target="https://www.jivi.com.ar/ficha.php?id=1183" TargetMode="External"/><Relationship Id="rId413" Type="http://schemas.openxmlformats.org/officeDocument/2006/relationships/hyperlink" Target="https://www.jivi.com.ar/ficha.php?id=1555" TargetMode="External"/><Relationship Id="rId248" Type="http://schemas.openxmlformats.org/officeDocument/2006/relationships/hyperlink" Target="https://www.jivi.com.ar/ficha.php?id=1316" TargetMode="External"/><Relationship Id="rId455" Type="http://schemas.openxmlformats.org/officeDocument/2006/relationships/hyperlink" Target="https://www.jivi.com.ar/ficha.php?id=1584" TargetMode="External"/><Relationship Id="rId497" Type="http://schemas.openxmlformats.org/officeDocument/2006/relationships/hyperlink" Target="https://www.jivi.com.ar/ficha.php?id=1617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://whttps/www.jivi.com.ar/ficha.php?id=253" TargetMode="External"/><Relationship Id="rId315" Type="http://schemas.openxmlformats.org/officeDocument/2006/relationships/hyperlink" Target="https://www.jivi.com.ar/ficha.php?id=1431" TargetMode="External"/><Relationship Id="rId357" Type="http://schemas.openxmlformats.org/officeDocument/2006/relationships/hyperlink" Target="https://www.jivi.com.ar/ficha.php?id=1478" TargetMode="External"/><Relationship Id="rId522" Type="http://schemas.openxmlformats.org/officeDocument/2006/relationships/hyperlink" Target="https://www.jivi.com.ar/ficha.php?id=1657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48" TargetMode="External"/><Relationship Id="rId161" Type="http://schemas.openxmlformats.org/officeDocument/2006/relationships/hyperlink" Target="https://www.jivi.com.ar/ficha.php?id=251" TargetMode="External"/><Relationship Id="rId217" Type="http://schemas.openxmlformats.org/officeDocument/2006/relationships/hyperlink" Target="https://www.jivi.com.ar/ficha.php?id=1223" TargetMode="External"/><Relationship Id="rId399" Type="http://schemas.openxmlformats.org/officeDocument/2006/relationships/hyperlink" Target="https://www.jivi.com.ar/ficha.php?id=1542" TargetMode="External"/><Relationship Id="rId259" Type="http://schemas.openxmlformats.org/officeDocument/2006/relationships/hyperlink" Target="https://www.jivi.com.ar/ficha.php?id=1365" TargetMode="External"/><Relationship Id="rId424" Type="http://schemas.openxmlformats.org/officeDocument/2006/relationships/hyperlink" Target="https://www.jivi.com.ar/ficha.php?id=790" TargetMode="External"/><Relationship Id="rId466" Type="http://schemas.openxmlformats.org/officeDocument/2006/relationships/hyperlink" Target="https://www.jivi.com.ar/ficha.php?id=1594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619" TargetMode="External"/><Relationship Id="rId270" Type="http://schemas.openxmlformats.org/officeDocument/2006/relationships/hyperlink" Target="https://www.jivi.com.ar/ficha.php?id=1428" TargetMode="External"/><Relationship Id="rId326" Type="http://schemas.openxmlformats.org/officeDocument/2006/relationships/hyperlink" Target="https://www.jivi.com.ar/ficha.php?id=1056" TargetMode="External"/><Relationship Id="rId533" Type="http://schemas.openxmlformats.org/officeDocument/2006/relationships/hyperlink" Target="https://www.jivi.com.ar/ficha.php?id=1687" TargetMode="External"/><Relationship Id="rId65" Type="http://schemas.openxmlformats.org/officeDocument/2006/relationships/hyperlink" Target="https://www.jivi.com.ar/ficha.php?id=16" TargetMode="External"/><Relationship Id="rId130" Type="http://schemas.openxmlformats.org/officeDocument/2006/relationships/hyperlink" Target="https://www.jivi.com.ar/ficha.php?id=809" TargetMode="External"/><Relationship Id="rId368" Type="http://schemas.openxmlformats.org/officeDocument/2006/relationships/hyperlink" Target="https://www.jivi.com.ar/ficha.php?id=1496" TargetMode="External"/><Relationship Id="rId172" Type="http://schemas.openxmlformats.org/officeDocument/2006/relationships/hyperlink" Target="https://www.jivi.com.ar/ficha.php?id=1062" TargetMode="External"/><Relationship Id="rId228" Type="http://schemas.openxmlformats.org/officeDocument/2006/relationships/hyperlink" Target="https://www.jivi.com.ar/ficha.php?id=1248" TargetMode="External"/><Relationship Id="rId435" Type="http://schemas.openxmlformats.org/officeDocument/2006/relationships/hyperlink" Target="https://www.jivi.com.ar/ficha.php?id=1569" TargetMode="External"/><Relationship Id="rId477" Type="http://schemas.openxmlformats.org/officeDocument/2006/relationships/hyperlink" Target="https://www.jivi.com.ar/ficha.php?id=1605" TargetMode="External"/><Relationship Id="rId281" Type="http://schemas.openxmlformats.org/officeDocument/2006/relationships/hyperlink" Target="https://www.jivi.com.ar/ficha.php?id=872" TargetMode="External"/><Relationship Id="rId337" Type="http://schemas.openxmlformats.org/officeDocument/2006/relationships/hyperlink" Target="https://www.jivi.com.ar/ficha.php?id=1451" TargetMode="External"/><Relationship Id="rId502" Type="http://schemas.openxmlformats.org/officeDocument/2006/relationships/hyperlink" Target="https://www.jivi.com.ar/ficha.php?id=998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34" TargetMode="External"/><Relationship Id="rId141" Type="http://schemas.openxmlformats.org/officeDocument/2006/relationships/hyperlink" Target="https://www.jivi.com.ar/ficha.php?id=882" TargetMode="External"/><Relationship Id="rId379" Type="http://schemas.openxmlformats.org/officeDocument/2006/relationships/hyperlink" Target="https://www.jivi.com.ar/ficha.php?id=1508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7" TargetMode="External"/><Relationship Id="rId239" Type="http://schemas.openxmlformats.org/officeDocument/2006/relationships/hyperlink" Target="https://www.jivi.com.ar/ficha.php?id=378" TargetMode="External"/><Relationship Id="rId390" Type="http://schemas.openxmlformats.org/officeDocument/2006/relationships/hyperlink" Target="https://www.jivi.com.ar/ficha.php?id=1526" TargetMode="External"/><Relationship Id="rId404" Type="http://schemas.openxmlformats.org/officeDocument/2006/relationships/hyperlink" Target="https://www.jivi.com.ar/ficha.php?id=981" TargetMode="External"/><Relationship Id="rId446" Type="http://schemas.openxmlformats.org/officeDocument/2006/relationships/hyperlink" Target="https://www.jivi.com.ar/ficha.php?id=1249" TargetMode="External"/><Relationship Id="rId250" Type="http://schemas.openxmlformats.org/officeDocument/2006/relationships/hyperlink" Target="https://www.jivi.com.ar/ficha.php?id=1324" TargetMode="External"/><Relationship Id="rId292" Type="http://schemas.openxmlformats.org/officeDocument/2006/relationships/hyperlink" Target="https://www.jivi.com.ar/ficha.php?id=376" TargetMode="External"/><Relationship Id="rId306" Type="http://schemas.openxmlformats.org/officeDocument/2006/relationships/hyperlink" Target="https://www.jivi.com.ar/ficha.php?id=1420" TargetMode="External"/><Relationship Id="rId488" Type="http://schemas.openxmlformats.org/officeDocument/2006/relationships/hyperlink" Target="https://www.jivi.com.ar/ficha.php?id=1611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5" TargetMode="External"/><Relationship Id="rId110" Type="http://schemas.openxmlformats.org/officeDocument/2006/relationships/hyperlink" Target="https://www.jivi.com.ar/ficha.php?id=23" TargetMode="External"/><Relationship Id="rId348" Type="http://schemas.openxmlformats.org/officeDocument/2006/relationships/hyperlink" Target="https://www.jivi.com.ar/ficha.php?id=1467" TargetMode="External"/><Relationship Id="rId513" Type="http://schemas.openxmlformats.org/officeDocument/2006/relationships/hyperlink" Target="https://www.jivi.com.ar/ficha.php?id=1641" TargetMode="External"/><Relationship Id="rId152" Type="http://schemas.openxmlformats.org/officeDocument/2006/relationships/hyperlink" Target="https://www.jivi.com.ar/ficha.php?id=955" TargetMode="External"/><Relationship Id="rId194" Type="http://schemas.openxmlformats.org/officeDocument/2006/relationships/hyperlink" Target="https://www.jivi.com.ar/ficha.php?id=1141" TargetMode="External"/><Relationship Id="rId208" Type="http://schemas.openxmlformats.org/officeDocument/2006/relationships/hyperlink" Target="https://www.jivi.com.ar/ficha.php?id=349" TargetMode="External"/><Relationship Id="rId415" Type="http://schemas.openxmlformats.org/officeDocument/2006/relationships/hyperlink" Target="https://www.jivi.com.ar/ficha.php?id=1558" TargetMode="External"/><Relationship Id="rId457" Type="http://schemas.openxmlformats.org/officeDocument/2006/relationships/hyperlink" Target="https://www.jivi.com.ar/ficha.php?id=1587" TargetMode="External"/><Relationship Id="rId261" Type="http://schemas.openxmlformats.org/officeDocument/2006/relationships/hyperlink" Target="https://www.jivi.com.ar/registro.php" TargetMode="External"/><Relationship Id="rId499" Type="http://schemas.openxmlformats.org/officeDocument/2006/relationships/hyperlink" Target="https://www.jivi.com.ar/ficha.php?id=1619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33" TargetMode="External"/><Relationship Id="rId359" Type="http://schemas.openxmlformats.org/officeDocument/2006/relationships/hyperlink" Target="https://www.jivi.com.ar/ficha.php?id=1480" TargetMode="External"/><Relationship Id="rId524" Type="http://schemas.openxmlformats.org/officeDocument/2006/relationships/hyperlink" Target="https://www.jivi.com.ar/ficha.php?id=1660" TargetMode="External"/><Relationship Id="rId98" Type="http://schemas.openxmlformats.org/officeDocument/2006/relationships/hyperlink" Target="https://www.jivi.com.ar/ficha.php?id=621" TargetMode="External"/><Relationship Id="rId121" Type="http://schemas.openxmlformats.org/officeDocument/2006/relationships/hyperlink" Target="https://www.jivi.com.ar/ficha.php?id=214" TargetMode="External"/><Relationship Id="rId163" Type="http://schemas.openxmlformats.org/officeDocument/2006/relationships/hyperlink" Target="https://www.jivi.com.ar/ficha.php?id=1023" TargetMode="External"/><Relationship Id="rId219" Type="http://schemas.openxmlformats.org/officeDocument/2006/relationships/hyperlink" Target="https://www.jivi.com.ar/ficha.php?id=1224" TargetMode="External"/><Relationship Id="rId370" Type="http://schemas.openxmlformats.org/officeDocument/2006/relationships/hyperlink" Target="httphttps://www.jivi.com.ar/ficha.php?id=1498" TargetMode="External"/><Relationship Id="rId426" Type="http://schemas.openxmlformats.org/officeDocument/2006/relationships/hyperlink" Target="https://www.jivi.com.ar/ficha.php?id=1409" TargetMode="External"/><Relationship Id="rId230" Type="http://schemas.openxmlformats.org/officeDocument/2006/relationships/hyperlink" Target="https://www.jivi.com.ar/ficha.php?id=1124" TargetMode="External"/><Relationship Id="rId468" Type="http://schemas.openxmlformats.org/officeDocument/2006/relationships/hyperlink" Target="https://www.jivi.com.ar/ficha.php?id=1596" TargetMode="External"/><Relationship Id="rId25" Type="http://schemas.openxmlformats.org/officeDocument/2006/relationships/hyperlink" Target="https://www.jivi.com.ar/ficha.php?id=102" TargetMode="External"/><Relationship Id="rId46" Type="http://schemas.openxmlformats.org/officeDocument/2006/relationships/hyperlink" Target="https://www.jivi.com.ar/ficha.php?id=638" TargetMode="External"/><Relationship Id="rId67" Type="http://schemas.openxmlformats.org/officeDocument/2006/relationships/hyperlink" Target="https://www.jivi.com.ar/ficha.php?id=209" TargetMode="External"/><Relationship Id="rId272" Type="http://schemas.openxmlformats.org/officeDocument/2006/relationships/hyperlink" Target="https://www.jivi.com.ar/ficha.php?id=1386" TargetMode="External"/><Relationship Id="rId293" Type="http://schemas.openxmlformats.org/officeDocument/2006/relationships/hyperlink" Target="https://www.jivi.com.ar/ficha.php?id=1402" TargetMode="External"/><Relationship Id="rId307" Type="http://schemas.openxmlformats.org/officeDocument/2006/relationships/hyperlink" Target="https://www.jivi.com.ar/ficha.php?id=1421" TargetMode="External"/><Relationship Id="rId328" Type="http://schemas.openxmlformats.org/officeDocument/2006/relationships/hyperlink" Target="https://www.jivi.com.ar/ficha.php?id=1335" TargetMode="External"/><Relationship Id="rId349" Type="http://schemas.openxmlformats.org/officeDocument/2006/relationships/hyperlink" Target="https://www.jivi.com.ar/ficha.php?id=1468" TargetMode="External"/><Relationship Id="rId514" Type="http://schemas.openxmlformats.org/officeDocument/2006/relationships/hyperlink" Target="https://www.jivi.com.ar/ficha.php?id=1639" TargetMode="External"/><Relationship Id="rId535" Type="http://schemas.openxmlformats.org/officeDocument/2006/relationships/hyperlink" Target="https://www.jivi.com.ar/ficha.php?id=1690" TargetMode="External"/><Relationship Id="rId88" Type="http://schemas.openxmlformats.org/officeDocument/2006/relationships/hyperlink" Target="https://www.jivi.com.ar/ficha.php?id=136" TargetMode="External"/><Relationship Id="rId111" Type="http://schemas.openxmlformats.org/officeDocument/2006/relationships/hyperlink" Target="https://www.jivi.com.ar/ficha.php?id=220" TargetMode="External"/><Relationship Id="rId132" Type="http://schemas.openxmlformats.org/officeDocument/2006/relationships/hyperlink" Target="https://www.jivi.com.ar/ficha.php?id=707" TargetMode="External"/><Relationship Id="rId153" Type="http://schemas.openxmlformats.org/officeDocument/2006/relationships/hyperlink" Target="https://www.jivi.com.ar/ficha.php?id=956" TargetMode="External"/><Relationship Id="rId174" Type="http://schemas.openxmlformats.org/officeDocument/2006/relationships/hyperlink" Target="https://www.jivi.com.ar/ficha.php?id=1080" TargetMode="External"/><Relationship Id="rId195" Type="http://schemas.openxmlformats.org/officeDocument/2006/relationships/hyperlink" Target="hhttps://www.jivi.com.ar/ficha.php?id=1155" TargetMode="External"/><Relationship Id="rId209" Type="http://schemas.openxmlformats.org/officeDocument/2006/relationships/hyperlink" Target="https://www.jivi.com.ar/ficha.php?id=1190" TargetMode="External"/><Relationship Id="rId360" Type="http://schemas.openxmlformats.org/officeDocument/2006/relationships/hyperlink" Target="https://www.jivi.com.ar/ficha.php?id=1481" TargetMode="External"/><Relationship Id="rId381" Type="http://schemas.openxmlformats.org/officeDocument/2006/relationships/hyperlink" Target="https://www.jivi.com.ar/ficha.php?id=1511" TargetMode="External"/><Relationship Id="rId416" Type="http://schemas.openxmlformats.org/officeDocument/2006/relationships/hyperlink" Target="https://www.jivi.com.ar/ficha.php?id=518" TargetMode="External"/><Relationship Id="rId220" Type="http://schemas.openxmlformats.org/officeDocument/2006/relationships/hyperlink" Target="https://www.jivi.com.ar/ficha.php?id=1225" TargetMode="External"/><Relationship Id="rId241" Type="http://schemas.openxmlformats.org/officeDocument/2006/relationships/hyperlink" Target="https://www.jivi.com.ar/ficha.php?id=1302" TargetMode="External"/><Relationship Id="rId437" Type="http://schemas.openxmlformats.org/officeDocument/2006/relationships/hyperlink" Target="https://www.jivi.com.ar/ficha.php?id=1571" TargetMode="External"/><Relationship Id="rId458" Type="http://schemas.openxmlformats.org/officeDocument/2006/relationships/hyperlink" Target="https://www.jivi.com.ar/ficha.php?id=1221" TargetMode="External"/><Relationship Id="rId479" Type="http://schemas.openxmlformats.org/officeDocument/2006/relationships/hyperlink" Target="https://www.jivi.com.ar/ficha.php?id=1424" TargetMode="External"/><Relationship Id="rId15" Type="http://schemas.openxmlformats.org/officeDocument/2006/relationships/hyperlink" Target="https://www.jivi.com.ar/ficha.php?id=164" TargetMode="External"/><Relationship Id="rId36" Type="http://schemas.openxmlformats.org/officeDocument/2006/relationships/hyperlink" Target="https://www.jivi.com.ar/ficha.php?id=112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864" TargetMode="External"/><Relationship Id="rId283" Type="http://schemas.openxmlformats.org/officeDocument/2006/relationships/hyperlink" Target="https://www.jivi.com.ar/ficha.php?id=1399" TargetMode="External"/><Relationship Id="rId318" Type="http://schemas.openxmlformats.org/officeDocument/2006/relationships/hyperlink" Target="https://www.jivi.com.ar/ficha.php?id=1436" TargetMode="External"/><Relationship Id="rId339" Type="http://schemas.openxmlformats.org/officeDocument/2006/relationships/hyperlink" Target="https://www.jivi.com.ar/ficha.php?id=1064" TargetMode="External"/><Relationship Id="rId490" Type="http://schemas.openxmlformats.org/officeDocument/2006/relationships/hyperlink" Target="https://www.jivi.com.ar/ficha.php?id=1613" TargetMode="External"/><Relationship Id="rId504" Type="http://schemas.openxmlformats.org/officeDocument/2006/relationships/hyperlink" Target="https://www.jivi.com.ar/ficha.php?id=1621" TargetMode="External"/><Relationship Id="rId525" Type="http://schemas.openxmlformats.org/officeDocument/2006/relationships/hyperlink" Target="https://www.jivi.com.ar/ficha.php?id=1663" TargetMode="External"/><Relationship Id="rId78" Type="http://schemas.openxmlformats.org/officeDocument/2006/relationships/hyperlink" Target="https://www.jivi.com.ar/ficha.php?id=11" TargetMode="External"/><Relationship Id="rId99" Type="http://schemas.openxmlformats.org/officeDocument/2006/relationships/hyperlink" Target="https://www.jivi.com.ar/ficha.php?id=622" TargetMode="External"/><Relationship Id="rId101" Type="http://schemas.openxmlformats.org/officeDocument/2006/relationships/hyperlink" Target="https://www.jivi.com.ar/ficha.php?id=246" TargetMode="External"/><Relationship Id="rId122" Type="http://schemas.openxmlformats.org/officeDocument/2006/relationships/hyperlink" Target="https://www.jivi.com.ar/ficha.php?id=215" TargetMode="External"/><Relationship Id="rId143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024" TargetMode="External"/><Relationship Id="rId185" Type="http://schemas.openxmlformats.org/officeDocument/2006/relationships/hyperlink" Target="https://www.jivi.com.ar/ficha.php?id=885" TargetMode="External"/><Relationship Id="rId350" Type="http://schemas.openxmlformats.org/officeDocument/2006/relationships/hyperlink" Target="https://www.jivi.com.ar/ficha.php?id=1470" TargetMode="External"/><Relationship Id="rId371" Type="http://schemas.openxmlformats.org/officeDocument/2006/relationships/hyperlink" Target="https://www.jivi.com.ar/ficha.php?id=1499" TargetMode="External"/><Relationship Id="rId406" Type="http://schemas.openxmlformats.org/officeDocument/2006/relationships/hyperlink" Target="https://www.jivi.com.ar/ficha.php?id=1549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92" TargetMode="External"/><Relationship Id="rId392" Type="http://schemas.openxmlformats.org/officeDocument/2006/relationships/hyperlink" Target="https://www.jivi.com.ar/ficha.php?id=1532" TargetMode="External"/><Relationship Id="rId427" Type="http://schemas.openxmlformats.org/officeDocument/2006/relationships/hyperlink" Target="https://www.jivi.com.ar/ficha.php?id=1408" TargetMode="External"/><Relationship Id="rId448" Type="http://schemas.openxmlformats.org/officeDocument/2006/relationships/hyperlink" Target="https://www.jivi.com.ar/ficha.php?id=1574" TargetMode="External"/><Relationship Id="rId469" Type="http://schemas.openxmlformats.org/officeDocument/2006/relationships/hyperlink" Target="https://www.jivi.com.ar/ficha.php?id=1598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1" TargetMode="External"/><Relationship Id="rId252" Type="http://schemas.openxmlformats.org/officeDocument/2006/relationships/hyperlink" Target="https://www.jivi.com.ar/ficha.php?id=1344" TargetMode="External"/><Relationship Id="rId273" Type="http://schemas.openxmlformats.org/officeDocument/2006/relationships/hyperlink" Target="https://www.jivi.com.ar/ficha.php?id=1387" TargetMode="External"/><Relationship Id="rId294" Type="http://schemas.openxmlformats.org/officeDocument/2006/relationships/hyperlink" Target="https://www.jivi.com.ar/ficha.php?id=1403" TargetMode="External"/><Relationship Id="rId308" Type="http://schemas.openxmlformats.org/officeDocument/2006/relationships/hyperlink" Target="https://www.jivi.com.ar/ficha.php?id=1422" TargetMode="External"/><Relationship Id="rId329" Type="http://schemas.openxmlformats.org/officeDocument/2006/relationships/hyperlink" Target="https://www.jivi.com.ar/ficha.php?id=1443" TargetMode="External"/><Relationship Id="rId480" Type="http://schemas.openxmlformats.org/officeDocument/2006/relationships/hyperlink" Target="https://www.jivi.com.ar/ficha.php?id=1270" TargetMode="External"/><Relationship Id="rId515" Type="http://schemas.openxmlformats.org/officeDocument/2006/relationships/hyperlink" Target="https://www.jivi.com.ar/ficha.php?id=1638" TargetMode="External"/><Relationship Id="rId536" Type="http://schemas.openxmlformats.org/officeDocument/2006/relationships/hyperlink" Target="https://www.jivi.com.ar/ficha.php?id=1691" TargetMode="External"/><Relationship Id="rId47" Type="http://schemas.openxmlformats.org/officeDocument/2006/relationships/hyperlink" Target="https://www.jivi.com.ar/ficha.php?id=713" TargetMode="External"/><Relationship Id="rId68" Type="http://schemas.openxmlformats.org/officeDocument/2006/relationships/hyperlink" Target="https://www.jivi.com.ar/ficha.php?id=284" TargetMode="External"/><Relationship Id="rId89" Type="http://schemas.openxmlformats.org/officeDocument/2006/relationships/hyperlink" Target="https://www.jivi.com.ar/ficha.php?id=137" TargetMode="External"/><Relationship Id="rId112" Type="http://schemas.openxmlformats.org/officeDocument/2006/relationships/hyperlink" Target="https://www.jivi.com.ar/ficha.php?id=221" TargetMode="External"/><Relationship Id="rId133" Type="http://schemas.openxmlformats.org/officeDocument/2006/relationships/hyperlink" Target="https://www.jivi.com.ar/ficha.php?id=708" TargetMode="External"/><Relationship Id="rId154" Type="http://schemas.openxmlformats.org/officeDocument/2006/relationships/hyperlink" Target="https://www.jivi.com.ar/ficha.php?id=957" TargetMode="External"/><Relationship Id="rId175" Type="http://schemas.openxmlformats.org/officeDocument/2006/relationships/hyperlink" Target="https://www.jivi.com.ar/ficha.php?id=1079" TargetMode="External"/><Relationship Id="rId340" Type="http://schemas.openxmlformats.org/officeDocument/2006/relationships/hyperlink" Target="https://www.jivi.com.ar/ficha.php?id=1063" TargetMode="External"/><Relationship Id="rId361" Type="http://schemas.openxmlformats.org/officeDocument/2006/relationships/hyperlink" Target="https://www.jivi.com.ar/ficha.php?id=1483" TargetMode="External"/><Relationship Id="rId196" Type="http://schemas.openxmlformats.org/officeDocument/2006/relationships/hyperlink" Target="https://www.jivi.com.ar/ficha.php?id=1156" TargetMode="External"/><Relationship Id="rId200" Type="http://schemas.openxmlformats.org/officeDocument/2006/relationships/hyperlink" Target="https://www.jivi.com.ar/ficha.php?id=1172" TargetMode="External"/><Relationship Id="rId382" Type="http://schemas.openxmlformats.org/officeDocument/2006/relationships/hyperlink" Target="https://www.jivi.com.ar/ficha.php?id=1512" TargetMode="External"/><Relationship Id="rId417" Type="http://schemas.openxmlformats.org/officeDocument/2006/relationships/hyperlink" Target="https://www.jivi.com.ar/ficha.php?id=1559" TargetMode="External"/><Relationship Id="rId438" Type="http://schemas.openxmlformats.org/officeDocument/2006/relationships/hyperlink" Target="https://www.jivi.com.ar/ficha.php?id=1518" TargetMode="External"/><Relationship Id="rId459" Type="http://schemas.openxmlformats.org/officeDocument/2006/relationships/hyperlink" Target="https://www.jivi.com.ar/ficha.php?id=1588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226" TargetMode="External"/><Relationship Id="rId242" Type="http://schemas.openxmlformats.org/officeDocument/2006/relationships/hyperlink" Target="https://www.jivi.com.ar/ficha.php?id=1303" TargetMode="External"/><Relationship Id="rId263" Type="http://schemas.openxmlformats.org/officeDocument/2006/relationships/hyperlink" Target="https://www.jivi.com.ar/ficha.php?id=1372" TargetMode="External"/><Relationship Id="rId284" Type="http://schemas.openxmlformats.org/officeDocument/2006/relationships/hyperlink" Target="https://www.jivi.com.ar/ficha.php?id=1262" TargetMode="External"/><Relationship Id="rId319" Type="http://schemas.openxmlformats.org/officeDocument/2006/relationships/hyperlink" Target="https://www.jivi.com.ar/ficha.php?id=1437" TargetMode="External"/><Relationship Id="rId470" Type="http://schemas.openxmlformats.org/officeDocument/2006/relationships/hyperlink" Target="https://www.jivi.com.ar/ficha.php?id=1599" TargetMode="External"/><Relationship Id="rId491" Type="http://schemas.openxmlformats.org/officeDocument/2006/relationships/hyperlink" Target="https://www.jivi.com.ar/ficha.php?id=1319" TargetMode="External"/><Relationship Id="rId505" Type="http://schemas.openxmlformats.org/officeDocument/2006/relationships/hyperlink" Target="https://www.jivi.com.ar/ficha.php?id=139" TargetMode="External"/><Relationship Id="rId526" Type="http://schemas.openxmlformats.org/officeDocument/2006/relationships/hyperlink" Target="https://www.jivi.com.ar/ficha.php?id=440" TargetMode="External"/><Relationship Id="rId37" Type="http://schemas.openxmlformats.org/officeDocument/2006/relationships/hyperlink" Target="https://www.jivi.com.ar/ficha.php?id=114" TargetMode="External"/><Relationship Id="rId58" Type="http://schemas.openxmlformats.org/officeDocument/2006/relationships/hyperlink" Target="https://www.jivi.com.ar/ficha.php?id=121" TargetMode="External"/><Relationship Id="rId79" Type="http://schemas.openxmlformats.org/officeDocument/2006/relationships/hyperlink" Target="https://www.jivi.com.ar/ficha.php?id=394" TargetMode="External"/><Relationship Id="rId102" Type="http://schemas.openxmlformats.org/officeDocument/2006/relationships/hyperlink" Target="https://www.jivi.com.ar/ficha.php?id=431" TargetMode="External"/><Relationship Id="rId123" Type="http://schemas.openxmlformats.org/officeDocument/2006/relationships/hyperlink" Target="https://www.jivi.com.ar/ficha.php?id=358" TargetMode="External"/><Relationship Id="rId144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444" TargetMode="External"/><Relationship Id="rId90" Type="http://schemas.openxmlformats.org/officeDocument/2006/relationships/hyperlink" Target="https://www.jivi.com.ar/ficha.php?id=138" TargetMode="External"/><Relationship Id="rId165" Type="http://schemas.openxmlformats.org/officeDocument/2006/relationships/hyperlink" Target="https://www.jivi.com.ar/ficha.php?id=1025" TargetMode="External"/><Relationship Id="rId186" Type="http://schemas.openxmlformats.org/officeDocument/2006/relationships/hyperlink" Target="https://www.jivi.com.ar/ficha.php?id=1104" TargetMode="External"/><Relationship Id="rId351" Type="http://schemas.openxmlformats.org/officeDocument/2006/relationships/hyperlink" Target="https://www.jivi.com.ar/ficha.php?id=1471" TargetMode="External"/><Relationship Id="rId372" Type="http://schemas.openxmlformats.org/officeDocument/2006/relationships/hyperlink" Target="https://www.jivi.com.ar/ficha.php?id=1500" TargetMode="External"/><Relationship Id="rId393" Type="http://schemas.openxmlformats.org/officeDocument/2006/relationships/hyperlink" Target="https://www.jivi.com.ar/ficha.php?id=1534" TargetMode="External"/><Relationship Id="rId407" Type="http://schemas.openxmlformats.org/officeDocument/2006/relationships/hyperlink" Target="https://www.jivi.com.ar/ficha.php?id=1551" TargetMode="External"/><Relationship Id="rId428" Type="http://schemas.openxmlformats.org/officeDocument/2006/relationships/hyperlink" Target="https://www.jivi.com.ar/ficha.php?id=1564" TargetMode="External"/><Relationship Id="rId449" Type="http://schemas.openxmlformats.org/officeDocument/2006/relationships/hyperlink" Target="https://www.jivi.com.ar/ficha.php?id=1576" TargetMode="External"/><Relationship Id="rId211" Type="http://schemas.openxmlformats.org/officeDocument/2006/relationships/hyperlink" Target="https://www.jivi.com.ar/ficha.php?id=1181" TargetMode="External"/><Relationship Id="rId232" Type="http://schemas.openxmlformats.org/officeDocument/2006/relationships/hyperlink" Target="https://www.jivi.com.ar/ficha.php?id=1265" TargetMode="External"/><Relationship Id="rId253" Type="http://schemas.openxmlformats.org/officeDocument/2006/relationships/hyperlink" Target="https://www.jivi.com.ar/ficha.php?id=1333" TargetMode="External"/><Relationship Id="rId274" Type="http://schemas.openxmlformats.org/officeDocument/2006/relationships/hyperlink" Target="https://www.jivi.com.ar/ficha.php?id=1389" TargetMode="External"/><Relationship Id="rId295" Type="http://schemas.openxmlformats.org/officeDocument/2006/relationships/hyperlink" Target="https://www.jivi.com.ar/ficha.php?id=1393" TargetMode="External"/><Relationship Id="rId309" Type="http://schemas.openxmlformats.org/officeDocument/2006/relationships/hyperlink" Target="https://www.jivi.com.ar/ficha.php?id=1423" TargetMode="External"/><Relationship Id="rId460" Type="http://schemas.openxmlformats.org/officeDocument/2006/relationships/hyperlink" Target="https://www.jivi.com.ar/ficha.php?id=1411" TargetMode="External"/><Relationship Id="rId481" Type="http://schemas.openxmlformats.org/officeDocument/2006/relationships/hyperlink" Target="https://www.jivi.com.ar/ficha.php?id=1520" TargetMode="External"/><Relationship Id="rId516" Type="http://schemas.openxmlformats.org/officeDocument/2006/relationships/hyperlink" Target="https://www.jivi.com.ar/ficha.php?id=1654" TargetMode="External"/><Relationship Id="rId27" Type="http://schemas.openxmlformats.org/officeDocument/2006/relationships/hyperlink" Target="https://www.jivi.com.ar/ficha.php?id=104" TargetMode="External"/><Relationship Id="rId48" Type="http://schemas.openxmlformats.org/officeDocument/2006/relationships/hyperlink" Target="https://www.jivi.com.ar/ficha.php?id=714" TargetMode="External"/><Relationship Id="rId69" Type="http://schemas.openxmlformats.org/officeDocument/2006/relationships/hyperlink" Target="https://www.jivi.com.ar/ficha.php?id=60" TargetMode="External"/><Relationship Id="rId113" Type="http://schemas.openxmlformats.org/officeDocument/2006/relationships/hyperlink" Target="https://www.jivi.com.ar/ficha.php?id=398" TargetMode="External"/><Relationship Id="rId134" Type="http://schemas.openxmlformats.org/officeDocument/2006/relationships/hyperlink" Target="https://www.jivi.com.ar/ficha.php?id=709" TargetMode="External"/><Relationship Id="rId320" Type="http://schemas.openxmlformats.org/officeDocument/2006/relationships/hyperlink" Target="https://www.jivi.com.ar/ficha.php?id=1438" TargetMode="External"/><Relationship Id="rId537" Type="http://schemas.openxmlformats.org/officeDocument/2006/relationships/hyperlink" Target="https://www.jivi.com.ar/ficha.php?id=1692" TargetMode="External"/><Relationship Id="rId80" Type="http://schemas.openxmlformats.org/officeDocument/2006/relationships/hyperlink" Target="https://www.jivi.com.ar/ficha.php?id=145" TargetMode="External"/><Relationship Id="rId155" Type="http://schemas.openxmlformats.org/officeDocument/2006/relationships/hyperlink" Target="https://www.jivi.com.ar/ficha.php?id=308" TargetMode="External"/><Relationship Id="rId176" Type="http://schemas.openxmlformats.org/officeDocument/2006/relationships/hyperlink" Target="https://www.jivi.com.ar/ficha.php?id=1088" TargetMode="External"/><Relationship Id="rId197" Type="http://schemas.openxmlformats.org/officeDocument/2006/relationships/hyperlink" Target="https://www.jivi.com.ar/ficha.php?id=1153" TargetMode="External"/><Relationship Id="rId341" Type="http://schemas.openxmlformats.org/officeDocument/2006/relationships/hyperlink" Target="https://www.jivi.com.ar/ficha.php?id=1453" TargetMode="External"/><Relationship Id="rId362" Type="http://schemas.openxmlformats.org/officeDocument/2006/relationships/hyperlink" Target="https://www.jivi.com.ar/ficha.php?id=1486" TargetMode="External"/><Relationship Id="rId383" Type="http://schemas.openxmlformats.org/officeDocument/2006/relationships/hyperlink" Target="https://www.jivi.com.ar/ficha.php?id=1513" TargetMode="External"/><Relationship Id="rId418" Type="http://schemas.openxmlformats.org/officeDocument/2006/relationships/hyperlink" Target="https://www.jivi.com.ar/ficha.php?id=1561" TargetMode="External"/><Relationship Id="rId439" Type="http://schemas.openxmlformats.org/officeDocument/2006/relationships/hyperlink" Target="https://www.jivi.com.ar/ficha.php?id=218" TargetMode="External"/><Relationship Id="rId201" Type="http://schemas.openxmlformats.org/officeDocument/2006/relationships/hyperlink" Target="https://www.jivi.com.ar/ficha.php?id=975" TargetMode="External"/><Relationship Id="rId222" Type="http://schemas.openxmlformats.org/officeDocument/2006/relationships/hyperlink" Target="https://www.jivi.com.ar/ficha.php?id=919" TargetMode="External"/><Relationship Id="rId243" Type="http://schemas.openxmlformats.org/officeDocument/2006/relationships/hyperlink" Target="https://www.jivi.com.ar/ficha.php?id=1305" TargetMode="External"/><Relationship Id="rId264" Type="http://schemas.openxmlformats.org/officeDocument/2006/relationships/hyperlink" Target="https://www.jivi.com.ar/ficha.php?id=1376" TargetMode="External"/><Relationship Id="rId285" Type="http://schemas.openxmlformats.org/officeDocument/2006/relationships/hyperlink" Target="https://www.jivi.com.ar/ficha.php?id=1400" TargetMode="External"/><Relationship Id="rId450" Type="http://schemas.openxmlformats.org/officeDocument/2006/relationships/hyperlink" Target="https://www.jivi.com.ar/ficha.php?id=1577" TargetMode="External"/><Relationship Id="rId471" Type="http://schemas.openxmlformats.org/officeDocument/2006/relationships/hyperlink" Target="https://www.jivi.com.ar/ficha.php?id=1600" TargetMode="External"/><Relationship Id="rId506" Type="http://schemas.openxmlformats.org/officeDocument/2006/relationships/hyperlink" Target="https://www.jivi.com.ar/ficha.php?id=1634" TargetMode="External"/><Relationship Id="rId17" Type="http://schemas.openxmlformats.org/officeDocument/2006/relationships/hyperlink" Target="https://www.jivi.com.ar/ficha.php?id=92" TargetMode="External"/><Relationship Id="rId38" Type="http://schemas.openxmlformats.org/officeDocument/2006/relationships/hyperlink" Target="https://www.jivi.com.ar/ficha.php?id=115" TargetMode="External"/><Relationship Id="rId59" Type="http://schemas.openxmlformats.org/officeDocument/2006/relationships/hyperlink" Target="https://www.jivi.com.ar/ficha.php?id=122" TargetMode="External"/><Relationship Id="rId103" Type="http://schemas.openxmlformats.org/officeDocument/2006/relationships/hyperlink" Target="https://www.jivi.com.ar/ficha.php?id=728" TargetMode="External"/><Relationship Id="rId124" Type="http://schemas.openxmlformats.org/officeDocument/2006/relationships/hyperlink" Target="https://www.jivi.com.ar/ficha.php?id=354" TargetMode="External"/><Relationship Id="rId310" Type="http://schemas.openxmlformats.org/officeDocument/2006/relationships/hyperlink" Target="https://www.jivi.com.ar/ficha.php?id=1425" TargetMode="External"/><Relationship Id="rId492" Type="http://schemas.openxmlformats.org/officeDocument/2006/relationships/hyperlink" Target="https://www.jivi.com.ar/ficha.php?id=1614" TargetMode="External"/><Relationship Id="rId527" Type="http://schemas.openxmlformats.org/officeDocument/2006/relationships/hyperlink" Target="https://www.jivi.com.ar/ficha.php?id=1664" TargetMode="External"/><Relationship Id="rId70" Type="http://schemas.openxmlformats.org/officeDocument/2006/relationships/hyperlink" Target="https://www.jivi.com.ar/ficha.php?id=380" TargetMode="External"/><Relationship Id="rId91" Type="http://schemas.openxmlformats.org/officeDocument/2006/relationships/hyperlink" Target="https://www.jivi.com.ar/ficha.php?id=245" TargetMode="External"/><Relationship Id="rId145" Type="http://schemas.openxmlformats.org/officeDocument/2006/relationships/hyperlink" Target="https://www.jivi.com.ar/ficha.php?id=916" TargetMode="External"/><Relationship Id="rId166" Type="http://schemas.openxmlformats.org/officeDocument/2006/relationships/hyperlink" Target="https://www.jivi.com.ar/ficha.php?id=647" TargetMode="External"/><Relationship Id="rId187" Type="http://schemas.openxmlformats.org/officeDocument/2006/relationships/hyperlink" Target="https://www.jivi.com.ar/ficha.php?id=1108" TargetMode="External"/><Relationship Id="rId331" Type="http://schemas.openxmlformats.org/officeDocument/2006/relationships/hyperlink" Target="https://www.jivi.com.ar/ficha.php?id=1354" TargetMode="External"/><Relationship Id="rId352" Type="http://schemas.openxmlformats.org/officeDocument/2006/relationships/hyperlink" Target="https://www.jivi.com.ar/ficha.php?id=1472" TargetMode="External"/><Relationship Id="rId373" Type="http://schemas.openxmlformats.org/officeDocument/2006/relationships/hyperlink" Target="https://www.jivi.com.ar/ficha.php?id=1502" TargetMode="External"/><Relationship Id="rId394" Type="http://schemas.openxmlformats.org/officeDocument/2006/relationships/hyperlink" Target="https://www.jivi.com.ar/ficha.php?id=1535" TargetMode="External"/><Relationship Id="rId408" Type="http://schemas.openxmlformats.org/officeDocument/2006/relationships/hyperlink" Target="https://www.jivi.com.ar/ficha.php?id=1552" TargetMode="External"/><Relationship Id="rId429" Type="http://schemas.openxmlformats.org/officeDocument/2006/relationships/hyperlink" Target="https://www.jivi.com.ar/ficha.php?id=1565" TargetMode="External"/><Relationship Id="rId1" Type="http://schemas.openxmlformats.org/officeDocument/2006/relationships/hyperlink" Target="https://www.jivi.com.ar/ficha.php?id=25" TargetMode="External"/><Relationship Id="rId212" Type="http://schemas.openxmlformats.org/officeDocument/2006/relationships/hyperlink" Target="https://www.jivi.com.ar/ficha.php?id=1209" TargetMode="External"/><Relationship Id="rId233" Type="http://schemas.openxmlformats.org/officeDocument/2006/relationships/hyperlink" Target="https://www.jivi.com.ar/ficha.php?id=1267" TargetMode="External"/><Relationship Id="rId254" Type="http://schemas.openxmlformats.org/officeDocument/2006/relationships/hyperlink" Target="https://www.jivi.com.ar/ficha.php?id=1346" TargetMode="External"/><Relationship Id="rId440" Type="http://schemas.openxmlformats.org/officeDocument/2006/relationships/hyperlink" Target="https://www.jivi.com.ar/ficha.php?id=1572" TargetMode="External"/><Relationship Id="rId28" Type="http://schemas.openxmlformats.org/officeDocument/2006/relationships/hyperlink" Target="https://www.jivi.com.ar/ficha.php?id=105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765" TargetMode="External"/><Relationship Id="rId275" Type="http://schemas.openxmlformats.org/officeDocument/2006/relationships/hyperlink" Target="https://www.jivi.com.ar/ficha.php?id=1390" TargetMode="External"/><Relationship Id="rId296" Type="http://schemas.openxmlformats.org/officeDocument/2006/relationships/hyperlink" Target="https://www.jivi.com.ar/ficha.php?id=1405" TargetMode="External"/><Relationship Id="rId300" Type="http://schemas.openxmlformats.org/officeDocument/2006/relationships/hyperlink" Target="https://www.jivi.com.ar/ficha.php?id=1356" TargetMode="External"/><Relationship Id="rId461" Type="http://schemas.openxmlformats.org/officeDocument/2006/relationships/hyperlink" Target="https://www.jivi.com.ar/ficha.php?id=1589" TargetMode="External"/><Relationship Id="rId482" Type="http://schemas.openxmlformats.org/officeDocument/2006/relationships/hyperlink" Target="https://www.jivi.com.ar/ficha.php?id=1459" TargetMode="External"/><Relationship Id="rId517" Type="http://schemas.openxmlformats.org/officeDocument/2006/relationships/hyperlink" Target="https://www.jivi.com.ar/ficha.php?id=1637" TargetMode="External"/><Relationship Id="rId538" Type="http://schemas.openxmlformats.org/officeDocument/2006/relationships/printerSettings" Target="../printerSettings/printerSettings1.bin"/><Relationship Id="rId60" Type="http://schemas.openxmlformats.org/officeDocument/2006/relationships/hyperlink" Target="https://www.jivi.com.ar/ficha.php?id=123" TargetMode="External"/><Relationship Id="rId81" Type="http://schemas.openxmlformats.org/officeDocument/2006/relationships/hyperlink" Target="https://www.jivi.com.ar/ficha.php?id=18" TargetMode="External"/><Relationship Id="rId135" Type="http://schemas.openxmlformats.org/officeDocument/2006/relationships/hyperlink" Target="https://www.jivi.com.ar/ficha.php?id=840" TargetMode="External"/><Relationship Id="rId156" Type="http://schemas.openxmlformats.org/officeDocument/2006/relationships/hyperlink" Target="https://www.jivi.com.ar/ficha.php?id=967" TargetMode="External"/><Relationship Id="rId177" Type="http://schemas.openxmlformats.org/officeDocument/2006/relationships/hyperlink" Target="https://www.jivi.com.ar/ficha.php?id=1089" TargetMode="External"/><Relationship Id="rId198" Type="http://schemas.openxmlformats.org/officeDocument/2006/relationships/hyperlink" Target="https://www.jivi.com.ar/ficha.php?id=1152" TargetMode="External"/><Relationship Id="rId321" Type="http://schemas.openxmlformats.org/officeDocument/2006/relationships/hyperlink" Target="https://www.jivi.com.ar/ficha.php?id=1439" TargetMode="External"/><Relationship Id="rId342" Type="http://schemas.openxmlformats.org/officeDocument/2006/relationships/hyperlink" Target="https://www.jivi.com.ar/ficha.php?id=1454" TargetMode="External"/><Relationship Id="rId363" Type="http://schemas.openxmlformats.org/officeDocument/2006/relationships/hyperlink" Target="https://www.jivi.com.ar/ficha.php?id=1488" TargetMode="External"/><Relationship Id="rId384" Type="http://schemas.openxmlformats.org/officeDocument/2006/relationships/hyperlink" Target="https://www.jivi.com.ar/ficha.php?id=1515" TargetMode="External"/><Relationship Id="rId419" Type="http://schemas.openxmlformats.org/officeDocument/2006/relationships/hyperlink" Target="https://www.jivi.com.ar/ficha.php?id=26" TargetMode="External"/><Relationship Id="rId202" Type="http://schemas.openxmlformats.org/officeDocument/2006/relationships/hyperlink" Target="https://www.jivi.com.ar/ficha.php?id=488" TargetMode="External"/><Relationship Id="rId223" Type="http://schemas.openxmlformats.org/officeDocument/2006/relationships/hyperlink" Target="https://www.jivi.com.ar/ficha.php?id=1060" TargetMode="External"/><Relationship Id="rId244" Type="http://schemas.openxmlformats.org/officeDocument/2006/relationships/hyperlink" Target="https://www.jivi.com.ar/ficha.php?id=1306" TargetMode="External"/><Relationship Id="rId430" Type="http://schemas.openxmlformats.org/officeDocument/2006/relationships/hyperlink" Target="https://www.jivi.com.ar/ficha.php?id=1566" TargetMode="External"/><Relationship Id="rId18" Type="http://schemas.openxmlformats.org/officeDocument/2006/relationships/hyperlink" Target="https://www.jivi.com.ar/ficha.php?id=93" TargetMode="External"/><Relationship Id="rId39" Type="http://schemas.openxmlformats.org/officeDocument/2006/relationships/hyperlink" Target="https://www.jivi.com.ar/ficha.php?id=116" TargetMode="External"/><Relationship Id="rId265" Type="http://schemas.openxmlformats.org/officeDocument/2006/relationships/hyperlink" Target="https://www.jivi.com.ar/ficha.php?id=1378" TargetMode="External"/><Relationship Id="rId286" Type="http://schemas.openxmlformats.org/officeDocument/2006/relationships/hyperlink" Target="https://www.jivi.com.ar/ficha.php?id=1401" TargetMode="External"/><Relationship Id="rId451" Type="http://schemas.openxmlformats.org/officeDocument/2006/relationships/hyperlink" Target="https://www.jivi.com.ar/ficha.php?id=1580" TargetMode="External"/><Relationship Id="rId472" Type="http://schemas.openxmlformats.org/officeDocument/2006/relationships/hyperlink" Target="https://www.jivi.com.ar/ficha.php?id=1601" TargetMode="External"/><Relationship Id="rId493" Type="http://schemas.openxmlformats.org/officeDocument/2006/relationships/hyperlink" Target="https://www.jivi.com.ar/ficha.php?id=1452" TargetMode="External"/><Relationship Id="rId507" Type="http://schemas.openxmlformats.org/officeDocument/2006/relationships/hyperlink" Target="https://www.jivi.com.ar/ficha.php?id=1635" TargetMode="External"/><Relationship Id="rId528" Type="http://schemas.openxmlformats.org/officeDocument/2006/relationships/hyperlink" Target="https://www.jivi.com.ar/ficha.php?id=1662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48" TargetMode="External"/><Relationship Id="rId125" Type="http://schemas.openxmlformats.org/officeDocument/2006/relationships/hyperlink" Target="https://www.jivi.com.ar/ficha.php?id=238" TargetMode="External"/><Relationship Id="rId146" Type="http://schemas.openxmlformats.org/officeDocument/2006/relationships/hyperlink" Target="https://www.jivi.com.ar/ficha.php?id=918" TargetMode="External"/><Relationship Id="rId167" Type="http://schemas.openxmlformats.org/officeDocument/2006/relationships/hyperlink" Target="https://www.jivi.com.ar/ficha.php?id=1049" TargetMode="External"/><Relationship Id="rId188" Type="http://schemas.openxmlformats.org/officeDocument/2006/relationships/hyperlink" Target="https://www.jivi.com.ar/ficha.php?id=1116" TargetMode="External"/><Relationship Id="rId311" Type="http://schemas.openxmlformats.org/officeDocument/2006/relationships/hyperlink" Target="https://www.jivi.com.ar/ficha.php?id=1426" TargetMode="External"/><Relationship Id="rId332" Type="http://schemas.openxmlformats.org/officeDocument/2006/relationships/hyperlink" Target="https://www.jivi.com.ar/ficha.php?id=1446" TargetMode="External"/><Relationship Id="rId353" Type="http://schemas.openxmlformats.org/officeDocument/2006/relationships/hyperlink" Target="htthttps://www.jivi.com.ar/ficha.php?id=1476" TargetMode="External"/><Relationship Id="rId374" Type="http://schemas.openxmlformats.org/officeDocument/2006/relationships/hyperlink" Target="https://www.jivi.com.ar/ficha.php?id=1503" TargetMode="External"/><Relationship Id="rId395" Type="http://schemas.openxmlformats.org/officeDocument/2006/relationships/hyperlink" Target="https://www.jivi.com.ar/ficha.php?id=1536" TargetMode="External"/><Relationship Id="rId409" Type="http://schemas.openxmlformats.org/officeDocument/2006/relationships/hyperlink" Target="https://www.jivi.com.ar/ficha.php?id=1311" TargetMode="External"/><Relationship Id="rId71" Type="http://schemas.openxmlformats.org/officeDocument/2006/relationships/hyperlink" Target="https://www.jivi.com.ar/ficha.php?id=548" TargetMode="External"/><Relationship Id="rId92" Type="http://schemas.openxmlformats.org/officeDocument/2006/relationships/hyperlink" Target="https://www.jivi.com.ar/ficha.php?id=166" TargetMode="External"/><Relationship Id="rId213" Type="http://schemas.openxmlformats.org/officeDocument/2006/relationships/hyperlink" Target="https://www.jivi.com.ar/ficha.php?id=1218" TargetMode="External"/><Relationship Id="rId234" Type="http://schemas.openxmlformats.org/officeDocument/2006/relationships/hyperlink" Target="https://www.jivi.com.ar/ficha.php?id=1268" TargetMode="External"/><Relationship Id="rId420" Type="http://schemas.openxmlformats.org/officeDocument/2006/relationships/hyperlink" Target="https://www.jivi.com.ar/ficha.php?id=1066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55" Type="http://schemas.openxmlformats.org/officeDocument/2006/relationships/hyperlink" Target="https://www.jivi.com.ar/ficha.php?id=1347" TargetMode="External"/><Relationship Id="rId276" Type="http://schemas.openxmlformats.org/officeDocument/2006/relationships/hyperlink" Target="https://www.jivi.com.ar/ficha.php?id=1391" TargetMode="External"/><Relationship Id="rId297" Type="http://schemas.openxmlformats.org/officeDocument/2006/relationships/hyperlink" Target="https://www.jivi.com.ar/ficha.php?id=1413" TargetMode="External"/><Relationship Id="rId441" Type="http://schemas.openxmlformats.org/officeDocument/2006/relationships/hyperlink" Target="https://www.jivi.com.ar/ficha.php?id=1573" TargetMode="External"/><Relationship Id="rId462" Type="http://schemas.openxmlformats.org/officeDocument/2006/relationships/hyperlink" Target="https://www.jivi.com.ar/ficha.php?id=1590" TargetMode="External"/><Relationship Id="rId483" Type="http://schemas.openxmlformats.org/officeDocument/2006/relationships/hyperlink" Target="https://www.jivi.com.ar/ficha.php?id=1608" TargetMode="External"/><Relationship Id="rId518" Type="http://schemas.openxmlformats.org/officeDocument/2006/relationships/hyperlink" Target="https://www.jivi.com.ar/ficha.php?id=1652" TargetMode="External"/><Relationship Id="rId539" Type="http://schemas.openxmlformats.org/officeDocument/2006/relationships/drawing" Target="../drawings/drawing1.xml"/><Relationship Id="rId40" Type="http://schemas.openxmlformats.org/officeDocument/2006/relationships/hyperlink" Target="https://www.jivi.com.ar/ficha.php?id=117" TargetMode="External"/><Relationship Id="rId115" Type="http://schemas.openxmlformats.org/officeDocument/2006/relationships/hyperlink" Target="https://www.jivi.com.ar/ficha.php?id=568" TargetMode="External"/><Relationship Id="rId136" Type="http://schemas.openxmlformats.org/officeDocument/2006/relationships/hyperlink" Target="https://www.jivi.com.ar/ficha.php?id=846" TargetMode="External"/><Relationship Id="rId157" Type="http://schemas.openxmlformats.org/officeDocument/2006/relationships/hyperlink" Target="https://www.jivi.com.ar/ficha.php?id=973" TargetMode="External"/><Relationship Id="rId178" Type="http://schemas.openxmlformats.org/officeDocument/2006/relationships/hyperlink" Target="https://www.jivi.com.ar/ficha.php?id=1090" TargetMode="External"/><Relationship Id="rId301" Type="http://schemas.openxmlformats.org/officeDocument/2006/relationships/hyperlink" Target="https://www.jivi.com.ar/ficha.php?id=1084" TargetMode="External"/><Relationship Id="rId322" Type="http://schemas.openxmlformats.org/officeDocument/2006/relationships/hyperlink" Target="https://www.jivi.com.ar/ficha.php?id=1440" TargetMode="External"/><Relationship Id="rId343" Type="http://schemas.openxmlformats.org/officeDocument/2006/relationships/hyperlink" Target="https://www.jivi.com.ar/ficha.php?id=969" TargetMode="External"/><Relationship Id="rId364" Type="http://schemas.openxmlformats.org/officeDocument/2006/relationships/hyperlink" Target="https://www.jivi.com.ar/ficha.php?id=1492" TargetMode="External"/><Relationship Id="rId61" Type="http://schemas.openxmlformats.org/officeDocument/2006/relationships/hyperlink" Target="https://www.jivi.com.ar/ficha.php?id=124" TargetMode="External"/><Relationship Id="rId82" Type="http://schemas.openxmlformats.org/officeDocument/2006/relationships/hyperlink" Target="https://www.jivi.com.ar/ficha.php?id=19" TargetMode="External"/><Relationship Id="rId199" Type="http://schemas.openxmlformats.org/officeDocument/2006/relationships/hyperlink" Target="https://www.jivi.com.ar/ficha.php?id=1168" TargetMode="External"/><Relationship Id="rId203" Type="http://schemas.openxmlformats.org/officeDocument/2006/relationships/hyperlink" Target="https://www.jivi.com.ar/ficha.php?id=1175" TargetMode="External"/><Relationship Id="rId385" Type="http://schemas.openxmlformats.org/officeDocument/2006/relationships/hyperlink" Target="https://www.jivi.com.ar/ficha.php?id=1516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1232" TargetMode="External"/><Relationship Id="rId245" Type="http://schemas.openxmlformats.org/officeDocument/2006/relationships/hyperlink" Target="https://www.jivi.com.ar/ficha.php?id=1295" TargetMode="External"/><Relationship Id="rId266" Type="http://schemas.openxmlformats.org/officeDocument/2006/relationships/hyperlink" Target="https://www.jivi.com.ar/ficha.php?id=1381" TargetMode="External"/><Relationship Id="rId287" Type="http://schemas.openxmlformats.org/officeDocument/2006/relationships/hyperlink" Target="https://www.jivi.com.ar/ficha.php?id=1392" TargetMode="External"/><Relationship Id="rId410" Type="http://schemas.openxmlformats.org/officeDocument/2006/relationships/hyperlink" Target="https://www.jivi.com.ar/ficha.php?id=1553" TargetMode="External"/><Relationship Id="rId431" Type="http://schemas.openxmlformats.org/officeDocument/2006/relationships/hyperlink" Target="https://www.jivi.com.ar/ficha.php?id=1434" TargetMode="External"/><Relationship Id="rId452" Type="http://schemas.openxmlformats.org/officeDocument/2006/relationships/hyperlink" Target="https://www.jivi.com.ar/ficha.php?id=1581" TargetMode="External"/><Relationship Id="rId473" Type="http://schemas.openxmlformats.org/officeDocument/2006/relationships/hyperlink" Target="https://www.jivi.com.ar/ficha.php?id=1602" TargetMode="External"/><Relationship Id="rId494" Type="http://schemas.openxmlformats.org/officeDocument/2006/relationships/hyperlink" Target="https://www.jivi.com.ar/ficha.php?id=608" TargetMode="External"/><Relationship Id="rId508" Type="http://schemas.openxmlformats.org/officeDocument/2006/relationships/hyperlink" Target="https://www.jivi.com.ar/ficha.php?id=265" TargetMode="External"/><Relationship Id="rId529" Type="http://schemas.openxmlformats.org/officeDocument/2006/relationships/hyperlink" Target="https://www.jivi.com.ar/ficha.php?id=1666" TargetMode="External"/><Relationship Id="rId30" Type="http://schemas.openxmlformats.org/officeDocument/2006/relationships/hyperlink" Target="https://www.jivi.com.ar/ficha.php?id=107" TargetMode="External"/><Relationship Id="rId105" Type="http://schemas.openxmlformats.org/officeDocument/2006/relationships/hyperlink" Target="https://www.jivi.com.ar/ficha.php?id=181" TargetMode="External"/><Relationship Id="rId126" Type="http://schemas.openxmlformats.org/officeDocument/2006/relationships/hyperlink" Target="https://www.jivi.com.ar/ficha.php?id=234" TargetMode="External"/><Relationship Id="rId147" Type="http://schemas.openxmlformats.org/officeDocument/2006/relationships/hyperlink" Target="https://www.jivi.com.ar/ficha.php?id=926" TargetMode="External"/><Relationship Id="rId168" Type="http://schemas.openxmlformats.org/officeDocument/2006/relationships/hyperlink" Target="https://www.jivi.com.ar/ficha.php?id=1052" TargetMode="External"/><Relationship Id="rId312" Type="http://schemas.openxmlformats.org/officeDocument/2006/relationships/hyperlink" Target="https://www.jivi.com.ar/ficha.php?id=910" TargetMode="External"/><Relationship Id="rId333" Type="http://schemas.openxmlformats.org/officeDocument/2006/relationships/hyperlink" Target="https://www.jivi.com.ar/ficha.php?id=1447" TargetMode="External"/><Relationship Id="rId354" Type="http://schemas.openxmlformats.org/officeDocument/2006/relationships/hyperlink" Target="https://www.jivi.com.ar/ficha.php?id=995" TargetMode="External"/><Relationship Id="rId51" Type="http://schemas.openxmlformats.org/officeDocument/2006/relationships/hyperlink" Target="https://www.jivi.com.ar/ficha.php?id=406" TargetMode="External"/><Relationship Id="rId72" Type="http://schemas.openxmlformats.org/officeDocument/2006/relationships/hyperlink" Target="https://www.jivi.com.ar/ficha.php?id=501" TargetMode="External"/><Relationship Id="rId93" Type="http://schemas.openxmlformats.org/officeDocument/2006/relationships/hyperlink" Target="https://www.jivi.com.ar/ficha.php?id=171" TargetMode="External"/><Relationship Id="rId189" Type="http://schemas.openxmlformats.org/officeDocument/2006/relationships/hyperlink" Target="https://www.jivi.com.ar/ficha.php?id=1119" TargetMode="External"/><Relationship Id="rId375" Type="http://schemas.openxmlformats.org/officeDocument/2006/relationships/hyperlink" Target="https://www.jivi.com.ar/ficha.php?id=1504" TargetMode="External"/><Relationship Id="rId396" Type="http://schemas.openxmlformats.org/officeDocument/2006/relationships/hyperlink" Target="https://www.jivi.com.ar/ficha.php?id=1539" TargetMode="External"/><Relationship Id="rId3" Type="http://schemas.openxmlformats.org/officeDocument/2006/relationships/hyperlink" Target="https://www.jivi.com.ar/ficha.php?id=660" TargetMode="External"/><Relationship Id="rId214" Type="http://schemas.openxmlformats.org/officeDocument/2006/relationships/hyperlink" Target="https://www.jivi.com.ar/ficha.php?id=1219" TargetMode="External"/><Relationship Id="rId235" Type="http://schemas.openxmlformats.org/officeDocument/2006/relationships/hyperlink" Target="https://www.jivi.com.ar/ficha.php?id=1277" TargetMode="External"/><Relationship Id="rId256" Type="http://schemas.openxmlformats.org/officeDocument/2006/relationships/hyperlink" Target="https://www.jivi.com.ar/ficha.php?id=1348" TargetMode="External"/><Relationship Id="rId277" Type="http://schemas.openxmlformats.org/officeDocument/2006/relationships/hyperlink" Target="https://www.jivi.com.ar/ficha.php?id=363" TargetMode="External"/><Relationship Id="rId298" Type="http://schemas.openxmlformats.org/officeDocument/2006/relationships/hyperlink" Target="https://www.jivi.com.ar/ficha.php?id=1416" TargetMode="External"/><Relationship Id="rId400" Type="http://schemas.openxmlformats.org/officeDocument/2006/relationships/hyperlink" Target="https://www.jivi.com.ar/ficha.php?id=1363" TargetMode="External"/><Relationship Id="rId421" Type="http://schemas.openxmlformats.org/officeDocument/2006/relationships/hyperlink" Target="https://www.jivi.com.ar/ficha.php?id=1562" TargetMode="External"/><Relationship Id="rId442" Type="http://schemas.openxmlformats.org/officeDocument/2006/relationships/hyperlink" Target="https://www.jivi.com.ar/ficha.php?id=1294" TargetMode="External"/><Relationship Id="rId463" Type="http://schemas.openxmlformats.org/officeDocument/2006/relationships/hyperlink" Target="https://www.jivi.com.ar/ficha.php?id=1591" TargetMode="External"/><Relationship Id="rId484" Type="http://schemas.openxmlformats.org/officeDocument/2006/relationships/hyperlink" Target="https://www.jivi.com.ar/ficha.php?id=1609" TargetMode="External"/><Relationship Id="rId519" Type="http://schemas.openxmlformats.org/officeDocument/2006/relationships/hyperlink" Target="https://www.jivi.com.ar/ficha.php?id=1655" TargetMode="External"/><Relationship Id="rId116" Type="http://schemas.openxmlformats.org/officeDocument/2006/relationships/hyperlink" Target="https://www.jivi.com.ar/ficha.php?id=566" TargetMode="External"/><Relationship Id="rId137" Type="http://schemas.openxmlformats.org/officeDocument/2006/relationships/hyperlink" Target="https://www.jivi.com.ar/ficha.php?id=848" TargetMode="External"/><Relationship Id="rId158" Type="http://schemas.openxmlformats.org/officeDocument/2006/relationships/hyperlink" Target="https://www.jivi.com.ar/ficha.php?id=850" TargetMode="External"/><Relationship Id="rId302" Type="http://schemas.openxmlformats.org/officeDocument/2006/relationships/hyperlink" Target="https://www.jivi.com.ar/ficha.php?id=1353" TargetMode="External"/><Relationship Id="rId323" Type="http://schemas.openxmlformats.org/officeDocument/2006/relationships/hyperlink" Target="https://www.jivi.com.ar/ficha.php?id=1442" TargetMode="External"/><Relationship Id="rId344" Type="http://schemas.openxmlformats.org/officeDocument/2006/relationships/hyperlink" Target="https://www.jivi.com.ar/ficha.php?id=1463" TargetMode="External"/><Relationship Id="rId530" Type="http://schemas.openxmlformats.org/officeDocument/2006/relationships/hyperlink" Target="https://www.jivi.com.ar/ficha.php?id=1667" TargetMode="External"/><Relationship Id="rId20" Type="http://schemas.openxmlformats.org/officeDocument/2006/relationships/hyperlink" Target="https://www.jivi.com.ar/ficha.php?id=97" TargetMode="External"/><Relationship Id="rId41" Type="http://schemas.openxmlformats.org/officeDocument/2006/relationships/hyperlink" Target="https://www.jivi.com.ar/ficha.php?id=399" TargetMode="External"/><Relationship Id="rId62" Type="http://schemas.openxmlformats.org/officeDocument/2006/relationships/hyperlink" Target="https://www.jivi.com.ar/ficha.php?id=125" TargetMode="External"/><Relationship Id="rId83" Type="http://schemas.openxmlformats.org/officeDocument/2006/relationships/hyperlink" Target="https://www.jivi.com.ar/ficha.php?id=140" TargetMode="External"/><Relationship Id="rId179" Type="http://schemas.openxmlformats.org/officeDocument/2006/relationships/hyperlink" Target="https://www.jivi.com.ar/ficha.php?id=1091" TargetMode="External"/><Relationship Id="rId365" Type="http://schemas.openxmlformats.org/officeDocument/2006/relationships/hyperlink" Target="https://www.jivi.com.ar/ficha.php?id=1493" TargetMode="External"/><Relationship Id="rId386" Type="http://schemas.openxmlformats.org/officeDocument/2006/relationships/hyperlink" Target="https://www.jivi.com.ar/ficha.php?id=1517" TargetMode="External"/><Relationship Id="rId190" Type="http://schemas.openxmlformats.org/officeDocument/2006/relationships/hyperlink" Target="https://www.jivi.com.ar/ficha.php?id=1120" TargetMode="External"/><Relationship Id="rId204" Type="http://schemas.openxmlformats.org/officeDocument/2006/relationships/hyperlink" Target="https://www.jivi.com.ar/ficha.php?id=915" TargetMode="External"/><Relationship Id="rId225" Type="http://schemas.openxmlformats.org/officeDocument/2006/relationships/hyperlink" Target="https://www.jivi.com.ar/ficha.php?id=883" TargetMode="External"/><Relationship Id="rId246" Type="http://schemas.openxmlformats.org/officeDocument/2006/relationships/hyperlink" Target="https://www.jivi.com.ar/ficha.php?id=1287" TargetMode="External"/><Relationship Id="rId267" Type="http://schemas.openxmlformats.org/officeDocument/2006/relationships/hyperlink" Target="https://www.jivi.com.ar/ficha.php?id=1382" TargetMode="External"/><Relationship Id="rId288" Type="http://schemas.openxmlformats.org/officeDocument/2006/relationships/hyperlink" Target="https://www.jivi.com.ar/ficha.php?id=1230" TargetMode="External"/><Relationship Id="rId411" Type="http://schemas.openxmlformats.org/officeDocument/2006/relationships/hyperlink" Target="https://www.jivi.com.ar/ficha.php?id=1554" TargetMode="External"/><Relationship Id="rId432" Type="http://schemas.openxmlformats.org/officeDocument/2006/relationships/hyperlink" Target="https://www.jivi.com.ar/ficha.php?id=32" TargetMode="External"/><Relationship Id="rId453" Type="http://schemas.openxmlformats.org/officeDocument/2006/relationships/hyperlink" Target="https://www.jivi.com.ar/ficha.php?id=1582" TargetMode="External"/><Relationship Id="rId474" Type="http://schemas.openxmlformats.org/officeDocument/2006/relationships/hyperlink" Target="https://www.jivi.com.ar/ficha.php?id=1603" TargetMode="External"/><Relationship Id="rId509" Type="http://schemas.openxmlformats.org/officeDocument/2006/relationships/hyperlink" Target="https://www.jivi.com.ar/ficha.php?id=968" TargetMode="External"/><Relationship Id="rId106" Type="http://schemas.openxmlformats.org/officeDocument/2006/relationships/hyperlink" Target="https://www.jivi.com.ar/ficha.php?id=472" TargetMode="External"/><Relationship Id="rId127" Type="http://schemas.openxmlformats.org/officeDocument/2006/relationships/hyperlink" Target="https://www.jivi.com.ar/ficha.php?id=51" TargetMode="External"/><Relationship Id="rId313" Type="http://schemas.openxmlformats.org/officeDocument/2006/relationships/hyperlink" Target="https://www.jivi.com.ar/ficha.php?id=1429" TargetMode="External"/><Relationship Id="rId495" Type="http://schemas.openxmlformats.org/officeDocument/2006/relationships/hyperlink" Target="https://www.jivi.com.ar/ficha.php?id=1615" TargetMode="External"/><Relationship Id="rId10" Type="http://schemas.openxmlformats.org/officeDocument/2006/relationships/hyperlink" Target="https://www.jivi.com.ar/ficha.php?id=718" TargetMode="External"/><Relationship Id="rId31" Type="http://schemas.openxmlformats.org/officeDocument/2006/relationships/hyperlink" Target="https://www.jivi.com.ar/ficha.php?id=108" TargetMode="External"/><Relationship Id="rId52" Type="http://schemas.openxmlformats.org/officeDocument/2006/relationships/hyperlink" Target="https://www.jivi.com.ar/ficha.php?id=407" TargetMode="External"/><Relationship Id="rId73" Type="http://schemas.openxmlformats.org/officeDocument/2006/relationships/hyperlink" Target="https://www.jivi.com.ar/ficha.php?id=719" TargetMode="External"/><Relationship Id="rId94" Type="http://schemas.openxmlformats.org/officeDocument/2006/relationships/hyperlink" Target="https://www.jivi.com.ar/ficha.php?id=168" TargetMode="External"/><Relationship Id="rId148" Type="http://schemas.openxmlformats.org/officeDocument/2006/relationships/hyperlink" Target="https://www.jivi.com.ar/ficha.php?id=938" TargetMode="External"/><Relationship Id="rId169" Type="http://schemas.openxmlformats.org/officeDocument/2006/relationships/hyperlink" Target="https://www.jivi.com.ar/ficha.php?id=1046" TargetMode="External"/><Relationship Id="rId334" Type="http://schemas.openxmlformats.org/officeDocument/2006/relationships/hyperlink" Target="https://www.jivi.com.ar/ficha.php?id=1448" TargetMode="External"/><Relationship Id="rId355" Type="http://schemas.openxmlformats.org/officeDocument/2006/relationships/hyperlink" Target="https://www.jivi.com.ar/ficha.php?id=996" TargetMode="External"/><Relationship Id="rId376" Type="http://schemas.openxmlformats.org/officeDocument/2006/relationships/hyperlink" Target="https://www.jivi.com.ar/ficha.php?id=1505" TargetMode="External"/><Relationship Id="rId397" Type="http://schemas.openxmlformats.org/officeDocument/2006/relationships/hyperlink" Target="https://www.jivi.com.ar/ficha.php?id=1540" TargetMode="External"/><Relationship Id="rId520" Type="http://schemas.openxmlformats.org/officeDocument/2006/relationships/hyperlink" Target="https://www.jivi.com.ar/ficha.php?id=1640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5" TargetMode="External"/><Relationship Id="rId215" Type="http://schemas.openxmlformats.org/officeDocument/2006/relationships/hyperlink" Target="https://www.jivi.com.ar/ficha.php?id=1220" TargetMode="External"/><Relationship Id="rId236" Type="http://schemas.openxmlformats.org/officeDocument/2006/relationships/hyperlink" Target="https://www.jivi.com.ar/ficha.php?id=1278" TargetMode="External"/><Relationship Id="rId257" Type="http://schemas.openxmlformats.org/officeDocument/2006/relationships/hyperlink" Target="https://www.jivi.com.ar/ficha.php?id=1359" TargetMode="External"/><Relationship Id="rId278" Type="http://schemas.openxmlformats.org/officeDocument/2006/relationships/hyperlink" Target="https://www.jivi.com.ar/ficha.php?id=236" TargetMode="External"/><Relationship Id="rId401" Type="http://schemas.openxmlformats.org/officeDocument/2006/relationships/hyperlink" Target="https://www.jivi.com.ar/ficha.php?id=1545" TargetMode="External"/><Relationship Id="rId422" Type="http://schemas.openxmlformats.org/officeDocument/2006/relationships/hyperlink" Target="https://www.jivi.com.ar/ficha.php?id=1563" TargetMode="External"/><Relationship Id="rId443" Type="http://schemas.openxmlformats.org/officeDocument/2006/relationships/hyperlink" Target="https://www.jivi.com.ar/ficha.php?id=1271" TargetMode="External"/><Relationship Id="rId464" Type="http://schemas.openxmlformats.org/officeDocument/2006/relationships/hyperlink" Target="https://www.jivi.com.ar/ficha.php?id=1592" TargetMode="External"/><Relationship Id="rId303" Type="http://schemas.openxmlformats.org/officeDocument/2006/relationships/hyperlink" Target="https://www.jivi.com.ar/ficha.php?id=1419" TargetMode="External"/><Relationship Id="rId485" Type="http://schemas.openxmlformats.org/officeDocument/2006/relationships/hyperlink" Target="https://www.jivi.com.ar/ficha.php?id=1274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142" TargetMode="External"/><Relationship Id="rId138" Type="http://schemas.openxmlformats.org/officeDocument/2006/relationships/hyperlink" Target="https://www.jivi.com.ar/ficha.php?id=854" TargetMode="External"/><Relationship Id="rId345" Type="http://schemas.openxmlformats.org/officeDocument/2006/relationships/hyperlink" Target="https://www.jivi.com.ar/ficha.php?id=1464" TargetMode="External"/><Relationship Id="rId387" Type="http://schemas.openxmlformats.org/officeDocument/2006/relationships/hyperlink" Target="https://www.jivi.com.ar/ficha.php?id=1523" TargetMode="External"/><Relationship Id="rId510" Type="http://schemas.openxmlformats.org/officeDocument/2006/relationships/hyperlink" Target="https://www.jivi.com.ar/ficha.php?id=1643" TargetMode="External"/><Relationship Id="rId191" Type="http://schemas.openxmlformats.org/officeDocument/2006/relationships/hyperlink" Target="https://www.jivi.com.ar/ficha.php?id=1154" TargetMode="External"/><Relationship Id="rId205" Type="http://schemas.openxmlformats.org/officeDocument/2006/relationships/hyperlink" Target="https://www.jivi.com.ar/ficha.php?id=1182" TargetMode="External"/><Relationship Id="rId247" Type="http://schemas.openxmlformats.org/officeDocument/2006/relationships/hyperlink" Target="https://www.jivi.com.ar/ficha.php?id=1290" TargetMode="External"/><Relationship Id="rId412" Type="http://schemas.openxmlformats.org/officeDocument/2006/relationships/hyperlink" Target="https://www.jivi.com.ar/ficha.php?id=1397" TargetMode="External"/><Relationship Id="rId107" Type="http://schemas.openxmlformats.org/officeDocument/2006/relationships/hyperlink" Target="https://www.jivi.com.ar/ficha.php?id=473" TargetMode="External"/><Relationship Id="rId289" Type="http://schemas.openxmlformats.org/officeDocument/2006/relationships/hyperlink" Target="https://www.jivi.com.ar/ficha.php?id=1110" TargetMode="External"/><Relationship Id="rId454" Type="http://schemas.openxmlformats.org/officeDocument/2006/relationships/hyperlink" Target="https://www.jivi.com.ar/ficha.php?id=1583" TargetMode="External"/><Relationship Id="rId496" Type="http://schemas.openxmlformats.org/officeDocument/2006/relationships/hyperlink" Target="https://www.jivi.com.ar/ficha.php?id=1616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247" TargetMode="External"/><Relationship Id="rId314" Type="http://schemas.openxmlformats.org/officeDocument/2006/relationships/hyperlink" Target="https://www.jivi.com.ar/ficha.php?id=1458" TargetMode="External"/><Relationship Id="rId356" Type="http://schemas.openxmlformats.org/officeDocument/2006/relationships/hyperlink" Target="https://www.jivi.com.ar/ficha.php?id=835" TargetMode="External"/><Relationship Id="rId398" Type="http://schemas.openxmlformats.org/officeDocument/2006/relationships/hyperlink" Target="https://www.jivi.com.ar/ficha.php?id=1541" TargetMode="External"/><Relationship Id="rId521" Type="http://schemas.openxmlformats.org/officeDocument/2006/relationships/hyperlink" Target="https://www.jivi.com.ar/ficha.php?id=1656" TargetMode="External"/><Relationship Id="rId95" Type="http://schemas.openxmlformats.org/officeDocument/2006/relationships/hyperlink" Target="https://www.jivi.com.ar/ficha.php?id=169" TargetMode="External"/><Relationship Id="rId160" Type="http://schemas.openxmlformats.org/officeDocument/2006/relationships/hyperlink" Target="https://www.jivi.com.ar/ficha.php?id=250" TargetMode="External"/><Relationship Id="rId216" Type="http://schemas.openxmlformats.org/officeDocument/2006/relationships/hyperlink" Target="https://www.jivi.com.ar/ficha.php?id=1222" TargetMode="External"/><Relationship Id="rId423" Type="http://schemas.openxmlformats.org/officeDocument/2006/relationships/hyperlink" Target="https://www.jivi.com.ar/ficha.php?id=1414" TargetMode="External"/><Relationship Id="rId258" Type="http://schemas.openxmlformats.org/officeDocument/2006/relationships/hyperlink" Target="https://www.jivi.com.ar/ficha.php?id=1360" TargetMode="External"/><Relationship Id="rId465" Type="http://schemas.openxmlformats.org/officeDocument/2006/relationships/hyperlink" Target="https://www.jivi.com.ar/ficha.php?id=1593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463" TargetMode="External"/><Relationship Id="rId325" Type="http://schemas.openxmlformats.org/officeDocument/2006/relationships/hyperlink" Target="https://www.jivi.com.ar/ficha.php?id=216" TargetMode="External"/><Relationship Id="rId367" Type="http://schemas.openxmlformats.org/officeDocument/2006/relationships/hyperlink" Target="https://www.jivi.com.ar/ficha.php?id=1495" TargetMode="External"/><Relationship Id="rId532" Type="http://schemas.openxmlformats.org/officeDocument/2006/relationships/hyperlink" Target="https://www.jivi.com.ar/ficha.php?id=1272" TargetMode="External"/><Relationship Id="rId171" Type="http://schemas.openxmlformats.org/officeDocument/2006/relationships/hyperlink" Target="https://www.jivi.com.ar/ficha.php?id=1061" TargetMode="External"/><Relationship Id="rId227" Type="http://schemas.openxmlformats.org/officeDocument/2006/relationships/hyperlink" Target="https://www.jivi.com.ar/ficha.php?id=1055" TargetMode="External"/><Relationship Id="rId269" Type="http://schemas.openxmlformats.org/officeDocument/2006/relationships/hyperlink" Target="https://www.jivi.com.ar/ficha.php?id=1384" TargetMode="External"/><Relationship Id="rId434" Type="http://schemas.openxmlformats.org/officeDocument/2006/relationships/hyperlink" Target="https://www.jivi.com.ar/ficha.php?id=1568" TargetMode="External"/><Relationship Id="rId476" Type="http://schemas.openxmlformats.org/officeDocument/2006/relationships/hyperlink" Target="https://www.jivi.com.ar/ficha.php?id=1604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783" TargetMode="External"/><Relationship Id="rId280" Type="http://schemas.openxmlformats.org/officeDocument/2006/relationships/hyperlink" Target="https://www.jivi.com.ar/ficha.php?id=1394" TargetMode="External"/><Relationship Id="rId336" Type="http://schemas.openxmlformats.org/officeDocument/2006/relationships/hyperlink" Target="https://www.jivi.com.ar/ficha.php?id=1450" TargetMode="External"/><Relationship Id="rId501" Type="http://schemas.openxmlformats.org/officeDocument/2006/relationships/hyperlink" Target="https://www.jivi.com.ar/ficha.php?id=1355" TargetMode="External"/><Relationship Id="rId75" Type="http://schemas.openxmlformats.org/officeDocument/2006/relationships/hyperlink" Target="https://www.jivi.com.ar/ficha.php?id=211" TargetMode="External"/><Relationship Id="rId140" Type="http://schemas.openxmlformats.org/officeDocument/2006/relationships/hyperlink" Target="https://www.jivi.com.ar/ficha.php?id=888" TargetMode="External"/><Relationship Id="rId182" Type="http://schemas.openxmlformats.org/officeDocument/2006/relationships/hyperlink" Target="https://www.jivi.com.ar/ficha.php?id=297" TargetMode="External"/><Relationship Id="rId378" Type="http://schemas.openxmlformats.org/officeDocument/2006/relationships/hyperlink" Target="https://www.jivi.com.ar/ficha.php?id=1507" TargetMode="External"/><Relationship Id="rId403" Type="http://schemas.openxmlformats.org/officeDocument/2006/relationships/hyperlink" Target="https://www.jivi.com.ar/ficha.php?id=1547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991" TargetMode="External"/><Relationship Id="rId445" Type="http://schemas.openxmlformats.org/officeDocument/2006/relationships/hyperlink" Target="https://www.jivi.com.ar/ficha.php?id=1139" TargetMode="External"/><Relationship Id="rId487" Type="http://schemas.openxmlformats.org/officeDocument/2006/relationships/hyperlink" Target="https://www.jivi.com.ar/ficha.php?id=1396" TargetMode="External"/><Relationship Id="rId291" Type="http://schemas.openxmlformats.org/officeDocument/2006/relationships/hyperlink" Target="https://www.jivi.com.ar/ficha.php?id=477" TargetMode="External"/><Relationship Id="rId305" Type="http://schemas.openxmlformats.org/officeDocument/2006/relationships/hyperlink" Target="https://www.jivi.com.ar/ficha.php?id=1281" TargetMode="External"/><Relationship Id="rId347" Type="http://schemas.openxmlformats.org/officeDocument/2006/relationships/hyperlink" Target="https://www.jivi.com.ar/ficha.php?id=1466" TargetMode="External"/><Relationship Id="rId512" Type="http://schemas.openxmlformats.org/officeDocument/2006/relationships/hyperlink" Target="https://www.jivi.com.ar/ficha.php?id=1644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393" TargetMode="External"/><Relationship Id="rId151" Type="http://schemas.openxmlformats.org/officeDocument/2006/relationships/hyperlink" Target="https://www.jivi.com.ar/ficha.php?id=954" TargetMode="External"/><Relationship Id="rId389" Type="http://schemas.openxmlformats.org/officeDocument/2006/relationships/hyperlink" Target="https://www.jivi.com.ar/ficha.php?id=1524" TargetMode="External"/><Relationship Id="rId193" Type="http://schemas.openxmlformats.org/officeDocument/2006/relationships/hyperlink" Target="https://www.jivi.com.ar/ficha.php?id=1158" TargetMode="External"/><Relationship Id="rId207" Type="http://schemas.openxmlformats.org/officeDocument/2006/relationships/hyperlink" Target="https://www.jivi.com.ar/ficha.php?id=1185" TargetMode="External"/><Relationship Id="rId249" Type="http://schemas.openxmlformats.org/officeDocument/2006/relationships/hyperlink" Target="https://www.jivi.com.ar/ficha.php?id=1314" TargetMode="External"/><Relationship Id="rId414" Type="http://schemas.openxmlformats.org/officeDocument/2006/relationships/hyperlink" Target="https://www.jivi.com.ar/ficha.php?id=1557" TargetMode="External"/><Relationship Id="rId456" Type="http://schemas.openxmlformats.org/officeDocument/2006/relationships/hyperlink" Target="https://www.jivi.com.ar/ficha.php?id=1586" TargetMode="External"/><Relationship Id="rId498" Type="http://schemas.openxmlformats.org/officeDocument/2006/relationships/hyperlink" Target="https://www.jivi.com.ar/ficha.php?id=1618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52" TargetMode="External"/><Relationship Id="rId260" Type="http://schemas.openxmlformats.org/officeDocument/2006/relationships/hyperlink" Target="https://www.jivi.com.ar/ficha.php?id=1366" TargetMode="External"/><Relationship Id="rId316" Type="http://schemas.openxmlformats.org/officeDocument/2006/relationships/hyperlink" Target="https://www.jivi.com.ar/ficha.php?id=1432" TargetMode="External"/><Relationship Id="rId523" Type="http://schemas.openxmlformats.org/officeDocument/2006/relationships/hyperlink" Target="https://www.jivi.com.ar/ficha.php?id=1658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158" TargetMode="External"/><Relationship Id="rId120" Type="http://schemas.openxmlformats.org/officeDocument/2006/relationships/hyperlink" Target="https://www.jivi.com.ar/ficha.php?id=534" TargetMode="External"/><Relationship Id="rId358" Type="http://schemas.openxmlformats.org/officeDocument/2006/relationships/hyperlink" Target="https://www.jivi.com.ar/ficha.php?id=1479" TargetMode="External"/><Relationship Id="rId162" Type="http://schemas.openxmlformats.org/officeDocument/2006/relationships/hyperlink" Target="https://www.jivi.com.ar/ficha.php?id=1017" TargetMode="External"/><Relationship Id="rId218" Type="http://schemas.openxmlformats.org/officeDocument/2006/relationships/hyperlink" Target="https://www.jivi.com.ar/ficha.php?id=904" TargetMode="External"/><Relationship Id="rId425" Type="http://schemas.openxmlformats.org/officeDocument/2006/relationships/hyperlink" Target="https://www.jivi.com.ar/ficha.php?id=1407" TargetMode="External"/><Relationship Id="rId467" Type="http://schemas.openxmlformats.org/officeDocument/2006/relationships/hyperlink" Target="https://www.jivi.com.ar/ficha.php?id=1595" TargetMode="External"/><Relationship Id="rId271" Type="http://schemas.openxmlformats.org/officeDocument/2006/relationships/hyperlink" Target="https://www.jivi.com.ar/ficha.php?id=1385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55" TargetMode="External"/><Relationship Id="rId131" Type="http://schemas.openxmlformats.org/officeDocument/2006/relationships/hyperlink" Target="https://www.jivi.com.ar/ficha.php?id=76" TargetMode="External"/><Relationship Id="rId327" Type="http://schemas.openxmlformats.org/officeDocument/2006/relationships/hyperlink" Target="https://www.jivi.com.ar/ficha.php?id=1334" TargetMode="External"/><Relationship Id="rId369" Type="http://schemas.openxmlformats.org/officeDocument/2006/relationships/hyperlink" Target="https://www.jivi.com.ar/ficha.php?id=1497" TargetMode="External"/><Relationship Id="rId534" Type="http://schemas.openxmlformats.org/officeDocument/2006/relationships/hyperlink" Target="https://www.jivi.com.ar/ficha.php?id=1672" TargetMode="External"/><Relationship Id="rId173" Type="http://schemas.openxmlformats.org/officeDocument/2006/relationships/hyperlink" Target="https://www.jivi.com.ar/ficha.php?id=364" TargetMode="External"/><Relationship Id="rId229" Type="http://schemas.openxmlformats.org/officeDocument/2006/relationships/hyperlink" Target="https://www.jivi.com.ar/ficha.php?id=1253" TargetMode="External"/><Relationship Id="rId380" Type="http://schemas.openxmlformats.org/officeDocument/2006/relationships/hyperlink" Target="https://www.jivi.com.ar/ficha.php?id=1509" TargetMode="External"/><Relationship Id="rId436" Type="http://schemas.openxmlformats.org/officeDocument/2006/relationships/hyperlink" Target="https://www.jivi.com.ar/ficha.php?id=1570" TargetMode="External"/><Relationship Id="rId240" Type="http://schemas.openxmlformats.org/officeDocument/2006/relationships/hyperlink" Target="https://www.jivi.com.ar/ficha.php?id=1607" TargetMode="External"/><Relationship Id="rId478" Type="http://schemas.openxmlformats.org/officeDocument/2006/relationships/hyperlink" Target="https://www.jivi.com.ar/ficha.php?id=1606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0" TargetMode="External"/><Relationship Id="rId100" Type="http://schemas.openxmlformats.org/officeDocument/2006/relationships/hyperlink" Target="https://www.jivi.com.ar/ficha.php?id=456" TargetMode="External"/><Relationship Id="rId282" Type="http://schemas.openxmlformats.org/officeDocument/2006/relationships/hyperlink" Target="https://www.jivi.com.ar/ficha.php?id=1398" TargetMode="External"/><Relationship Id="rId338" Type="http://schemas.openxmlformats.org/officeDocument/2006/relationships/hyperlink" Target="https://www.jivi.com.ar/ficha.php?id=1560" TargetMode="External"/><Relationship Id="rId503" Type="http://schemas.openxmlformats.org/officeDocument/2006/relationships/hyperlink" Target="https://www.jivi.com.ar/ficha.php?id=1204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881" TargetMode="External"/><Relationship Id="rId184" Type="http://schemas.openxmlformats.org/officeDocument/2006/relationships/hyperlink" Target="https://www.jivi.com.ar/ficha.php?id=1098" TargetMode="External"/><Relationship Id="rId391" Type="http://schemas.openxmlformats.org/officeDocument/2006/relationships/hyperlink" Target="https://www.jivi.com.ar/ficha.php?id=1527" TargetMode="External"/><Relationship Id="rId405" Type="http://schemas.openxmlformats.org/officeDocument/2006/relationships/hyperlink" Target="https://www.jivi.com.ar/ficha.php?id=1548" TargetMode="External"/><Relationship Id="rId447" Type="http://schemas.openxmlformats.org/officeDocument/2006/relationships/hyperlink" Target="https://www.jivi.com.ar/ficha.php?id=1293" TargetMode="External"/><Relationship Id="rId251" Type="http://schemas.openxmlformats.org/officeDocument/2006/relationships/hyperlink" Target="https://www.jivi.com.ar/ficha.php?id=1336" TargetMode="External"/><Relationship Id="rId489" Type="http://schemas.openxmlformats.org/officeDocument/2006/relationships/hyperlink" Target="https://www.jivi.com.ar/ficha.php?id=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DQ1531"/>
  <sheetViews>
    <sheetView tabSelected="1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>
      <c r="A1" s="20"/>
      <c r="B1" s="1240" t="s">
        <v>0</v>
      </c>
      <c r="C1" s="1241"/>
      <c r="D1" s="1241"/>
      <c r="E1" s="1241"/>
      <c r="F1" s="1241"/>
      <c r="G1" s="1241"/>
      <c r="H1" s="1241"/>
      <c r="I1" s="1241"/>
      <c r="J1" s="1241"/>
      <c r="K1" s="1241"/>
      <c r="L1" s="1241"/>
      <c r="M1" s="1241"/>
      <c r="N1" s="1241"/>
      <c r="O1" s="1241"/>
      <c r="P1" s="1241"/>
      <c r="Q1" s="1241"/>
      <c r="R1" s="1241"/>
      <c r="S1" s="1241"/>
      <c r="T1" s="1241"/>
      <c r="U1" s="1241"/>
      <c r="V1" s="1241"/>
      <c r="W1" s="1242"/>
      <c r="X1" s="187">
        <v>1</v>
      </c>
      <c r="Y1" s="1221" t="s">
        <v>1</v>
      </c>
      <c r="Z1" s="1222"/>
      <c r="AA1" s="1222"/>
      <c r="AB1" s="1222"/>
      <c r="AC1" s="1222"/>
      <c r="AD1" s="1223"/>
      <c r="AE1" s="1218" t="s">
        <v>2</v>
      </c>
      <c r="AF1" s="1219"/>
      <c r="AG1" s="1219"/>
      <c r="AH1" s="1219"/>
      <c r="AI1" s="1220"/>
      <c r="AJ1" s="1216" t="s">
        <v>3</v>
      </c>
      <c r="AK1" s="62"/>
      <c r="AL1" s="62"/>
      <c r="AM1" s="60"/>
    </row>
    <row r="2" spans="1:39" ht="14.25" customHeight="1" thickBot="1">
      <c r="A2" s="20"/>
      <c r="B2" s="1272" t="s">
        <v>883</v>
      </c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  <c r="P2" s="1273"/>
      <c r="Q2" s="1273"/>
      <c r="R2" s="1273"/>
      <c r="S2" s="1273"/>
      <c r="T2" s="1273"/>
      <c r="U2" s="1273"/>
      <c r="V2" s="1274"/>
      <c r="W2" s="1275"/>
      <c r="X2" s="547">
        <v>863</v>
      </c>
      <c r="Y2" s="1266" t="s">
        <v>4</v>
      </c>
      <c r="Z2" s="1266"/>
      <c r="AA2" s="1266"/>
      <c r="AB2" s="1266"/>
      <c r="AC2" s="1266"/>
      <c r="AD2" s="1267"/>
      <c r="AE2" s="1226" t="s">
        <v>5</v>
      </c>
      <c r="AF2" s="1227"/>
      <c r="AG2" s="1227"/>
      <c r="AH2" s="629"/>
      <c r="AI2" s="630"/>
      <c r="AJ2" s="1217"/>
      <c r="AK2" s="200"/>
      <c r="AL2" s="200"/>
      <c r="AM2" s="60"/>
    </row>
    <row r="3" spans="1:39" ht="15.75" customHeight="1" thickBot="1">
      <c r="A3" s="20"/>
      <c r="B3" s="1243"/>
      <c r="C3" s="1244"/>
      <c r="D3" s="1245"/>
      <c r="E3" s="1259" t="s">
        <v>6</v>
      </c>
      <c r="F3" s="1260"/>
      <c r="G3" s="1260"/>
      <c r="H3" s="1260"/>
      <c r="I3" s="1260"/>
      <c r="J3" s="1260"/>
      <c r="K3" s="1260"/>
      <c r="L3" s="1260"/>
      <c r="M3" s="1260"/>
      <c r="N3" s="1260"/>
      <c r="O3" s="1260"/>
      <c r="P3" s="1260"/>
      <c r="Q3" s="1260"/>
      <c r="R3" s="1260"/>
      <c r="S3" s="1260"/>
      <c r="T3" s="1260"/>
      <c r="U3" s="1260"/>
      <c r="V3" s="1261"/>
      <c r="W3" s="1262"/>
      <c r="X3" s="1253" t="s">
        <v>454</v>
      </c>
      <c r="Y3" s="901"/>
      <c r="Z3" s="901"/>
      <c r="AA3" s="901"/>
      <c r="AB3" s="901"/>
      <c r="AC3" s="901"/>
      <c r="AD3" s="1254"/>
      <c r="AE3" s="1224"/>
      <c r="AF3" s="1225"/>
      <c r="AG3" s="1225"/>
      <c r="AH3" s="1225"/>
      <c r="AI3" s="1225"/>
      <c r="AJ3" s="15"/>
      <c r="AK3" s="15"/>
      <c r="AL3" s="15"/>
      <c r="AM3" s="61"/>
    </row>
    <row r="4" spans="1:39" ht="21.75" customHeight="1" thickBot="1">
      <c r="A4" s="20"/>
      <c r="B4" s="1246"/>
      <c r="C4" s="1244"/>
      <c r="D4" s="1245"/>
      <c r="E4" s="1263" t="s">
        <v>7</v>
      </c>
      <c r="F4" s="1264"/>
      <c r="G4" s="1264"/>
      <c r="H4" s="1264"/>
      <c r="I4" s="1264"/>
      <c r="J4" s="1264"/>
      <c r="K4" s="1264"/>
      <c r="L4" s="1264"/>
      <c r="M4" s="1264"/>
      <c r="N4" s="1264"/>
      <c r="O4" s="1264"/>
      <c r="P4" s="1264"/>
      <c r="Q4" s="1264"/>
      <c r="R4" s="1264"/>
      <c r="S4" s="1264"/>
      <c r="T4" s="1264"/>
      <c r="U4" s="1264"/>
      <c r="V4" s="1264"/>
      <c r="W4" s="1265"/>
      <c r="X4" s="1255"/>
      <c r="Y4" s="902"/>
      <c r="Z4" s="902"/>
      <c r="AA4" s="902"/>
      <c r="AB4" s="902"/>
      <c r="AC4" s="902"/>
      <c r="AD4" s="1256"/>
      <c r="AE4" s="1225"/>
      <c r="AF4" s="1225"/>
      <c r="AG4" s="1225"/>
      <c r="AH4" s="1225"/>
      <c r="AI4" s="1225"/>
      <c r="AJ4" s="15"/>
      <c r="AK4" s="15"/>
      <c r="AL4" s="15"/>
      <c r="AM4" s="61"/>
    </row>
    <row r="5" spans="1:39" ht="23.25" customHeight="1" thickBot="1">
      <c r="A5" s="20"/>
      <c r="B5" s="1247"/>
      <c r="C5" s="1248"/>
      <c r="D5" s="1249"/>
      <c r="E5" s="1250" t="s">
        <v>8</v>
      </c>
      <c r="F5" s="1251"/>
      <c r="G5" s="1251"/>
      <c r="H5" s="1251"/>
      <c r="I5" s="1251"/>
      <c r="J5" s="1251"/>
      <c r="K5" s="1251"/>
      <c r="L5" s="1251"/>
      <c r="M5" s="1251"/>
      <c r="N5" s="1251"/>
      <c r="O5" s="1251"/>
      <c r="P5" s="1251"/>
      <c r="Q5" s="1251"/>
      <c r="R5" s="1251"/>
      <c r="S5" s="1251"/>
      <c r="T5" s="1251"/>
      <c r="U5" s="1251"/>
      <c r="V5" s="1251"/>
      <c r="W5" s="1252"/>
      <c r="X5" s="1228"/>
      <c r="Y5" s="1229"/>
      <c r="Z5" s="1229"/>
      <c r="AA5" s="1229"/>
      <c r="AB5" s="1229"/>
      <c r="AC5" s="1229"/>
      <c r="AD5" s="1230"/>
      <c r="AE5" s="1194"/>
      <c r="AF5" s="1194"/>
      <c r="AG5" s="1194"/>
      <c r="AH5" s="1194"/>
      <c r="AI5" s="1194"/>
      <c r="AJ5" s="15"/>
      <c r="AK5" s="15"/>
      <c r="AL5" s="15"/>
      <c r="AM5" s="61"/>
    </row>
    <row r="6" spans="1:39" ht="12" customHeight="1" thickBot="1">
      <c r="A6" s="20"/>
      <c r="B6" s="1212" t="s">
        <v>9</v>
      </c>
      <c r="C6" s="1213"/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  <c r="Q6" s="1213"/>
      <c r="R6" s="1213"/>
      <c r="S6" s="1213"/>
      <c r="T6" s="1213"/>
      <c r="U6" s="1213"/>
      <c r="V6" s="1213"/>
      <c r="W6" s="1214"/>
      <c r="X6" s="1231"/>
      <c r="Y6" s="1232"/>
      <c r="Z6" s="1232"/>
      <c r="AA6" s="1232"/>
      <c r="AB6" s="1232"/>
      <c r="AC6" s="1232"/>
      <c r="AD6" s="1233"/>
      <c r="AE6" s="1194"/>
      <c r="AF6" s="1194"/>
      <c r="AG6" s="1194"/>
      <c r="AH6" s="1194"/>
      <c r="AI6" s="1194"/>
      <c r="AJ6" s="15"/>
      <c r="AK6" s="15"/>
      <c r="AL6" s="15"/>
      <c r="AM6" s="61"/>
    </row>
    <row r="7" spans="1:39" ht="13.5" customHeight="1" thickBot="1">
      <c r="A7" s="20"/>
      <c r="B7" s="1191" t="s">
        <v>10</v>
      </c>
      <c r="C7" s="1192"/>
      <c r="D7" s="1192"/>
      <c r="E7" s="1192"/>
      <c r="F7" s="1192"/>
      <c r="G7" s="1192"/>
      <c r="H7" s="1192"/>
      <c r="I7" s="1192"/>
      <c r="J7" s="1192"/>
      <c r="K7" s="1192"/>
      <c r="L7" s="1192"/>
      <c r="M7" s="1192"/>
      <c r="N7" s="1192"/>
      <c r="O7" s="1192"/>
      <c r="P7" s="1192"/>
      <c r="Q7" s="1192"/>
      <c r="R7" s="1192"/>
      <c r="S7" s="1192"/>
      <c r="T7" s="1192"/>
      <c r="U7" s="1192"/>
      <c r="V7" s="1192"/>
      <c r="W7" s="1193"/>
      <c r="X7" s="1234"/>
      <c r="Y7" s="1235"/>
      <c r="Z7" s="1235"/>
      <c r="AA7" s="1235"/>
      <c r="AB7" s="1235"/>
      <c r="AC7" s="1236"/>
      <c r="AD7" s="1237"/>
      <c r="AE7" s="1194"/>
      <c r="AF7" s="1194"/>
      <c r="AG7" s="1194"/>
      <c r="AH7" s="1194"/>
      <c r="AI7" s="1194"/>
    </row>
    <row r="8" spans="1:39" ht="14.25" customHeight="1">
      <c r="A8" s="20"/>
      <c r="B8" s="739" t="s">
        <v>11</v>
      </c>
      <c r="C8" s="965" t="s">
        <v>12</v>
      </c>
      <c r="D8" s="966"/>
      <c r="E8" s="966"/>
      <c r="F8" s="787" t="s">
        <v>13</v>
      </c>
      <c r="G8" s="787" t="s">
        <v>13</v>
      </c>
      <c r="H8" s="1019" t="s">
        <v>14</v>
      </c>
      <c r="I8" s="1019"/>
      <c r="J8" s="1020"/>
      <c r="K8" s="1020"/>
      <c r="L8" s="1020"/>
      <c r="M8" s="1020"/>
      <c r="N8" s="1020"/>
      <c r="O8" s="1020"/>
      <c r="P8" s="1020"/>
      <c r="Q8" s="1020"/>
      <c r="R8" s="1020"/>
      <c r="S8" s="1020"/>
      <c r="T8" s="1020"/>
      <c r="U8" s="1020"/>
      <c r="V8" s="1020"/>
      <c r="W8" s="1021"/>
      <c r="X8" s="777" t="s">
        <v>15</v>
      </c>
      <c r="Y8" s="778"/>
      <c r="Z8" s="778"/>
      <c r="AA8" s="1257"/>
      <c r="AB8" s="1238" t="s">
        <v>16</v>
      </c>
      <c r="AC8" s="1196" t="s">
        <v>17</v>
      </c>
      <c r="AD8" s="1197"/>
      <c r="AE8" s="1197"/>
      <c r="AF8" s="1197"/>
      <c r="AG8" s="1197"/>
      <c r="AH8" s="1197"/>
      <c r="AI8" s="1198"/>
    </row>
    <row r="9" spans="1:39" ht="11.25" customHeight="1" thickBot="1">
      <c r="A9" s="20"/>
      <c r="B9" s="740"/>
      <c r="C9" s="967"/>
      <c r="D9" s="967"/>
      <c r="E9" s="967"/>
      <c r="F9" s="788"/>
      <c r="G9" s="788"/>
      <c r="H9" s="363"/>
      <c r="I9" s="326" t="s">
        <v>318</v>
      </c>
      <c r="J9" s="330"/>
      <c r="K9" s="326" t="s">
        <v>18</v>
      </c>
      <c r="L9" s="331"/>
      <c r="M9" s="331" t="s">
        <v>19</v>
      </c>
      <c r="N9" s="331"/>
      <c r="O9" s="326" t="s">
        <v>20</v>
      </c>
      <c r="P9" s="331"/>
      <c r="Q9" s="331" t="s">
        <v>320</v>
      </c>
      <c r="R9" s="331"/>
      <c r="S9" s="331" t="s">
        <v>21</v>
      </c>
      <c r="T9" s="331"/>
      <c r="U9" s="331" t="s">
        <v>22</v>
      </c>
      <c r="V9" s="331"/>
      <c r="W9" s="333" t="s">
        <v>23</v>
      </c>
      <c r="X9" s="779"/>
      <c r="Y9" s="780"/>
      <c r="Z9" s="780"/>
      <c r="AA9" s="1258"/>
      <c r="AB9" s="1239"/>
      <c r="AC9" s="1199"/>
      <c r="AD9" s="1200"/>
      <c r="AE9" s="1200"/>
      <c r="AF9" s="1200"/>
      <c r="AG9" s="1200"/>
      <c r="AH9" s="1200"/>
      <c r="AI9" s="1201"/>
    </row>
    <row r="10" spans="1:39" ht="12.6" customHeight="1">
      <c r="A10" s="20"/>
      <c r="B10" s="790" t="s">
        <v>506</v>
      </c>
      <c r="C10" s="791"/>
      <c r="D10" s="791"/>
      <c r="E10" s="791"/>
      <c r="F10" s="410">
        <v>150</v>
      </c>
      <c r="G10" s="417">
        <f t="shared" ref="G10" si="0">+F10*$X$1</f>
        <v>150</v>
      </c>
      <c r="H10" s="377"/>
      <c r="I10" s="497"/>
      <c r="J10" s="113"/>
      <c r="K10" s="337"/>
      <c r="L10" s="113"/>
      <c r="M10" s="337"/>
      <c r="N10" s="113">
        <f>F10+32</f>
        <v>182</v>
      </c>
      <c r="O10" s="470">
        <f t="shared" ref="O10:O11" si="1">+N10*$X$1</f>
        <v>182</v>
      </c>
      <c r="P10" s="136">
        <f>F10+19</f>
        <v>169</v>
      </c>
      <c r="Q10" s="1268" t="s">
        <v>155</v>
      </c>
      <c r="R10" s="1269"/>
      <c r="S10" s="1269"/>
      <c r="T10" s="1270"/>
      <c r="U10" s="1270"/>
      <c r="V10" s="1270"/>
      <c r="W10" s="1271"/>
      <c r="X10" s="150"/>
      <c r="Y10" s="150"/>
      <c r="Z10" s="150"/>
      <c r="AA10" s="150"/>
      <c r="AB10" s="616">
        <v>11</v>
      </c>
      <c r="AE10" s="68"/>
      <c r="AF10" s="1195" t="s">
        <v>505</v>
      </c>
      <c r="AG10" s="1195"/>
      <c r="AH10" s="1195"/>
    </row>
    <row r="11" spans="1:39" ht="12.6" customHeight="1">
      <c r="A11" s="20"/>
      <c r="B11" s="757" t="s">
        <v>691</v>
      </c>
      <c r="C11" s="758"/>
      <c r="D11" s="758"/>
      <c r="E11" s="759"/>
      <c r="F11" s="382">
        <v>135</v>
      </c>
      <c r="G11" s="416">
        <f t="shared" ref="G11" si="2">+F11*$X$1</f>
        <v>135</v>
      </c>
      <c r="H11" s="370"/>
      <c r="I11" s="465"/>
      <c r="J11" s="528"/>
      <c r="K11" s="409"/>
      <c r="L11" s="528"/>
      <c r="M11" s="409"/>
      <c r="N11" s="528">
        <f>F11+32</f>
        <v>167</v>
      </c>
      <c r="O11" s="382">
        <f t="shared" si="1"/>
        <v>167</v>
      </c>
      <c r="P11" s="528">
        <f t="shared" ref="P11" si="3">F11+26</f>
        <v>161</v>
      </c>
      <c r="Q11" s="382">
        <f t="shared" ref="Q11" si="4">+P11*$X$1</f>
        <v>161</v>
      </c>
      <c r="R11" s="528">
        <f>F11+23</f>
        <v>158</v>
      </c>
      <c r="S11" s="382">
        <f t="shared" ref="S11" si="5">+R11*$X$1</f>
        <v>158</v>
      </c>
      <c r="T11" s="528">
        <f>F11+20</f>
        <v>155</v>
      </c>
      <c r="U11" s="382">
        <f t="shared" ref="U11" si="6">+T11*$X$1</f>
        <v>155</v>
      </c>
      <c r="V11" s="528">
        <f>F11+18</f>
        <v>153</v>
      </c>
      <c r="W11" s="382">
        <f t="shared" ref="W11" si="7">+V11*$X$1</f>
        <v>153</v>
      </c>
      <c r="X11" s="150"/>
      <c r="Y11" s="150"/>
      <c r="Z11" s="150"/>
      <c r="AA11" s="150"/>
      <c r="AB11" s="616">
        <v>13</v>
      </c>
      <c r="AE11" s="68"/>
      <c r="AF11" s="1195" t="s">
        <v>24</v>
      </c>
      <c r="AG11" s="1195"/>
      <c r="AH11" s="1195"/>
    </row>
    <row r="12" spans="1:39" ht="12.6" customHeight="1">
      <c r="A12" s="20"/>
      <c r="B12" s="837" t="s">
        <v>690</v>
      </c>
      <c r="C12" s="703"/>
      <c r="D12" s="703"/>
      <c r="E12" s="704"/>
      <c r="F12" s="381"/>
      <c r="G12" s="417"/>
      <c r="H12" s="377"/>
      <c r="I12" s="469"/>
      <c r="J12" s="421"/>
      <c r="K12" s="337"/>
      <c r="L12" s="421"/>
      <c r="M12" s="337"/>
      <c r="N12" s="113"/>
      <c r="O12" s="381"/>
      <c r="P12" s="377"/>
      <c r="Q12" s="469"/>
      <c r="R12" s="421"/>
      <c r="S12" s="381"/>
      <c r="T12" s="113">
        <f>F12+16</f>
        <v>16</v>
      </c>
      <c r="U12" s="337"/>
      <c r="V12" s="113">
        <f>F12+13</f>
        <v>13</v>
      </c>
      <c r="W12" s="381"/>
      <c r="X12" s="150"/>
      <c r="Y12" s="150"/>
      <c r="Z12" s="150"/>
      <c r="AA12" s="150"/>
      <c r="AB12" s="39"/>
      <c r="AE12" s="68"/>
      <c r="AF12" s="1195" t="s">
        <v>504</v>
      </c>
      <c r="AG12" s="1195"/>
      <c r="AH12" s="1195"/>
    </row>
    <row r="13" spans="1:39" ht="12.6" customHeight="1">
      <c r="A13" s="20"/>
      <c r="B13" s="789" t="s">
        <v>689</v>
      </c>
      <c r="C13" s="714"/>
      <c r="D13" s="714"/>
      <c r="E13" s="714"/>
      <c r="F13" s="382">
        <v>190</v>
      </c>
      <c r="G13" s="416">
        <f t="shared" ref="G13:G14" si="8">+F13*$X$1</f>
        <v>190</v>
      </c>
      <c r="H13" s="370"/>
      <c r="I13" s="465"/>
      <c r="J13" s="528"/>
      <c r="K13" s="409"/>
      <c r="L13" s="528"/>
      <c r="M13" s="409"/>
      <c r="N13" s="528">
        <f>F13+32</f>
        <v>222</v>
      </c>
      <c r="O13" s="382">
        <f t="shared" ref="O13:O14" si="9">+N13*$X$1</f>
        <v>222</v>
      </c>
      <c r="P13" s="528">
        <f t="shared" ref="P13" si="10">F13+26</f>
        <v>216</v>
      </c>
      <c r="Q13" s="382">
        <f t="shared" ref="Q13:Q14" si="11">+P13*$X$1</f>
        <v>216</v>
      </c>
      <c r="R13" s="528">
        <f>F13+23</f>
        <v>213</v>
      </c>
      <c r="S13" s="382">
        <f t="shared" ref="S13:S14" si="12">+R13*$X$1</f>
        <v>213</v>
      </c>
      <c r="T13" s="528">
        <f>F13+20</f>
        <v>210</v>
      </c>
      <c r="U13" s="382">
        <f t="shared" ref="U13:U14" si="13">+T13*$X$1</f>
        <v>210</v>
      </c>
      <c r="V13" s="528">
        <f>F13+18</f>
        <v>208</v>
      </c>
      <c r="W13" s="382">
        <f t="shared" ref="W13" si="14">+V13*$X$1</f>
        <v>208</v>
      </c>
      <c r="X13" s="150"/>
      <c r="Y13" s="150"/>
      <c r="Z13" s="150"/>
      <c r="AA13" s="150"/>
      <c r="AB13" s="616">
        <v>15</v>
      </c>
      <c r="AE13" s="68"/>
      <c r="AF13" s="1195" t="s">
        <v>443</v>
      </c>
      <c r="AG13" s="1195"/>
      <c r="AH13" s="1195"/>
      <c r="AI13" s="68"/>
      <c r="AK13" s="1035"/>
      <c r="AL13" s="1035"/>
      <c r="AM13" s="1035"/>
    </row>
    <row r="14" spans="1:39" ht="12.6" customHeight="1">
      <c r="A14" s="20"/>
      <c r="B14" s="837" t="s">
        <v>510</v>
      </c>
      <c r="C14" s="703"/>
      <c r="D14" s="703"/>
      <c r="E14" s="704"/>
      <c r="F14" s="439">
        <v>490</v>
      </c>
      <c r="G14" s="417">
        <f t="shared" si="8"/>
        <v>490</v>
      </c>
      <c r="H14" s="377"/>
      <c r="I14" s="464"/>
      <c r="J14" s="421">
        <f>F14+65</f>
        <v>555</v>
      </c>
      <c r="K14" s="381">
        <f t="shared" ref="K14" si="15">+J14*$X$1</f>
        <v>555</v>
      </c>
      <c r="L14" s="421">
        <f>F14+50</f>
        <v>540</v>
      </c>
      <c r="M14" s="381">
        <f t="shared" ref="M14" si="16">+L14*$X$1</f>
        <v>540</v>
      </c>
      <c r="N14" s="421">
        <f>F14+36</f>
        <v>526</v>
      </c>
      <c r="O14" s="381">
        <f t="shared" si="9"/>
        <v>526</v>
      </c>
      <c r="P14" s="421">
        <f>F14+33</f>
        <v>523</v>
      </c>
      <c r="Q14" s="381">
        <f t="shared" si="11"/>
        <v>523</v>
      </c>
      <c r="R14" s="421">
        <f>F14+30</f>
        <v>520</v>
      </c>
      <c r="S14" s="381">
        <f t="shared" si="12"/>
        <v>520</v>
      </c>
      <c r="T14" s="421">
        <f>F14+26</f>
        <v>516</v>
      </c>
      <c r="U14" s="381">
        <f t="shared" si="13"/>
        <v>516</v>
      </c>
      <c r="V14" s="421"/>
      <c r="W14" s="381"/>
      <c r="X14" s="150"/>
      <c r="Y14" s="150"/>
      <c r="Z14" s="150"/>
      <c r="AA14" s="150"/>
      <c r="AB14" s="616">
        <v>17</v>
      </c>
      <c r="AE14" s="68"/>
      <c r="AF14" s="1195" t="s">
        <v>444</v>
      </c>
      <c r="AG14" s="1195"/>
      <c r="AH14" s="1195"/>
      <c r="AI14" s="68"/>
      <c r="AK14" s="242"/>
      <c r="AL14" s="242"/>
      <c r="AM14" s="242"/>
    </row>
    <row r="15" spans="1:39" ht="12.6" customHeight="1">
      <c r="A15" s="20"/>
      <c r="B15" s="825" t="s">
        <v>509</v>
      </c>
      <c r="C15" s="724"/>
      <c r="D15" s="724"/>
      <c r="E15" s="725"/>
      <c r="F15" s="541"/>
      <c r="G15" s="382"/>
      <c r="H15" s="370"/>
      <c r="I15" s="465"/>
      <c r="J15" s="528"/>
      <c r="K15" s="382"/>
      <c r="L15" s="528"/>
      <c r="M15" s="382"/>
      <c r="N15" s="528"/>
      <c r="O15" s="382"/>
      <c r="P15" s="528"/>
      <c r="Q15" s="382"/>
      <c r="R15" s="528"/>
      <c r="S15" s="382"/>
      <c r="T15" s="528"/>
      <c r="U15" s="382"/>
      <c r="V15" s="528"/>
      <c r="W15" s="382"/>
      <c r="X15" s="695"/>
      <c r="Y15" s="961"/>
      <c r="Z15" s="961"/>
      <c r="AA15" s="962"/>
      <c r="AB15" s="616">
        <v>22</v>
      </c>
      <c r="AF15" s="1195" t="s">
        <v>25</v>
      </c>
      <c r="AG15" s="1195"/>
      <c r="AH15" s="1195"/>
    </row>
    <row r="16" spans="1:39" ht="12.6" customHeight="1">
      <c r="A16" s="106"/>
      <c r="B16" s="837" t="s">
        <v>27</v>
      </c>
      <c r="C16" s="703"/>
      <c r="D16" s="703"/>
      <c r="E16" s="704"/>
      <c r="F16" s="542">
        <f>4.1*X2</f>
        <v>3538.2999999999997</v>
      </c>
      <c r="G16" s="417">
        <f>+F16*$X$1</f>
        <v>3538.2999999999997</v>
      </c>
      <c r="H16" s="435">
        <f>F16+220</f>
        <v>3758.2999999999997</v>
      </c>
      <c r="I16" s="381">
        <f t="shared" ref="I16:I17" si="17">+H16*$X$1</f>
        <v>3758.2999999999997</v>
      </c>
      <c r="J16" s="421"/>
      <c r="K16" s="383"/>
      <c r="L16" s="421"/>
      <c r="M16" s="381"/>
      <c r="N16" s="421"/>
      <c r="O16" s="381"/>
      <c r="P16" s="113"/>
      <c r="Q16" s="1282" t="s">
        <v>155</v>
      </c>
      <c r="R16" s="1283"/>
      <c r="S16" s="1283"/>
      <c r="T16" s="1283"/>
      <c r="U16" s="1283"/>
      <c r="V16" s="1283"/>
      <c r="W16" s="1284"/>
      <c r="X16" s="695"/>
      <c r="Y16" s="729"/>
      <c r="Z16" s="729"/>
      <c r="AA16" s="696"/>
      <c r="AB16" s="616">
        <v>24</v>
      </c>
      <c r="AE16" s="79"/>
      <c r="AF16" s="1195" t="s">
        <v>26</v>
      </c>
      <c r="AG16" s="1195"/>
      <c r="AH16" s="1195"/>
      <c r="AI16" s="107"/>
      <c r="AJ16" s="108"/>
    </row>
    <row r="17" spans="1:37" ht="12.6" customHeight="1">
      <c r="A17" s="145"/>
      <c r="B17" s="825" t="s">
        <v>688</v>
      </c>
      <c r="C17" s="833"/>
      <c r="D17" s="833"/>
      <c r="E17" s="834"/>
      <c r="F17" s="541">
        <f>4.1*X2</f>
        <v>3538.2999999999997</v>
      </c>
      <c r="G17" s="416">
        <f>+F17*$X$1</f>
        <v>3538.2999999999997</v>
      </c>
      <c r="H17" s="435">
        <f>F17+220</f>
        <v>3758.2999999999997</v>
      </c>
      <c r="I17" s="382">
        <f t="shared" si="17"/>
        <v>3758.2999999999997</v>
      </c>
      <c r="J17" s="434"/>
      <c r="K17" s="384"/>
      <c r="L17" s="104"/>
      <c r="M17" s="384"/>
      <c r="N17" s="104">
        <f>F17+40</f>
        <v>3578.2999999999997</v>
      </c>
      <c r="O17" s="382"/>
      <c r="P17" s="370"/>
      <c r="Q17" s="1285" t="s">
        <v>155</v>
      </c>
      <c r="R17" s="1270"/>
      <c r="S17" s="1270"/>
      <c r="T17" s="1270"/>
      <c r="U17" s="1270"/>
      <c r="V17" s="1270"/>
      <c r="W17" s="1271"/>
      <c r="X17" s="310"/>
      <c r="Y17" s="220"/>
      <c r="Z17" s="220"/>
      <c r="AA17" s="219"/>
      <c r="AB17" s="616">
        <v>25</v>
      </c>
      <c r="AE17" s="79"/>
      <c r="AI17" s="107"/>
      <c r="AJ17" s="108"/>
    </row>
    <row r="18" spans="1:37" ht="12.6" customHeight="1">
      <c r="A18" s="106"/>
      <c r="B18" s="781" t="s">
        <v>502</v>
      </c>
      <c r="C18" s="919"/>
      <c r="D18" s="919"/>
      <c r="E18" s="919"/>
      <c r="F18" s="410"/>
      <c r="G18" s="411"/>
      <c r="H18" s="377"/>
      <c r="I18" s="469"/>
      <c r="J18" s="374"/>
      <c r="K18" s="383"/>
      <c r="L18" s="125"/>
      <c r="M18" s="383"/>
      <c r="N18" s="125"/>
      <c r="O18" s="381"/>
      <c r="P18" s="377"/>
      <c r="Q18" s="469"/>
      <c r="R18" s="374"/>
      <c r="S18" s="381"/>
      <c r="T18" s="125"/>
      <c r="U18" s="383"/>
      <c r="V18" s="125"/>
      <c r="W18" s="381"/>
      <c r="X18" s="310"/>
      <c r="Y18" s="273"/>
      <c r="Z18" s="273"/>
      <c r="AA18" s="272"/>
      <c r="AB18" s="616">
        <v>28</v>
      </c>
      <c r="AE18" s="79"/>
      <c r="AF18" s="1036" t="s">
        <v>516</v>
      </c>
      <c r="AG18" s="1036"/>
      <c r="AH18" s="1036"/>
      <c r="AI18" s="1037"/>
      <c r="AJ18" s="1037"/>
    </row>
    <row r="19" spans="1:37" ht="12.6" customHeight="1">
      <c r="A19" s="144"/>
      <c r="B19" s="825" t="s">
        <v>28</v>
      </c>
      <c r="C19" s="724"/>
      <c r="D19" s="724"/>
      <c r="E19" s="725"/>
      <c r="F19" s="382"/>
      <c r="G19" s="455"/>
      <c r="H19" s="370"/>
      <c r="I19" s="465"/>
      <c r="J19" s="102"/>
      <c r="K19" s="384"/>
      <c r="L19" s="102"/>
      <c r="M19" s="382"/>
      <c r="N19" s="102"/>
      <c r="O19" s="382"/>
      <c r="P19" s="112"/>
      <c r="Q19" s="382"/>
      <c r="R19" s="102"/>
      <c r="S19" s="382"/>
      <c r="T19" s="102"/>
      <c r="U19" s="382"/>
      <c r="V19" s="104"/>
      <c r="W19" s="382"/>
      <c r="X19" s="695"/>
      <c r="Y19" s="729"/>
      <c r="Z19" s="729"/>
      <c r="AA19" s="696"/>
      <c r="AB19" s="39"/>
      <c r="AF19" s="1036" t="s">
        <v>460</v>
      </c>
      <c r="AG19" s="1036"/>
      <c r="AH19" s="1036"/>
      <c r="AI19" s="1037"/>
      <c r="AJ19" s="1037"/>
    </row>
    <row r="20" spans="1:37" ht="12.6" customHeight="1">
      <c r="A20" s="20"/>
      <c r="B20" s="837" t="s">
        <v>29</v>
      </c>
      <c r="C20" s="703"/>
      <c r="D20" s="703"/>
      <c r="E20" s="704"/>
      <c r="F20" s="381">
        <v>2900</v>
      </c>
      <c r="G20" s="417">
        <f t="shared" ref="G20:G26" si="18">+F20*$X$1</f>
        <v>2900</v>
      </c>
      <c r="H20" s="435">
        <f>F20+220</f>
        <v>3120</v>
      </c>
      <c r="I20" s="381">
        <f t="shared" ref="I20:I21" si="19">+H20*$X$1</f>
        <v>3120</v>
      </c>
      <c r="J20" s="421">
        <f>F20+81</f>
        <v>2981</v>
      </c>
      <c r="K20" s="381">
        <f t="shared" ref="K20" si="20">+J20*$X$1</f>
        <v>2981</v>
      </c>
      <c r="L20" s="421">
        <f>F20+70</f>
        <v>2970</v>
      </c>
      <c r="M20" s="381">
        <f t="shared" ref="M20" si="21">+L20*$X$1</f>
        <v>2970</v>
      </c>
      <c r="N20" s="421">
        <f>F20+57</f>
        <v>2957</v>
      </c>
      <c r="O20" s="381">
        <f t="shared" ref="O20" si="22">+N20*$X$1</f>
        <v>2957</v>
      </c>
      <c r="P20" s="421">
        <f>F20+55</f>
        <v>2955</v>
      </c>
      <c r="Q20" s="381">
        <f t="shared" ref="Q20" si="23">+P20*$X$1</f>
        <v>2955</v>
      </c>
      <c r="R20" s="421">
        <f>F20+51</f>
        <v>2951</v>
      </c>
      <c r="S20" s="381">
        <f t="shared" ref="S20" si="24">+R20*$X$1</f>
        <v>2951</v>
      </c>
      <c r="T20" s="421">
        <f>F20+46</f>
        <v>2946</v>
      </c>
      <c r="U20" s="381">
        <f t="shared" ref="U20" si="25">+T20*$X$1</f>
        <v>2946</v>
      </c>
      <c r="V20" s="421"/>
      <c r="W20" s="381"/>
      <c r="X20" s="695"/>
      <c r="Y20" s="729"/>
      <c r="Z20" s="729"/>
      <c r="AA20" s="696"/>
      <c r="AB20" s="616" t="s">
        <v>30</v>
      </c>
      <c r="AE20" s="79"/>
      <c r="AF20" s="1036" t="s">
        <v>461</v>
      </c>
      <c r="AG20" s="1036"/>
      <c r="AH20" s="1036"/>
      <c r="AI20" s="1036"/>
      <c r="AJ20" s="80"/>
    </row>
    <row r="21" spans="1:37" ht="12.6" customHeight="1">
      <c r="A21" s="20"/>
      <c r="B21" s="789" t="s">
        <v>31</v>
      </c>
      <c r="C21" s="714"/>
      <c r="D21" s="714"/>
      <c r="E21" s="714"/>
      <c r="F21" s="382">
        <v>2900</v>
      </c>
      <c r="G21" s="416">
        <f t="shared" ref="G21" si="26">+F21*$X$1</f>
        <v>2900</v>
      </c>
      <c r="H21" s="435">
        <f>F21+220</f>
        <v>3120</v>
      </c>
      <c r="I21" s="382">
        <f t="shared" si="19"/>
        <v>3120</v>
      </c>
      <c r="J21" s="528">
        <f>F21+81</f>
        <v>2981</v>
      </c>
      <c r="K21" s="382">
        <f t="shared" ref="K21" si="27">+J21*$X$1</f>
        <v>2981</v>
      </c>
      <c r="L21" s="528">
        <f>F21+70</f>
        <v>2970</v>
      </c>
      <c r="M21" s="382">
        <f t="shared" ref="M21" si="28">+L21*$X$1</f>
        <v>2970</v>
      </c>
      <c r="N21" s="528">
        <f>F21+57</f>
        <v>2957</v>
      </c>
      <c r="O21" s="382">
        <f t="shared" ref="O21" si="29">+N21*$X$1</f>
        <v>2957</v>
      </c>
      <c r="P21" s="528">
        <f>F21+55</f>
        <v>2955</v>
      </c>
      <c r="Q21" s="382">
        <f t="shared" ref="Q21" si="30">+P21*$X$1</f>
        <v>2955</v>
      </c>
      <c r="R21" s="528">
        <f>F21+51</f>
        <v>2951</v>
      </c>
      <c r="S21" s="382">
        <f t="shared" ref="S21" si="31">+R21*$X$1</f>
        <v>2951</v>
      </c>
      <c r="T21" s="528">
        <f>F21+46</f>
        <v>2946</v>
      </c>
      <c r="U21" s="382">
        <f t="shared" ref="U21" si="32">+T21*$X$1</f>
        <v>2946</v>
      </c>
      <c r="V21" s="528"/>
      <c r="W21" s="382"/>
      <c r="X21" s="695"/>
      <c r="Y21" s="729"/>
      <c r="Z21" s="729"/>
      <c r="AA21" s="696"/>
      <c r="AB21" s="616" t="s">
        <v>32</v>
      </c>
      <c r="AE21" s="79"/>
      <c r="AF21" s="1036" t="s">
        <v>484</v>
      </c>
      <c r="AG21" s="1036"/>
      <c r="AH21" s="1036"/>
      <c r="AI21" s="1036"/>
      <c r="AJ21" s="1037"/>
    </row>
    <row r="22" spans="1:37" ht="12.6" customHeight="1">
      <c r="A22" s="20"/>
      <c r="B22" s="781" t="s">
        <v>412</v>
      </c>
      <c r="C22" s="698"/>
      <c r="D22" s="698"/>
      <c r="E22" s="698"/>
      <c r="F22" s="381">
        <v>595</v>
      </c>
      <c r="G22" s="476">
        <f t="shared" si="18"/>
        <v>595</v>
      </c>
      <c r="H22" s="377"/>
      <c r="I22" s="498"/>
      <c r="J22" s="238"/>
      <c r="K22" s="383"/>
      <c r="L22" s="125"/>
      <c r="M22" s="383"/>
      <c r="N22" s="125"/>
      <c r="O22" s="381"/>
      <c r="P22" s="371"/>
      <c r="Q22" s="464"/>
      <c r="R22" s="421"/>
      <c r="S22" s="381"/>
      <c r="T22" s="421"/>
      <c r="U22" s="381"/>
      <c r="V22" s="421"/>
      <c r="W22" s="381"/>
      <c r="X22" s="150"/>
      <c r="Y22" s="150"/>
      <c r="Z22" s="150"/>
      <c r="AA22" s="150"/>
      <c r="AB22" s="616">
        <v>35</v>
      </c>
      <c r="AE22" s="79"/>
      <c r="AF22" s="1036" t="s">
        <v>413</v>
      </c>
      <c r="AG22" s="1037"/>
      <c r="AH22" s="1037"/>
      <c r="AI22" s="1037"/>
      <c r="AJ22" s="80"/>
    </row>
    <row r="23" spans="1:37" ht="12.6" customHeight="1">
      <c r="A23" s="20"/>
      <c r="B23" s="789" t="s">
        <v>411</v>
      </c>
      <c r="C23" s="714"/>
      <c r="D23" s="714"/>
      <c r="E23" s="714"/>
      <c r="F23" s="382">
        <v>1930</v>
      </c>
      <c r="G23" s="455">
        <f t="shared" si="18"/>
        <v>1930</v>
      </c>
      <c r="H23" s="370"/>
      <c r="I23" s="465"/>
      <c r="J23" s="138"/>
      <c r="K23" s="382"/>
      <c r="L23" s="528"/>
      <c r="M23" s="382"/>
      <c r="N23" s="528"/>
      <c r="O23" s="382"/>
      <c r="P23" s="370"/>
      <c r="Q23" s="465"/>
      <c r="R23" s="528"/>
      <c r="S23" s="499"/>
      <c r="T23" s="112"/>
      <c r="U23" s="426"/>
      <c r="V23" s="112"/>
      <c r="W23" s="382"/>
      <c r="X23" s="150"/>
      <c r="Y23" s="150"/>
      <c r="Z23" s="150"/>
      <c r="AA23" s="150"/>
      <c r="AB23" s="616">
        <v>36</v>
      </c>
      <c r="AE23" s="79"/>
      <c r="AF23" s="1036" t="s">
        <v>623</v>
      </c>
      <c r="AG23" s="1036"/>
      <c r="AH23" s="1036"/>
      <c r="AI23" s="1036"/>
      <c r="AJ23" s="80"/>
    </row>
    <row r="24" spans="1:37" ht="12.6" customHeight="1">
      <c r="A24" s="20"/>
      <c r="B24" s="781" t="s">
        <v>33</v>
      </c>
      <c r="C24" s="698"/>
      <c r="D24" s="698"/>
      <c r="E24" s="698"/>
      <c r="F24" s="381">
        <v>1930</v>
      </c>
      <c r="G24" s="411">
        <f t="shared" si="18"/>
        <v>1930</v>
      </c>
      <c r="H24" s="377"/>
      <c r="I24" s="469"/>
      <c r="J24" s="139"/>
      <c r="K24" s="381"/>
      <c r="L24" s="421"/>
      <c r="M24" s="381"/>
      <c r="N24" s="421"/>
      <c r="O24" s="381"/>
      <c r="P24" s="377"/>
      <c r="Q24" s="469"/>
      <c r="R24" s="421"/>
      <c r="S24" s="430"/>
      <c r="T24" s="421"/>
      <c r="U24" s="381"/>
      <c r="V24" s="421"/>
      <c r="W24" s="381"/>
      <c r="X24" s="150"/>
      <c r="Y24" s="150"/>
      <c r="Z24" s="150"/>
      <c r="AA24" s="150"/>
      <c r="AB24" s="616" t="s">
        <v>34</v>
      </c>
      <c r="AE24" s="79"/>
      <c r="AF24" s="1036" t="s">
        <v>35</v>
      </c>
      <c r="AG24" s="1036"/>
      <c r="AH24" s="1036"/>
      <c r="AI24" s="1036"/>
      <c r="AJ24" s="80"/>
    </row>
    <row r="25" spans="1:37" ht="12.6" customHeight="1">
      <c r="A25" s="20"/>
      <c r="B25" s="789" t="s">
        <v>36</v>
      </c>
      <c r="C25" s="714"/>
      <c r="D25" s="714"/>
      <c r="E25" s="714"/>
      <c r="F25" s="382"/>
      <c r="G25" s="455"/>
      <c r="H25" s="370"/>
      <c r="I25" s="465"/>
      <c r="J25" s="138"/>
      <c r="K25" s="382"/>
      <c r="L25" s="528"/>
      <c r="M25" s="382"/>
      <c r="N25" s="528"/>
      <c r="O25" s="382"/>
      <c r="P25" s="528"/>
      <c r="Q25" s="382"/>
      <c r="R25" s="528"/>
      <c r="S25" s="532"/>
      <c r="T25" s="528"/>
      <c r="U25" s="409"/>
      <c r="V25" s="528"/>
      <c r="W25" s="382"/>
      <c r="X25" s="150"/>
      <c r="Y25" s="150"/>
      <c r="Z25" s="150"/>
      <c r="AA25" s="150"/>
      <c r="AB25" s="616" t="s">
        <v>37</v>
      </c>
      <c r="AD25" s="25"/>
      <c r="AE25" s="81"/>
      <c r="AF25" s="1036" t="s">
        <v>38</v>
      </c>
      <c r="AG25" s="1037"/>
      <c r="AH25" s="1037"/>
      <c r="AI25" s="1037"/>
      <c r="AJ25" s="80"/>
    </row>
    <row r="26" spans="1:37" ht="12.6" customHeight="1">
      <c r="A26" s="20"/>
      <c r="B26" s="837" t="s">
        <v>39</v>
      </c>
      <c r="C26" s="703"/>
      <c r="D26" s="703"/>
      <c r="E26" s="704"/>
      <c r="F26" s="536">
        <f>5.8*X2</f>
        <v>5005.3999999999996</v>
      </c>
      <c r="G26" s="381">
        <f t="shared" si="18"/>
        <v>5005.3999999999996</v>
      </c>
      <c r="H26" s="371"/>
      <c r="I26" s="464"/>
      <c r="J26" s="421">
        <f>F26+50</f>
        <v>5055.3999999999996</v>
      </c>
      <c r="K26" s="381"/>
      <c r="L26" s="421">
        <f>F26+70</f>
        <v>5075.3999999999996</v>
      </c>
      <c r="M26" s="381">
        <f t="shared" ref="M26" si="33">+L26*$X$1</f>
        <v>5075.3999999999996</v>
      </c>
      <c r="N26" s="421">
        <f>F26+57</f>
        <v>5062.3999999999996</v>
      </c>
      <c r="O26" s="381">
        <f t="shared" ref="O26" si="34">+N26*$X$1</f>
        <v>5062.3999999999996</v>
      </c>
      <c r="P26" s="421">
        <f>F26+55</f>
        <v>5060.3999999999996</v>
      </c>
      <c r="Q26" s="381">
        <f t="shared" ref="Q26" si="35">+P26*$X$1</f>
        <v>5060.3999999999996</v>
      </c>
      <c r="R26" s="421">
        <f>F26+51</f>
        <v>5056.3999999999996</v>
      </c>
      <c r="S26" s="381">
        <f t="shared" ref="S26" si="36">+R26*$X$1</f>
        <v>5056.3999999999996</v>
      </c>
      <c r="T26" s="421">
        <f>F26+46</f>
        <v>5051.3999999999996</v>
      </c>
      <c r="U26" s="381">
        <f t="shared" ref="U26" si="37">+T26*$X$1</f>
        <v>5051.3999999999996</v>
      </c>
      <c r="V26" s="421"/>
      <c r="W26" s="381"/>
      <c r="X26" s="695"/>
      <c r="Y26" s="1026"/>
      <c r="Z26" s="1026"/>
      <c r="AA26" s="943"/>
      <c r="AB26" s="616">
        <v>39</v>
      </c>
      <c r="AE26" s="79"/>
      <c r="AF26" s="1036" t="s">
        <v>415</v>
      </c>
      <c r="AG26" s="1036"/>
      <c r="AH26" s="1036"/>
      <c r="AI26" s="1037"/>
      <c r="AJ26" s="1037"/>
    </row>
    <row r="27" spans="1:37" ht="12.6" customHeight="1">
      <c r="A27" s="20"/>
      <c r="B27" s="1045" t="s">
        <v>40</v>
      </c>
      <c r="C27" s="1046"/>
      <c r="D27" s="1046"/>
      <c r="E27" s="1047"/>
      <c r="F27" s="384"/>
      <c r="G27" s="382"/>
      <c r="H27" s="370"/>
      <c r="I27" s="465"/>
      <c r="J27" s="138"/>
      <c r="K27" s="382"/>
      <c r="L27" s="528">
        <f>6.421*X2</f>
        <v>5541.3230000000003</v>
      </c>
      <c r="M27" s="382">
        <f t="shared" ref="M27:M30" si="38">+L27*$X$1</f>
        <v>5541.3230000000003</v>
      </c>
      <c r="N27" s="528">
        <f>6.147*X2</f>
        <v>5304.8609999999999</v>
      </c>
      <c r="O27" s="382">
        <f t="shared" ref="O27" si="39">+N27*$X$1</f>
        <v>5304.8609999999999</v>
      </c>
      <c r="P27" s="372">
        <f>6.01*X2</f>
        <v>5186.63</v>
      </c>
      <c r="Q27" s="382">
        <f t="shared" ref="Q27:Q30" si="40">+P27*$X$1</f>
        <v>5186.63</v>
      </c>
      <c r="R27" s="528">
        <f>5.875*X2</f>
        <v>5070.125</v>
      </c>
      <c r="S27" s="429">
        <f t="shared" ref="S27" si="41">+R27*$X$1</f>
        <v>5070.125</v>
      </c>
      <c r="T27" s="104">
        <f>5.793*X2</f>
        <v>4999.3590000000004</v>
      </c>
      <c r="U27" s="472">
        <f t="shared" ref="U27" si="42">+T27*$X$1</f>
        <v>4999.3590000000004</v>
      </c>
      <c r="V27" s="104"/>
      <c r="W27" s="382"/>
      <c r="X27" s="149"/>
      <c r="Y27" s="150"/>
      <c r="Z27" s="150"/>
      <c r="AA27" s="150"/>
      <c r="AB27" s="616" t="s">
        <v>41</v>
      </c>
      <c r="AE27" s="79"/>
      <c r="AF27" s="1036" t="s">
        <v>42</v>
      </c>
      <c r="AG27" s="1036"/>
      <c r="AH27" s="1036"/>
      <c r="AI27" s="1036"/>
      <c r="AJ27" s="80"/>
    </row>
    <row r="28" spans="1:37" ht="12.6" customHeight="1">
      <c r="A28" s="20"/>
      <c r="B28" s="781" t="s">
        <v>43</v>
      </c>
      <c r="C28" s="698"/>
      <c r="D28" s="698"/>
      <c r="E28" s="698"/>
      <c r="F28" s="536">
        <f>4.1*X2</f>
        <v>3538.2999999999997</v>
      </c>
      <c r="G28" s="381">
        <f>+F28*$X$1</f>
        <v>3538.2999999999997</v>
      </c>
      <c r="H28" s="371"/>
      <c r="I28" s="464"/>
      <c r="J28" s="139"/>
      <c r="K28" s="381"/>
      <c r="L28" s="421">
        <f>F28+200</f>
        <v>3738.2999999999997</v>
      </c>
      <c r="M28" s="381">
        <f t="shared" si="38"/>
        <v>3738.2999999999997</v>
      </c>
      <c r="N28" s="421">
        <f>F28+160</f>
        <v>3698.2999999999997</v>
      </c>
      <c r="O28" s="381">
        <f>+N28*$X$1</f>
        <v>3698.2999999999997</v>
      </c>
      <c r="P28" s="113">
        <f>F28+120</f>
        <v>3658.2999999999997</v>
      </c>
      <c r="Q28" s="381">
        <f t="shared" si="40"/>
        <v>3658.2999999999997</v>
      </c>
      <c r="R28" s="421">
        <f>F28+100</f>
        <v>3638.2999999999997</v>
      </c>
      <c r="S28" s="430">
        <f t="shared" ref="S28:S30" si="43">+R28*$X$1</f>
        <v>3638.2999999999997</v>
      </c>
      <c r="T28" s="421">
        <f>F28+75</f>
        <v>3613.2999999999997</v>
      </c>
      <c r="U28" s="381">
        <f t="shared" ref="U28:U30" si="44">+T28*$X$1</f>
        <v>3613.2999999999997</v>
      </c>
      <c r="V28" s="421"/>
      <c r="W28" s="381"/>
      <c r="X28" s="994"/>
      <c r="Y28" s="1026"/>
      <c r="Z28" s="1026"/>
      <c r="AA28" s="943"/>
      <c r="AB28" s="616">
        <v>40</v>
      </c>
      <c r="AE28" s="79"/>
      <c r="AF28" s="1036" t="s">
        <v>44</v>
      </c>
      <c r="AG28" s="1036"/>
      <c r="AH28" s="1036"/>
      <c r="AI28" s="1036"/>
      <c r="AJ28" s="1037"/>
    </row>
    <row r="29" spans="1:37" ht="12.6" customHeight="1">
      <c r="A29" s="20"/>
      <c r="B29" s="789" t="s">
        <v>699</v>
      </c>
      <c r="C29" s="714"/>
      <c r="D29" s="714"/>
      <c r="E29" s="714"/>
      <c r="F29" s="579"/>
      <c r="G29" s="382"/>
      <c r="H29" s="98"/>
      <c r="I29" s="382"/>
      <c r="J29" s="98"/>
      <c r="K29" s="382"/>
      <c r="L29" s="528"/>
      <c r="M29" s="382"/>
      <c r="N29" s="528"/>
      <c r="O29" s="382"/>
      <c r="P29" s="528"/>
      <c r="Q29" s="382"/>
      <c r="R29" s="528"/>
      <c r="S29" s="382"/>
      <c r="T29" s="528"/>
      <c r="U29" s="382"/>
      <c r="V29" s="528"/>
      <c r="W29" s="382"/>
      <c r="X29" s="994"/>
      <c r="Y29" s="1026"/>
      <c r="Z29" s="1026"/>
      <c r="AA29" s="943"/>
      <c r="AB29" s="616">
        <v>41</v>
      </c>
      <c r="AE29" s="79"/>
      <c r="AF29" s="1036" t="s">
        <v>485</v>
      </c>
      <c r="AG29" s="1036"/>
      <c r="AH29" s="1036"/>
      <c r="AI29" s="1036"/>
      <c r="AJ29" s="1036"/>
    </row>
    <row r="30" spans="1:37" ht="12.6" customHeight="1">
      <c r="A30" s="20"/>
      <c r="B30" s="837" t="s">
        <v>430</v>
      </c>
      <c r="C30" s="703"/>
      <c r="D30" s="703"/>
      <c r="E30" s="704"/>
      <c r="F30" s="542">
        <f>6.7*X2</f>
        <v>5782.1</v>
      </c>
      <c r="G30" s="381">
        <f>+F30*$X$1</f>
        <v>5782.1</v>
      </c>
      <c r="H30" s="377"/>
      <c r="I30" s="464"/>
      <c r="J30" s="421">
        <f>F30+81</f>
        <v>5863.1</v>
      </c>
      <c r="K30" s="381">
        <f t="shared" ref="K30" si="45">+J30*$X$1</f>
        <v>5863.1</v>
      </c>
      <c r="L30" s="421">
        <f>F30+70</f>
        <v>5852.1</v>
      </c>
      <c r="M30" s="381">
        <f t="shared" si="38"/>
        <v>5852.1</v>
      </c>
      <c r="N30" s="421">
        <f>F30+57</f>
        <v>5839.1</v>
      </c>
      <c r="O30" s="381">
        <f t="shared" ref="O30" si="46">+N30*$X$1</f>
        <v>5839.1</v>
      </c>
      <c r="P30" s="421">
        <f>F30+55</f>
        <v>5837.1</v>
      </c>
      <c r="Q30" s="381">
        <f t="shared" si="40"/>
        <v>5837.1</v>
      </c>
      <c r="R30" s="421">
        <f>F30+51</f>
        <v>5833.1</v>
      </c>
      <c r="S30" s="381">
        <f t="shared" si="43"/>
        <v>5833.1</v>
      </c>
      <c r="T30" s="421">
        <f>F30+46</f>
        <v>5828.1</v>
      </c>
      <c r="U30" s="381">
        <f t="shared" si="44"/>
        <v>5828.1</v>
      </c>
      <c r="V30" s="421"/>
      <c r="W30" s="381"/>
      <c r="X30" s="246"/>
      <c r="Y30" s="188"/>
      <c r="Z30" s="188"/>
      <c r="AA30" s="189"/>
      <c r="AB30" s="616">
        <v>44</v>
      </c>
      <c r="AE30" s="79"/>
      <c r="AF30" s="1036" t="s">
        <v>414</v>
      </c>
      <c r="AG30" s="1036"/>
      <c r="AH30" s="1036"/>
      <c r="AI30" s="1036"/>
      <c r="AJ30" s="1036"/>
      <c r="AK30" s="72"/>
    </row>
    <row r="31" spans="1:37" ht="12.6" customHeight="1">
      <c r="A31" s="20"/>
      <c r="B31" s="789" t="s">
        <v>45</v>
      </c>
      <c r="C31" s="714"/>
      <c r="D31" s="714"/>
      <c r="E31" s="714"/>
      <c r="F31" s="382">
        <v>368</v>
      </c>
      <c r="G31" s="416">
        <f t="shared" ref="G31:G39" si="47">+F31*$X$1</f>
        <v>368</v>
      </c>
      <c r="H31" s="1031" t="s">
        <v>46</v>
      </c>
      <c r="I31" s="1031"/>
      <c r="J31" s="1032"/>
      <c r="K31" s="1033"/>
      <c r="L31" s="370"/>
      <c r="M31" s="465"/>
      <c r="N31" s="99">
        <v>1100</v>
      </c>
      <c r="O31" s="416">
        <f t="shared" ref="O31:O42" si="48">+N31*$X$1</f>
        <v>1100</v>
      </c>
      <c r="P31" s="372">
        <v>1012</v>
      </c>
      <c r="Q31" s="556">
        <f t="shared" ref="Q31:S55" si="49">+P31*$X$1</f>
        <v>1012</v>
      </c>
      <c r="R31" s="112">
        <v>939</v>
      </c>
      <c r="S31" s="409">
        <f t="shared" si="49"/>
        <v>939</v>
      </c>
      <c r="T31" s="651">
        <v>869</v>
      </c>
      <c r="U31" s="409">
        <f t="shared" ref="U31:U48" si="50">+T31*$X$1</f>
        <v>869</v>
      </c>
      <c r="V31" s="651">
        <v>844</v>
      </c>
      <c r="W31" s="382">
        <f t="shared" ref="W31:W48" si="51">+V31*$X$1</f>
        <v>844</v>
      </c>
      <c r="X31" s="695"/>
      <c r="Y31" s="1026"/>
      <c r="Z31" s="1026"/>
      <c r="AA31" s="943"/>
      <c r="AB31" s="616" t="s">
        <v>47</v>
      </c>
      <c r="AE31" s="79"/>
      <c r="AF31" s="1036" t="s">
        <v>706</v>
      </c>
      <c r="AG31" s="1036"/>
      <c r="AH31" s="1036"/>
      <c r="AI31" s="1036"/>
      <c r="AJ31" s="1036"/>
    </row>
    <row r="32" spans="1:37" ht="12.6" customHeight="1">
      <c r="A32" s="20"/>
      <c r="B32" s="781" t="s">
        <v>48</v>
      </c>
      <c r="C32" s="698"/>
      <c r="D32" s="698"/>
      <c r="E32" s="698"/>
      <c r="F32" s="381">
        <v>368</v>
      </c>
      <c r="G32" s="417">
        <f t="shared" si="47"/>
        <v>368</v>
      </c>
      <c r="H32" s="1027" t="s">
        <v>46</v>
      </c>
      <c r="I32" s="1027"/>
      <c r="J32" s="1028"/>
      <c r="K32" s="1030"/>
      <c r="L32" s="371"/>
      <c r="M32" s="464"/>
      <c r="N32" s="93">
        <v>1100</v>
      </c>
      <c r="O32" s="417">
        <f t="shared" ref="O32:O35" si="52">+N32*$X$1</f>
        <v>1100</v>
      </c>
      <c r="P32" s="428">
        <v>1012</v>
      </c>
      <c r="Q32" s="557">
        <f t="shared" ref="Q32:Q35" si="53">+P32*$X$1</f>
        <v>1012</v>
      </c>
      <c r="R32" s="113">
        <v>939</v>
      </c>
      <c r="S32" s="337">
        <f t="shared" ref="S32:S35" si="54">+R32*$X$1</f>
        <v>939</v>
      </c>
      <c r="T32" s="421">
        <v>869</v>
      </c>
      <c r="U32" s="337">
        <f t="shared" ref="U32:U35" si="55">+T32*$X$1</f>
        <v>869</v>
      </c>
      <c r="V32" s="421">
        <v>844</v>
      </c>
      <c r="W32" s="381">
        <f t="shared" ref="W32:W35" si="56">+V32*$X$1</f>
        <v>844</v>
      </c>
      <c r="X32" s="695"/>
      <c r="Y32" s="1026"/>
      <c r="Z32" s="1026"/>
      <c r="AA32" s="943"/>
      <c r="AB32" s="616" t="s">
        <v>49</v>
      </c>
      <c r="AF32" s="1036" t="s">
        <v>762</v>
      </c>
      <c r="AG32" s="1036"/>
      <c r="AH32" s="1036"/>
      <c r="AI32" s="1036"/>
      <c r="AJ32" s="1036"/>
    </row>
    <row r="33" spans="1:28" ht="12.6" customHeight="1">
      <c r="A33" s="20"/>
      <c r="B33" s="789" t="s">
        <v>50</v>
      </c>
      <c r="C33" s="714"/>
      <c r="D33" s="714"/>
      <c r="E33" s="714"/>
      <c r="F33" s="382">
        <v>368</v>
      </c>
      <c r="G33" s="416">
        <f t="shared" si="47"/>
        <v>368</v>
      </c>
      <c r="H33" s="1038" t="s">
        <v>46</v>
      </c>
      <c r="I33" s="1038"/>
      <c r="J33" s="1039"/>
      <c r="K33" s="1040"/>
      <c r="L33" s="370"/>
      <c r="M33" s="465"/>
      <c r="N33" s="99">
        <v>1100</v>
      </c>
      <c r="O33" s="416">
        <f t="shared" si="52"/>
        <v>1100</v>
      </c>
      <c r="P33" s="372">
        <v>1012</v>
      </c>
      <c r="Q33" s="556">
        <f t="shared" si="53"/>
        <v>1012</v>
      </c>
      <c r="R33" s="112">
        <v>939</v>
      </c>
      <c r="S33" s="409">
        <f t="shared" si="54"/>
        <v>939</v>
      </c>
      <c r="T33" s="651">
        <v>869</v>
      </c>
      <c r="U33" s="409">
        <f t="shared" si="55"/>
        <v>869</v>
      </c>
      <c r="V33" s="651">
        <v>844</v>
      </c>
      <c r="W33" s="382">
        <f t="shared" si="56"/>
        <v>844</v>
      </c>
      <c r="X33" s="695"/>
      <c r="Y33" s="1026"/>
      <c r="Z33" s="1026"/>
      <c r="AA33" s="943"/>
      <c r="AB33" s="616" t="s">
        <v>51</v>
      </c>
    </row>
    <row r="34" spans="1:28" ht="12.6" customHeight="1">
      <c r="A34" s="20"/>
      <c r="B34" s="781" t="s">
        <v>52</v>
      </c>
      <c r="C34" s="698"/>
      <c r="D34" s="698"/>
      <c r="E34" s="698"/>
      <c r="F34" s="381">
        <v>368</v>
      </c>
      <c r="G34" s="417">
        <f t="shared" si="47"/>
        <v>368</v>
      </c>
      <c r="H34" s="1027" t="s">
        <v>46</v>
      </c>
      <c r="I34" s="1027"/>
      <c r="J34" s="1028"/>
      <c r="K34" s="1030"/>
      <c r="L34" s="371"/>
      <c r="M34" s="464"/>
      <c r="N34" s="93">
        <v>1100</v>
      </c>
      <c r="O34" s="417">
        <f t="shared" si="52"/>
        <v>1100</v>
      </c>
      <c r="P34" s="428">
        <v>1012</v>
      </c>
      <c r="Q34" s="557">
        <f t="shared" si="53"/>
        <v>1012</v>
      </c>
      <c r="R34" s="113">
        <v>939</v>
      </c>
      <c r="S34" s="337">
        <f t="shared" si="54"/>
        <v>939</v>
      </c>
      <c r="T34" s="421">
        <v>869</v>
      </c>
      <c r="U34" s="337">
        <f t="shared" si="55"/>
        <v>869</v>
      </c>
      <c r="V34" s="421">
        <v>844</v>
      </c>
      <c r="W34" s="381">
        <f t="shared" si="56"/>
        <v>844</v>
      </c>
      <c r="X34" s="695"/>
      <c r="Y34" s="1026"/>
      <c r="Z34" s="1026"/>
      <c r="AA34" s="943"/>
      <c r="AB34" s="616" t="s">
        <v>53</v>
      </c>
    </row>
    <row r="35" spans="1:28" ht="12.6" customHeight="1">
      <c r="A35" s="20"/>
      <c r="B35" s="789" t="s">
        <v>54</v>
      </c>
      <c r="C35" s="714"/>
      <c r="D35" s="714"/>
      <c r="E35" s="714"/>
      <c r="F35" s="382">
        <v>368</v>
      </c>
      <c r="G35" s="416">
        <f t="shared" si="47"/>
        <v>368</v>
      </c>
      <c r="H35" s="1038" t="s">
        <v>46</v>
      </c>
      <c r="I35" s="1038"/>
      <c r="J35" s="1039"/>
      <c r="K35" s="1040"/>
      <c r="L35" s="370"/>
      <c r="M35" s="465"/>
      <c r="N35" s="99">
        <v>1100</v>
      </c>
      <c r="O35" s="416">
        <f t="shared" si="52"/>
        <v>1100</v>
      </c>
      <c r="P35" s="372">
        <v>1012</v>
      </c>
      <c r="Q35" s="556">
        <f t="shared" si="53"/>
        <v>1012</v>
      </c>
      <c r="R35" s="112">
        <v>939</v>
      </c>
      <c r="S35" s="409">
        <f t="shared" si="54"/>
        <v>939</v>
      </c>
      <c r="T35" s="651">
        <v>869</v>
      </c>
      <c r="U35" s="409">
        <f t="shared" si="55"/>
        <v>869</v>
      </c>
      <c r="V35" s="651">
        <v>844</v>
      </c>
      <c r="W35" s="382">
        <f t="shared" si="56"/>
        <v>844</v>
      </c>
      <c r="X35" s="695"/>
      <c r="Y35" s="1026"/>
      <c r="Z35" s="1026"/>
      <c r="AA35" s="943"/>
      <c r="AB35" s="616" t="s">
        <v>55</v>
      </c>
    </row>
    <row r="36" spans="1:28" ht="12.6" customHeight="1">
      <c r="A36" s="20"/>
      <c r="B36" s="781" t="s">
        <v>56</v>
      </c>
      <c r="C36" s="698"/>
      <c r="D36" s="698"/>
      <c r="E36" s="698"/>
      <c r="F36" s="381">
        <v>368</v>
      </c>
      <c r="G36" s="417">
        <f t="shared" si="47"/>
        <v>368</v>
      </c>
      <c r="H36" s="1027" t="s">
        <v>46</v>
      </c>
      <c r="I36" s="1027"/>
      <c r="J36" s="1028"/>
      <c r="K36" s="1030"/>
      <c r="L36" s="371"/>
      <c r="M36" s="464"/>
      <c r="N36" s="93">
        <v>953</v>
      </c>
      <c r="O36" s="417">
        <f t="shared" si="48"/>
        <v>953</v>
      </c>
      <c r="P36" s="428">
        <v>876</v>
      </c>
      <c r="Q36" s="557">
        <f t="shared" si="49"/>
        <v>876</v>
      </c>
      <c r="R36" s="421">
        <v>806</v>
      </c>
      <c r="S36" s="337">
        <f t="shared" si="49"/>
        <v>806</v>
      </c>
      <c r="T36" s="421">
        <v>751</v>
      </c>
      <c r="U36" s="337">
        <f t="shared" si="50"/>
        <v>751</v>
      </c>
      <c r="V36" s="421">
        <v>718</v>
      </c>
      <c r="W36" s="381">
        <f t="shared" si="51"/>
        <v>718</v>
      </c>
      <c r="X36" s="695"/>
      <c r="Y36" s="961"/>
      <c r="Z36" s="961"/>
      <c r="AA36" s="962"/>
      <c r="AB36" s="616" t="s">
        <v>567</v>
      </c>
    </row>
    <row r="37" spans="1:28" ht="12.6" customHeight="1">
      <c r="A37" s="20"/>
      <c r="B37" s="789" t="s">
        <v>57</v>
      </c>
      <c r="C37" s="714"/>
      <c r="D37" s="714"/>
      <c r="E37" s="714"/>
      <c r="F37" s="382">
        <v>368</v>
      </c>
      <c r="G37" s="416">
        <f t="shared" si="47"/>
        <v>368</v>
      </c>
      <c r="H37" s="1038" t="s">
        <v>46</v>
      </c>
      <c r="I37" s="1038"/>
      <c r="J37" s="1039"/>
      <c r="K37" s="1040"/>
      <c r="L37" s="370"/>
      <c r="M37" s="465"/>
      <c r="N37" s="99">
        <v>837</v>
      </c>
      <c r="O37" s="416">
        <f t="shared" ref="O37" si="57">+N37*$X$1</f>
        <v>837</v>
      </c>
      <c r="P37" s="372">
        <v>769</v>
      </c>
      <c r="Q37" s="556">
        <f t="shared" ref="Q37" si="58">+P37*$X$1</f>
        <v>769</v>
      </c>
      <c r="R37" s="112">
        <v>706</v>
      </c>
      <c r="S37" s="409">
        <f t="shared" ref="S37" si="59">+R37*$X$1</f>
        <v>706</v>
      </c>
      <c r="T37" s="651">
        <v>649</v>
      </c>
      <c r="U37" s="409">
        <f t="shared" ref="U37" si="60">+T37*$X$1</f>
        <v>649</v>
      </c>
      <c r="V37" s="651">
        <v>586</v>
      </c>
      <c r="W37" s="382">
        <f t="shared" ref="W37" si="61">+V37*$X$1</f>
        <v>586</v>
      </c>
      <c r="X37" s="695"/>
      <c r="Y37" s="961"/>
      <c r="Z37" s="961"/>
      <c r="AA37" s="962"/>
      <c r="AB37" s="616" t="s">
        <v>565</v>
      </c>
    </row>
    <row r="38" spans="1:28" ht="12.6" customHeight="1">
      <c r="A38" s="20"/>
      <c r="B38" s="781" t="s">
        <v>58</v>
      </c>
      <c r="C38" s="698"/>
      <c r="D38" s="698"/>
      <c r="E38" s="698"/>
      <c r="F38" s="381">
        <v>368</v>
      </c>
      <c r="G38" s="417">
        <f t="shared" si="47"/>
        <v>368</v>
      </c>
      <c r="H38" s="1027" t="s">
        <v>46</v>
      </c>
      <c r="I38" s="1027"/>
      <c r="J38" s="1028"/>
      <c r="K38" s="1030"/>
      <c r="L38" s="371"/>
      <c r="M38" s="464"/>
      <c r="N38" s="93">
        <v>837</v>
      </c>
      <c r="O38" s="417">
        <f t="shared" ref="O38" si="62">+N38*$X$1</f>
        <v>837</v>
      </c>
      <c r="P38" s="428">
        <v>769</v>
      </c>
      <c r="Q38" s="557">
        <f t="shared" ref="Q38" si="63">+P38*$X$1</f>
        <v>769</v>
      </c>
      <c r="R38" s="113">
        <v>706</v>
      </c>
      <c r="S38" s="337">
        <f t="shared" ref="S38" si="64">+R38*$X$1</f>
        <v>706</v>
      </c>
      <c r="T38" s="421">
        <v>649</v>
      </c>
      <c r="U38" s="337">
        <f t="shared" ref="U38" si="65">+T38*$X$1</f>
        <v>649</v>
      </c>
      <c r="V38" s="421">
        <v>586</v>
      </c>
      <c r="W38" s="381">
        <f t="shared" ref="W38" si="66">+V38*$X$1</f>
        <v>586</v>
      </c>
      <c r="X38" s="695"/>
      <c r="Y38" s="961"/>
      <c r="Z38" s="961"/>
      <c r="AA38" s="962"/>
      <c r="AB38" s="616" t="s">
        <v>568</v>
      </c>
    </row>
    <row r="39" spans="1:28" ht="12.6" customHeight="1">
      <c r="A39" s="20"/>
      <c r="B39" s="789" t="s">
        <v>59</v>
      </c>
      <c r="C39" s="714"/>
      <c r="D39" s="714"/>
      <c r="E39" s="714"/>
      <c r="F39" s="382">
        <v>368</v>
      </c>
      <c r="G39" s="416">
        <f t="shared" si="47"/>
        <v>368</v>
      </c>
      <c r="H39" s="1038" t="s">
        <v>46</v>
      </c>
      <c r="I39" s="1038"/>
      <c r="J39" s="1039"/>
      <c r="K39" s="1040"/>
      <c r="L39" s="370"/>
      <c r="M39" s="465"/>
      <c r="N39" s="99">
        <v>1137</v>
      </c>
      <c r="O39" s="416">
        <f t="shared" si="48"/>
        <v>1137</v>
      </c>
      <c r="P39" s="372">
        <v>1051</v>
      </c>
      <c r="Q39" s="556">
        <f t="shared" si="49"/>
        <v>1051</v>
      </c>
      <c r="R39" s="651">
        <v>974</v>
      </c>
      <c r="S39" s="409">
        <f t="shared" si="49"/>
        <v>974</v>
      </c>
      <c r="T39" s="651">
        <v>911</v>
      </c>
      <c r="U39" s="409">
        <f t="shared" si="50"/>
        <v>911</v>
      </c>
      <c r="V39" s="651">
        <v>876</v>
      </c>
      <c r="W39" s="382">
        <f t="shared" si="51"/>
        <v>876</v>
      </c>
      <c r="X39" s="695"/>
      <c r="Y39" s="961"/>
      <c r="Z39" s="961"/>
      <c r="AA39" s="962"/>
      <c r="AB39" s="616" t="s">
        <v>566</v>
      </c>
    </row>
    <row r="40" spans="1:28" ht="12.6" customHeight="1">
      <c r="A40" s="20"/>
      <c r="B40" s="781" t="s">
        <v>569</v>
      </c>
      <c r="C40" s="698"/>
      <c r="D40" s="698"/>
      <c r="E40" s="698"/>
      <c r="F40" s="381">
        <v>368</v>
      </c>
      <c r="G40" s="417">
        <f t="shared" ref="G40" si="67">+F40*$X$1</f>
        <v>368</v>
      </c>
      <c r="H40" s="1027" t="s">
        <v>46</v>
      </c>
      <c r="I40" s="1027"/>
      <c r="J40" s="1028"/>
      <c r="K40" s="1030"/>
      <c r="L40" s="371"/>
      <c r="M40" s="464"/>
      <c r="N40" s="93">
        <v>1118</v>
      </c>
      <c r="O40" s="417">
        <f t="shared" ref="O40:O41" si="68">+N40*$X$1</f>
        <v>1118</v>
      </c>
      <c r="P40" s="428">
        <v>1034</v>
      </c>
      <c r="Q40" s="557">
        <f t="shared" si="49"/>
        <v>1034</v>
      </c>
      <c r="R40" s="421">
        <v>958</v>
      </c>
      <c r="S40" s="337">
        <f t="shared" si="49"/>
        <v>958</v>
      </c>
      <c r="T40" s="421">
        <v>906</v>
      </c>
      <c r="U40" s="337">
        <f t="shared" si="50"/>
        <v>906</v>
      </c>
      <c r="V40" s="421">
        <v>858</v>
      </c>
      <c r="W40" s="381">
        <f t="shared" si="51"/>
        <v>858</v>
      </c>
      <c r="X40" s="695"/>
      <c r="Y40" s="961"/>
      <c r="Z40" s="961"/>
      <c r="AA40" s="962"/>
      <c r="AB40" s="616" t="s">
        <v>571</v>
      </c>
    </row>
    <row r="41" spans="1:28" ht="12.6" customHeight="1">
      <c r="A41" s="20"/>
      <c r="B41" s="789" t="s">
        <v>570</v>
      </c>
      <c r="C41" s="714"/>
      <c r="D41" s="714"/>
      <c r="E41" s="714"/>
      <c r="F41" s="382">
        <v>368</v>
      </c>
      <c r="G41" s="416">
        <f t="shared" ref="G41" si="69">+F41*$X$1</f>
        <v>368</v>
      </c>
      <c r="H41" s="1038" t="s">
        <v>46</v>
      </c>
      <c r="I41" s="1038"/>
      <c r="J41" s="1039"/>
      <c r="K41" s="1040"/>
      <c r="L41" s="370"/>
      <c r="M41" s="465"/>
      <c r="N41" s="99">
        <v>953</v>
      </c>
      <c r="O41" s="416">
        <f t="shared" si="68"/>
        <v>953</v>
      </c>
      <c r="P41" s="372">
        <v>876</v>
      </c>
      <c r="Q41" s="556">
        <f t="shared" ref="Q41" si="70">+P41*$X$1</f>
        <v>876</v>
      </c>
      <c r="R41" s="651">
        <v>806</v>
      </c>
      <c r="S41" s="409">
        <f t="shared" ref="S41" si="71">+R41*$X$1</f>
        <v>806</v>
      </c>
      <c r="T41" s="651">
        <v>751</v>
      </c>
      <c r="U41" s="409">
        <f t="shared" ref="U41" si="72">+T41*$X$1</f>
        <v>751</v>
      </c>
      <c r="V41" s="651">
        <v>718</v>
      </c>
      <c r="W41" s="382">
        <f t="shared" ref="W41" si="73">+V41*$X$1</f>
        <v>718</v>
      </c>
      <c r="X41" s="695"/>
      <c r="Y41" s="961"/>
      <c r="Z41" s="961"/>
      <c r="AA41" s="962"/>
      <c r="AB41" s="616" t="s">
        <v>572</v>
      </c>
    </row>
    <row r="42" spans="1:28" ht="12.6" customHeight="1">
      <c r="A42" s="20"/>
      <c r="B42" s="781" t="s">
        <v>60</v>
      </c>
      <c r="C42" s="698"/>
      <c r="D42" s="698"/>
      <c r="E42" s="698"/>
      <c r="F42" s="381">
        <v>582</v>
      </c>
      <c r="G42" s="417">
        <f t="shared" ref="G42:G50" si="74">+F42*$X$1</f>
        <v>582</v>
      </c>
      <c r="H42" s="1061" t="s">
        <v>61</v>
      </c>
      <c r="I42" s="1061"/>
      <c r="J42" s="1062"/>
      <c r="K42" s="1063"/>
      <c r="L42" s="371"/>
      <c r="M42" s="464"/>
      <c r="N42" s="93">
        <v>1104</v>
      </c>
      <c r="O42" s="417">
        <f t="shared" si="48"/>
        <v>1104</v>
      </c>
      <c r="P42" s="428">
        <v>1023</v>
      </c>
      <c r="Q42" s="557">
        <f t="shared" si="49"/>
        <v>1023</v>
      </c>
      <c r="R42" s="421">
        <v>946</v>
      </c>
      <c r="S42" s="337">
        <f t="shared" si="49"/>
        <v>946</v>
      </c>
      <c r="T42" s="421">
        <v>881</v>
      </c>
      <c r="U42" s="337">
        <f t="shared" si="50"/>
        <v>881</v>
      </c>
      <c r="V42" s="421">
        <v>850</v>
      </c>
      <c r="W42" s="381">
        <f t="shared" si="51"/>
        <v>850</v>
      </c>
      <c r="X42" s="695"/>
      <c r="Y42" s="961"/>
      <c r="Z42" s="961"/>
      <c r="AA42" s="962"/>
      <c r="AB42" s="617" t="s">
        <v>62</v>
      </c>
    </row>
    <row r="43" spans="1:28" ht="12.6" customHeight="1">
      <c r="A43" s="20"/>
      <c r="B43" s="789" t="s">
        <v>63</v>
      </c>
      <c r="C43" s="714"/>
      <c r="D43" s="714"/>
      <c r="E43" s="714"/>
      <c r="F43" s="382">
        <v>582</v>
      </c>
      <c r="G43" s="416">
        <f t="shared" si="74"/>
        <v>582</v>
      </c>
      <c r="H43" s="1279" t="s">
        <v>61</v>
      </c>
      <c r="I43" s="1279"/>
      <c r="J43" s="1280"/>
      <c r="K43" s="1281"/>
      <c r="L43" s="370"/>
      <c r="M43" s="465"/>
      <c r="N43" s="99">
        <v>1104</v>
      </c>
      <c r="O43" s="416">
        <f t="shared" ref="O43:O44" si="75">+N43*$X$1</f>
        <v>1104</v>
      </c>
      <c r="P43" s="372">
        <v>1023</v>
      </c>
      <c r="Q43" s="556">
        <f t="shared" ref="Q43:Q44" si="76">+P43*$X$1</f>
        <v>1023</v>
      </c>
      <c r="R43" s="651">
        <v>946</v>
      </c>
      <c r="S43" s="409">
        <f t="shared" ref="S43:S44" si="77">+R43*$X$1</f>
        <v>946</v>
      </c>
      <c r="T43" s="651">
        <v>881</v>
      </c>
      <c r="U43" s="409">
        <f t="shared" ref="U43:U44" si="78">+T43*$X$1</f>
        <v>881</v>
      </c>
      <c r="V43" s="651">
        <v>850</v>
      </c>
      <c r="W43" s="382">
        <f t="shared" ref="W43:W44" si="79">+V43*$X$1</f>
        <v>850</v>
      </c>
      <c r="X43" s="695"/>
      <c r="Y43" s="961"/>
      <c r="Z43" s="961"/>
      <c r="AA43" s="962"/>
      <c r="AB43" s="617" t="s">
        <v>64</v>
      </c>
    </row>
    <row r="44" spans="1:28" ht="12.6" customHeight="1">
      <c r="A44" s="20"/>
      <c r="B44" s="781" t="s">
        <v>65</v>
      </c>
      <c r="C44" s="698"/>
      <c r="D44" s="698"/>
      <c r="E44" s="698"/>
      <c r="F44" s="381">
        <v>582</v>
      </c>
      <c r="G44" s="417">
        <f t="shared" si="74"/>
        <v>582</v>
      </c>
      <c r="H44" s="1027" t="s">
        <v>61</v>
      </c>
      <c r="I44" s="1027"/>
      <c r="J44" s="1028"/>
      <c r="K44" s="1030"/>
      <c r="L44" s="371"/>
      <c r="M44" s="464"/>
      <c r="N44" s="93">
        <v>1104</v>
      </c>
      <c r="O44" s="417">
        <f t="shared" si="75"/>
        <v>1104</v>
      </c>
      <c r="P44" s="428">
        <v>1023</v>
      </c>
      <c r="Q44" s="557">
        <f t="shared" si="76"/>
        <v>1023</v>
      </c>
      <c r="R44" s="421">
        <v>946</v>
      </c>
      <c r="S44" s="337">
        <f t="shared" si="77"/>
        <v>946</v>
      </c>
      <c r="T44" s="421">
        <v>881</v>
      </c>
      <c r="U44" s="337">
        <f t="shared" si="78"/>
        <v>881</v>
      </c>
      <c r="V44" s="421">
        <v>850</v>
      </c>
      <c r="W44" s="381">
        <f t="shared" si="79"/>
        <v>850</v>
      </c>
      <c r="X44" s="695"/>
      <c r="Y44" s="961"/>
      <c r="Z44" s="961"/>
      <c r="AA44" s="962"/>
      <c r="AB44" s="617" t="s">
        <v>66</v>
      </c>
    </row>
    <row r="45" spans="1:28" ht="12.6" customHeight="1">
      <c r="A45" s="20"/>
      <c r="B45" s="708" t="s">
        <v>685</v>
      </c>
      <c r="C45" s="945"/>
      <c r="D45" s="945"/>
      <c r="E45" s="945"/>
      <c r="F45" s="382">
        <v>638</v>
      </c>
      <c r="G45" s="416">
        <f t="shared" ref="G45" si="80">+F45*$X$1</f>
        <v>638</v>
      </c>
      <c r="H45" s="1031" t="s">
        <v>61</v>
      </c>
      <c r="I45" s="1031"/>
      <c r="J45" s="1032"/>
      <c r="K45" s="1033"/>
      <c r="L45" s="370"/>
      <c r="M45" s="465"/>
      <c r="N45" s="99">
        <v>1167</v>
      </c>
      <c r="O45" s="416">
        <f t="shared" ref="O45" si="81">+N45*$X$1</f>
        <v>1167</v>
      </c>
      <c r="P45" s="372">
        <v>1085</v>
      </c>
      <c r="Q45" s="556">
        <f t="shared" ref="Q45" si="82">+P45*$X$1</f>
        <v>1085</v>
      </c>
      <c r="R45" s="651">
        <v>999</v>
      </c>
      <c r="S45" s="409">
        <f t="shared" ref="S45" si="83">+R45*$X$1</f>
        <v>999</v>
      </c>
      <c r="T45" s="651">
        <v>939</v>
      </c>
      <c r="U45" s="409">
        <f t="shared" ref="U45" si="84">+T45*$X$1</f>
        <v>939</v>
      </c>
      <c r="V45" s="651">
        <v>899</v>
      </c>
      <c r="W45" s="382">
        <f t="shared" ref="W45" si="85">+V45*$X$1</f>
        <v>899</v>
      </c>
      <c r="X45" s="695"/>
      <c r="Y45" s="961"/>
      <c r="Z45" s="961"/>
      <c r="AA45" s="962"/>
      <c r="AB45" s="618" t="s">
        <v>702</v>
      </c>
    </row>
    <row r="46" spans="1:28" ht="12.6" customHeight="1">
      <c r="A46" s="20"/>
      <c r="B46" s="708" t="s">
        <v>686</v>
      </c>
      <c r="C46" s="945"/>
      <c r="D46" s="945"/>
      <c r="E46" s="945"/>
      <c r="F46" s="381">
        <v>638</v>
      </c>
      <c r="G46" s="417">
        <f t="shared" ref="G46" si="86">+F46*$X$1</f>
        <v>638</v>
      </c>
      <c r="H46" s="1061" t="s">
        <v>61</v>
      </c>
      <c r="I46" s="1061"/>
      <c r="J46" s="1062"/>
      <c r="K46" s="1063"/>
      <c r="L46" s="371"/>
      <c r="M46" s="464"/>
      <c r="N46" s="93">
        <v>1167</v>
      </c>
      <c r="O46" s="417">
        <f t="shared" ref="O46:O47" si="87">+N46*$X$1</f>
        <v>1167</v>
      </c>
      <c r="P46" s="428">
        <v>1085</v>
      </c>
      <c r="Q46" s="557">
        <f t="shared" ref="Q46:Q47" si="88">+P46*$X$1</f>
        <v>1085</v>
      </c>
      <c r="R46" s="421">
        <v>999</v>
      </c>
      <c r="S46" s="337">
        <f t="shared" ref="S46:S47" si="89">+R46*$X$1</f>
        <v>999</v>
      </c>
      <c r="T46" s="421">
        <v>939</v>
      </c>
      <c r="U46" s="337">
        <f t="shared" ref="U46:U47" si="90">+T46*$X$1</f>
        <v>939</v>
      </c>
      <c r="V46" s="421">
        <v>899</v>
      </c>
      <c r="W46" s="381">
        <f t="shared" ref="W46:W47" si="91">+V46*$X$1</f>
        <v>899</v>
      </c>
      <c r="X46" s="695"/>
      <c r="Y46" s="961"/>
      <c r="Z46" s="961"/>
      <c r="AA46" s="962"/>
      <c r="AB46" s="618" t="s">
        <v>703</v>
      </c>
    </row>
    <row r="47" spans="1:28" ht="12.6" customHeight="1">
      <c r="A47" s="20"/>
      <c r="B47" s="708" t="s">
        <v>687</v>
      </c>
      <c r="C47" s="945"/>
      <c r="D47" s="945"/>
      <c r="E47" s="945"/>
      <c r="F47" s="382">
        <v>638</v>
      </c>
      <c r="G47" s="416">
        <f t="shared" ref="G47" si="92">+F47*$X$1</f>
        <v>638</v>
      </c>
      <c r="H47" s="1031" t="s">
        <v>61</v>
      </c>
      <c r="I47" s="1031"/>
      <c r="J47" s="1032"/>
      <c r="K47" s="1033"/>
      <c r="L47" s="370"/>
      <c r="M47" s="465"/>
      <c r="N47" s="99">
        <v>1167</v>
      </c>
      <c r="O47" s="416">
        <f t="shared" si="87"/>
        <v>1167</v>
      </c>
      <c r="P47" s="372">
        <v>1085</v>
      </c>
      <c r="Q47" s="556">
        <f t="shared" si="88"/>
        <v>1085</v>
      </c>
      <c r="R47" s="651">
        <v>999</v>
      </c>
      <c r="S47" s="409">
        <f t="shared" si="89"/>
        <v>999</v>
      </c>
      <c r="T47" s="651">
        <v>939</v>
      </c>
      <c r="U47" s="409">
        <f t="shared" si="90"/>
        <v>939</v>
      </c>
      <c r="V47" s="651">
        <v>899</v>
      </c>
      <c r="W47" s="382">
        <f t="shared" si="91"/>
        <v>899</v>
      </c>
      <c r="X47" s="695"/>
      <c r="Y47" s="961"/>
      <c r="Z47" s="961"/>
      <c r="AA47" s="962"/>
      <c r="AB47" s="618" t="s">
        <v>704</v>
      </c>
    </row>
    <row r="48" spans="1:28" ht="12.6" customHeight="1">
      <c r="A48" s="20"/>
      <c r="B48" s="781" t="s">
        <v>67</v>
      </c>
      <c r="C48" s="698"/>
      <c r="D48" s="698"/>
      <c r="E48" s="698"/>
      <c r="F48" s="381">
        <v>798</v>
      </c>
      <c r="G48" s="417">
        <f t="shared" si="74"/>
        <v>798</v>
      </c>
      <c r="H48" s="1027" t="s">
        <v>61</v>
      </c>
      <c r="I48" s="1027"/>
      <c r="J48" s="1028"/>
      <c r="K48" s="1030"/>
      <c r="L48" s="371"/>
      <c r="M48" s="464"/>
      <c r="N48" s="78">
        <v>1538</v>
      </c>
      <c r="O48" s="411">
        <f t="shared" ref="O48" si="93">+N48*$X$1</f>
        <v>1538</v>
      </c>
      <c r="P48" s="428">
        <v>1423</v>
      </c>
      <c r="Q48" s="430">
        <f t="shared" si="49"/>
        <v>1423</v>
      </c>
      <c r="R48" s="421">
        <v>1318</v>
      </c>
      <c r="S48" s="381">
        <f t="shared" si="49"/>
        <v>1318</v>
      </c>
      <c r="T48" s="421">
        <v>1225</v>
      </c>
      <c r="U48" s="381">
        <f t="shared" si="50"/>
        <v>1225</v>
      </c>
      <c r="V48" s="421">
        <v>1186</v>
      </c>
      <c r="W48" s="381">
        <f t="shared" si="51"/>
        <v>1186</v>
      </c>
      <c r="X48" s="695"/>
      <c r="Y48" s="961"/>
      <c r="Z48" s="961"/>
      <c r="AA48" s="962"/>
      <c r="AB48" s="618" t="s">
        <v>68</v>
      </c>
    </row>
    <row r="49" spans="1:35" ht="12.6" customHeight="1">
      <c r="A49" s="20"/>
      <c r="B49" s="789" t="s">
        <v>69</v>
      </c>
      <c r="C49" s="714"/>
      <c r="D49" s="714"/>
      <c r="E49" s="714"/>
      <c r="F49" s="382">
        <v>798</v>
      </c>
      <c r="G49" s="416">
        <f t="shared" si="74"/>
        <v>798</v>
      </c>
      <c r="H49" s="1031" t="s">
        <v>61</v>
      </c>
      <c r="I49" s="1031"/>
      <c r="J49" s="1032"/>
      <c r="K49" s="1033"/>
      <c r="L49" s="370"/>
      <c r="M49" s="465"/>
      <c r="N49" s="98">
        <v>1538</v>
      </c>
      <c r="O49" s="455">
        <f t="shared" ref="O49:O50" si="94">+N49*$X$1</f>
        <v>1538</v>
      </c>
      <c r="P49" s="372">
        <v>1423</v>
      </c>
      <c r="Q49" s="429">
        <f t="shared" ref="Q49:Q50" si="95">+P49*$X$1</f>
        <v>1423</v>
      </c>
      <c r="R49" s="651">
        <v>1318</v>
      </c>
      <c r="S49" s="382">
        <f t="shared" ref="S49:S50" si="96">+R49*$X$1</f>
        <v>1318</v>
      </c>
      <c r="T49" s="651">
        <v>1225</v>
      </c>
      <c r="U49" s="382">
        <f t="shared" ref="U49:U50" si="97">+T49*$X$1</f>
        <v>1225</v>
      </c>
      <c r="V49" s="651">
        <v>1186</v>
      </c>
      <c r="W49" s="382">
        <f t="shared" ref="W49:W50" si="98">+V49*$X$1</f>
        <v>1186</v>
      </c>
      <c r="X49" s="695"/>
      <c r="Y49" s="961"/>
      <c r="Z49" s="961"/>
      <c r="AA49" s="962"/>
      <c r="AB49" s="618" t="s">
        <v>70</v>
      </c>
    </row>
    <row r="50" spans="1:35" ht="12.6" customHeight="1">
      <c r="A50" s="20"/>
      <c r="B50" s="781" t="s">
        <v>71</v>
      </c>
      <c r="C50" s="698"/>
      <c r="D50" s="698"/>
      <c r="E50" s="698"/>
      <c r="F50" s="381">
        <v>798</v>
      </c>
      <c r="G50" s="454">
        <f t="shared" si="74"/>
        <v>798</v>
      </c>
      <c r="H50" s="1027" t="s">
        <v>61</v>
      </c>
      <c r="I50" s="1027"/>
      <c r="J50" s="1028"/>
      <c r="K50" s="1029"/>
      <c r="L50" s="371"/>
      <c r="M50" s="464"/>
      <c r="N50" s="78">
        <v>1538</v>
      </c>
      <c r="O50" s="411">
        <f t="shared" si="94"/>
        <v>1538</v>
      </c>
      <c r="P50" s="428">
        <v>1423</v>
      </c>
      <c r="Q50" s="430">
        <f t="shared" si="95"/>
        <v>1423</v>
      </c>
      <c r="R50" s="421">
        <v>1318</v>
      </c>
      <c r="S50" s="381">
        <f t="shared" si="96"/>
        <v>1318</v>
      </c>
      <c r="T50" s="421">
        <v>1225</v>
      </c>
      <c r="U50" s="381">
        <f t="shared" si="97"/>
        <v>1225</v>
      </c>
      <c r="V50" s="421">
        <v>1186</v>
      </c>
      <c r="W50" s="381">
        <f t="shared" si="98"/>
        <v>1186</v>
      </c>
      <c r="X50" s="695"/>
      <c r="Y50" s="961"/>
      <c r="Z50" s="961"/>
      <c r="AA50" s="962"/>
      <c r="AB50" s="618" t="s">
        <v>72</v>
      </c>
    </row>
    <row r="51" spans="1:35" ht="12.6" customHeight="1">
      <c r="A51" s="20"/>
      <c r="B51" s="789" t="s">
        <v>73</v>
      </c>
      <c r="C51" s="714"/>
      <c r="D51" s="714"/>
      <c r="E51" s="1022"/>
      <c r="F51" s="1278" t="s">
        <v>513</v>
      </c>
      <c r="G51" s="1028"/>
      <c r="H51" s="1028"/>
      <c r="I51" s="1028"/>
      <c r="J51" s="343"/>
      <c r="K51" s="550"/>
      <c r="L51" s="552"/>
      <c r="M51" s="382"/>
      <c r="N51" s="558"/>
      <c r="O51" s="416"/>
      <c r="P51" s="370"/>
      <c r="Q51" s="429"/>
      <c r="R51" s="112"/>
      <c r="S51" s="409"/>
      <c r="T51" s="112"/>
      <c r="U51" s="409"/>
      <c r="V51" s="112"/>
      <c r="W51" s="382"/>
      <c r="X51" s="150"/>
      <c r="Y51" s="150"/>
      <c r="Z51" s="150"/>
      <c r="AA51" s="150"/>
      <c r="AB51" s="616" t="s">
        <v>74</v>
      </c>
    </row>
    <row r="52" spans="1:35" ht="12.6" customHeight="1">
      <c r="A52" s="20"/>
      <c r="B52" s="781" t="s">
        <v>75</v>
      </c>
      <c r="C52" s="698"/>
      <c r="D52" s="698"/>
      <c r="E52" s="1068"/>
      <c r="F52" s="1028"/>
      <c r="G52" s="1028"/>
      <c r="H52" s="1028"/>
      <c r="I52" s="1028"/>
      <c r="J52" s="19"/>
      <c r="K52" s="377"/>
      <c r="L52" s="345"/>
      <c r="M52" s="381"/>
      <c r="N52" s="245"/>
      <c r="O52" s="417"/>
      <c r="P52" s="377"/>
      <c r="Q52" s="430"/>
      <c r="R52" s="421"/>
      <c r="S52" s="337"/>
      <c r="T52" s="421"/>
      <c r="U52" s="337"/>
      <c r="V52" s="421"/>
      <c r="W52" s="381"/>
      <c r="X52" s="150"/>
      <c r="Y52" s="150"/>
      <c r="Z52" s="150"/>
      <c r="AA52" s="150"/>
      <c r="AB52" s="616" t="s">
        <v>76</v>
      </c>
    </row>
    <row r="53" spans="1:35" ht="12.6" customHeight="1">
      <c r="A53" s="20"/>
      <c r="B53" s="789" t="s">
        <v>543</v>
      </c>
      <c r="C53" s="714"/>
      <c r="D53" s="714"/>
      <c r="E53" s="1022"/>
      <c r="F53" s="1028"/>
      <c r="G53" s="1028"/>
      <c r="H53" s="1028"/>
      <c r="I53" s="1028"/>
      <c r="J53" s="343"/>
      <c r="K53" s="370"/>
      <c r="L53" s="402"/>
      <c r="M53" s="382"/>
      <c r="N53" s="403"/>
      <c r="O53" s="479"/>
      <c r="P53" s="370"/>
      <c r="Q53" s="429"/>
      <c r="R53" s="104"/>
      <c r="S53" s="472"/>
      <c r="T53" s="104"/>
      <c r="U53" s="472"/>
      <c r="V53" s="104"/>
      <c r="W53" s="382"/>
      <c r="X53" s="150"/>
      <c r="Y53" s="150"/>
      <c r="Z53" s="150"/>
      <c r="AA53" s="150"/>
      <c r="AB53" s="40">
        <v>48</v>
      </c>
      <c r="AC53" s="619" t="s">
        <v>77</v>
      </c>
      <c r="AD53" s="619" t="s">
        <v>78</v>
      </c>
      <c r="AE53" s="619" t="s">
        <v>79</v>
      </c>
    </row>
    <row r="54" spans="1:35" ht="12.6" customHeight="1">
      <c r="A54" s="20"/>
      <c r="B54" s="1052" t="s">
        <v>80</v>
      </c>
      <c r="C54" s="1053"/>
      <c r="D54" s="1053"/>
      <c r="E54" s="1053"/>
      <c r="F54" s="1028"/>
      <c r="G54" s="1028"/>
      <c r="H54" s="1028"/>
      <c r="I54" s="1028"/>
      <c r="J54" s="19"/>
      <c r="K54" s="19"/>
      <c r="L54" s="345"/>
      <c r="M54" s="341"/>
      <c r="N54" s="245"/>
      <c r="O54" s="298"/>
      <c r="P54" s="133"/>
      <c r="Q54" s="347"/>
      <c r="R54" s="298"/>
      <c r="S54" s="298"/>
      <c r="T54" s="298"/>
      <c r="U54" s="298"/>
      <c r="V54" s="101"/>
      <c r="W54" s="101"/>
      <c r="X54" s="190"/>
      <c r="Y54" s="190"/>
      <c r="Z54" s="190"/>
      <c r="AA54" s="190"/>
      <c r="AB54" s="221">
        <v>54</v>
      </c>
    </row>
    <row r="55" spans="1:35" ht="12.6" customHeight="1">
      <c r="A55" s="20"/>
      <c r="B55" s="789" t="s">
        <v>81</v>
      </c>
      <c r="C55" s="714"/>
      <c r="D55" s="714"/>
      <c r="E55" s="714"/>
      <c r="F55" s="382">
        <v>492</v>
      </c>
      <c r="G55" s="409">
        <f t="shared" ref="G55:G58" si="99">+F55*$X$1</f>
        <v>492</v>
      </c>
      <c r="H55" s="142"/>
      <c r="I55" s="382"/>
      <c r="J55" s="679">
        <f>F55+120</f>
        <v>612</v>
      </c>
      <c r="K55" s="382">
        <f t="shared" ref="K55" si="100">+J55*$X$1</f>
        <v>612</v>
      </c>
      <c r="L55" s="679">
        <f>F55+82</f>
        <v>574</v>
      </c>
      <c r="M55" s="382">
        <f t="shared" ref="M55" si="101">+L55*$X$1</f>
        <v>574</v>
      </c>
      <c r="N55" s="112">
        <f>F55+50</f>
        <v>542</v>
      </c>
      <c r="O55" s="409">
        <f t="shared" ref="O55" si="102">+N55*$X$1</f>
        <v>542</v>
      </c>
      <c r="P55" s="112">
        <f>F55+43</f>
        <v>535</v>
      </c>
      <c r="Q55" s="382">
        <f t="shared" si="49"/>
        <v>535</v>
      </c>
      <c r="R55" s="112">
        <f>F55+34</f>
        <v>526</v>
      </c>
      <c r="S55" s="409">
        <f t="shared" ref="S55" si="103">+R55*$X$1</f>
        <v>526</v>
      </c>
      <c r="T55" s="112">
        <f>F55+31</f>
        <v>523</v>
      </c>
      <c r="U55" s="409">
        <f t="shared" ref="U55" si="104">+T55*$X$1</f>
        <v>523</v>
      </c>
      <c r="V55" s="112">
        <f>F55+27</f>
        <v>519</v>
      </c>
      <c r="W55" s="382">
        <f t="shared" ref="W55" si="105">+V55*$X$1</f>
        <v>519</v>
      </c>
      <c r="X55" s="149"/>
      <c r="Y55" s="150"/>
      <c r="Z55" s="150"/>
      <c r="AA55" s="150"/>
      <c r="AB55" s="616">
        <v>60</v>
      </c>
    </row>
    <row r="56" spans="1:35" ht="12.6" customHeight="1">
      <c r="A56" s="20"/>
      <c r="B56" s="781" t="s">
        <v>663</v>
      </c>
      <c r="C56" s="698"/>
      <c r="D56" s="698"/>
      <c r="E56" s="698"/>
      <c r="F56" s="381">
        <v>527</v>
      </c>
      <c r="G56" s="337">
        <f t="shared" si="99"/>
        <v>527</v>
      </c>
      <c r="H56" s="141"/>
      <c r="I56" s="381"/>
      <c r="J56" s="421">
        <f>F56+120</f>
        <v>647</v>
      </c>
      <c r="K56" s="381">
        <f t="shared" ref="K56:K58" si="106">+J56*$X$1</f>
        <v>647</v>
      </c>
      <c r="L56" s="421">
        <f>F56+82</f>
        <v>609</v>
      </c>
      <c r="M56" s="381">
        <f t="shared" ref="M56:M58" si="107">+L56*$X$1</f>
        <v>609</v>
      </c>
      <c r="N56" s="113">
        <f>F56+50</f>
        <v>577</v>
      </c>
      <c r="O56" s="337">
        <f t="shared" ref="O56:O58" si="108">+N56*$X$1</f>
        <v>577</v>
      </c>
      <c r="P56" s="113">
        <f>F56+43</f>
        <v>570</v>
      </c>
      <c r="Q56" s="381">
        <f t="shared" ref="Q56:Q58" si="109">+P56*$X$1</f>
        <v>570</v>
      </c>
      <c r="R56" s="113">
        <f>F56+34</f>
        <v>561</v>
      </c>
      <c r="S56" s="337">
        <f t="shared" ref="S56:S58" si="110">+R56*$X$1</f>
        <v>561</v>
      </c>
      <c r="T56" s="113">
        <f>F56+31</f>
        <v>558</v>
      </c>
      <c r="U56" s="337">
        <f t="shared" ref="U56:U58" si="111">+T56*$X$1</f>
        <v>558</v>
      </c>
      <c r="V56" s="113">
        <f>F56+27</f>
        <v>554</v>
      </c>
      <c r="W56" s="381">
        <f t="shared" ref="W56:W58" si="112">+V56*$X$1</f>
        <v>554</v>
      </c>
      <c r="X56" s="149"/>
      <c r="Y56" s="150"/>
      <c r="Z56" s="150"/>
      <c r="AA56" s="150"/>
      <c r="AB56" s="616">
        <v>61</v>
      </c>
    </row>
    <row r="57" spans="1:35" ht="12.6" customHeight="1">
      <c r="A57" s="20"/>
      <c r="B57" s="1034" t="s">
        <v>82</v>
      </c>
      <c r="C57" s="931"/>
      <c r="D57" s="931"/>
      <c r="E57" s="931"/>
      <c r="F57" s="384">
        <v>501</v>
      </c>
      <c r="G57" s="472">
        <f t="shared" si="99"/>
        <v>501</v>
      </c>
      <c r="H57" s="680"/>
      <c r="I57" s="382"/>
      <c r="J57" s="679">
        <f>F57+120</f>
        <v>621</v>
      </c>
      <c r="K57" s="382">
        <f t="shared" si="106"/>
        <v>621</v>
      </c>
      <c r="L57" s="679">
        <f>F57+82</f>
        <v>583</v>
      </c>
      <c r="M57" s="382">
        <f t="shared" si="107"/>
        <v>583</v>
      </c>
      <c r="N57" s="112">
        <f>F57+50</f>
        <v>551</v>
      </c>
      <c r="O57" s="409">
        <f t="shared" si="108"/>
        <v>551</v>
      </c>
      <c r="P57" s="112">
        <f>F57+43</f>
        <v>544</v>
      </c>
      <c r="Q57" s="382">
        <f t="shared" si="109"/>
        <v>544</v>
      </c>
      <c r="R57" s="112">
        <f>F57+34</f>
        <v>535</v>
      </c>
      <c r="S57" s="409">
        <f t="shared" si="110"/>
        <v>535</v>
      </c>
      <c r="T57" s="112">
        <f>F57+31</f>
        <v>532</v>
      </c>
      <c r="U57" s="409">
        <f t="shared" si="111"/>
        <v>532</v>
      </c>
      <c r="V57" s="112">
        <f>F57+27</f>
        <v>528</v>
      </c>
      <c r="W57" s="382">
        <f t="shared" si="112"/>
        <v>528</v>
      </c>
      <c r="X57" s="149"/>
      <c r="Y57" s="150"/>
      <c r="Z57" s="150"/>
      <c r="AA57" s="150"/>
      <c r="AB57" s="616">
        <v>62</v>
      </c>
    </row>
    <row r="58" spans="1:35" ht="12.6" customHeight="1">
      <c r="A58" s="20"/>
      <c r="B58" s="781" t="s">
        <v>83</v>
      </c>
      <c r="C58" s="719"/>
      <c r="D58" s="719"/>
      <c r="E58" s="719"/>
      <c r="F58" s="381">
        <v>536</v>
      </c>
      <c r="G58" s="381">
        <f t="shared" si="99"/>
        <v>536</v>
      </c>
      <c r="H58" s="141"/>
      <c r="I58" s="381"/>
      <c r="J58" s="421">
        <f>F58+120</f>
        <v>656</v>
      </c>
      <c r="K58" s="381">
        <f t="shared" si="106"/>
        <v>656</v>
      </c>
      <c r="L58" s="421">
        <f>F58+82</f>
        <v>618</v>
      </c>
      <c r="M58" s="381">
        <f t="shared" si="107"/>
        <v>618</v>
      </c>
      <c r="N58" s="113">
        <f>F58+50</f>
        <v>586</v>
      </c>
      <c r="O58" s="337">
        <f t="shared" si="108"/>
        <v>586</v>
      </c>
      <c r="P58" s="113">
        <f>F58+43</f>
        <v>579</v>
      </c>
      <c r="Q58" s="381">
        <f t="shared" si="109"/>
        <v>579</v>
      </c>
      <c r="R58" s="113">
        <f>F58+34</f>
        <v>570</v>
      </c>
      <c r="S58" s="337">
        <f t="shared" si="110"/>
        <v>570</v>
      </c>
      <c r="T58" s="113">
        <f>F58+31</f>
        <v>567</v>
      </c>
      <c r="U58" s="337">
        <f t="shared" si="111"/>
        <v>567</v>
      </c>
      <c r="V58" s="113">
        <f>F58+27</f>
        <v>563</v>
      </c>
      <c r="W58" s="381">
        <f t="shared" si="112"/>
        <v>563</v>
      </c>
      <c r="X58" s="149"/>
      <c r="Y58" s="150"/>
      <c r="Z58" s="150"/>
      <c r="AA58" s="150"/>
      <c r="AB58" s="616">
        <v>63</v>
      </c>
      <c r="AD58" s="4"/>
      <c r="AE58" s="4"/>
      <c r="AF58" s="4"/>
      <c r="AG58" s="4"/>
      <c r="AH58" s="4"/>
      <c r="AI58" s="4"/>
    </row>
    <row r="59" spans="1:35" ht="12.6" customHeight="1">
      <c r="A59" s="20"/>
      <c r="B59" s="789" t="s">
        <v>657</v>
      </c>
      <c r="C59" s="714"/>
      <c r="D59" s="714"/>
      <c r="E59" s="714"/>
      <c r="F59" s="382">
        <v>580</v>
      </c>
      <c r="G59" s="382">
        <f t="shared" ref="G59" si="113">+F59*$X$1</f>
        <v>580</v>
      </c>
      <c r="H59" s="142"/>
      <c r="I59" s="382"/>
      <c r="J59" s="679">
        <f>F59+250</f>
        <v>830</v>
      </c>
      <c r="K59" s="382">
        <f t="shared" ref="K59" si="114">+J59*$X$1</f>
        <v>830</v>
      </c>
      <c r="L59" s="679">
        <f>F59+165</f>
        <v>745</v>
      </c>
      <c r="M59" s="382">
        <f t="shared" ref="M59" si="115">+L59*$X$1</f>
        <v>745</v>
      </c>
      <c r="N59" s="112">
        <f>F59+105</f>
        <v>685</v>
      </c>
      <c r="O59" s="409">
        <f t="shared" ref="O59:O63" si="116">+N59*$X$1</f>
        <v>685</v>
      </c>
      <c r="P59" s="112">
        <f>F59+90</f>
        <v>670</v>
      </c>
      <c r="Q59" s="382">
        <f t="shared" ref="Q59:Q63" si="117">+P59*$X$1</f>
        <v>670</v>
      </c>
      <c r="R59" s="112">
        <f>F59+78</f>
        <v>658</v>
      </c>
      <c r="S59" s="409">
        <f t="shared" ref="S59:S63" si="118">+R59*$X$1</f>
        <v>658</v>
      </c>
      <c r="T59" s="112">
        <f>F59+72</f>
        <v>652</v>
      </c>
      <c r="U59" s="409">
        <f t="shared" ref="U59:U63" si="119">+T59*$X$1</f>
        <v>652</v>
      </c>
      <c r="V59" s="112">
        <f>F59+65</f>
        <v>645</v>
      </c>
      <c r="W59" s="382">
        <f t="shared" ref="W59:W63" si="120">+V59*$X$1</f>
        <v>645</v>
      </c>
      <c r="X59" s="149"/>
      <c r="Y59" s="150"/>
      <c r="Z59" s="150"/>
      <c r="AA59" s="150"/>
      <c r="AB59" s="616">
        <v>64</v>
      </c>
    </row>
    <row r="60" spans="1:35" ht="12.6" customHeight="1">
      <c r="A60" s="20"/>
      <c r="B60" s="857" t="s">
        <v>442</v>
      </c>
      <c r="C60" s="858"/>
      <c r="D60" s="858"/>
      <c r="E60" s="858"/>
      <c r="F60" s="451">
        <v>210</v>
      </c>
      <c r="G60" s="451">
        <f t="shared" ref="G60:G68" si="121">+F60*$X$1</f>
        <v>210</v>
      </c>
      <c r="H60" s="378"/>
      <c r="I60" s="463"/>
      <c r="J60" s="268"/>
      <c r="K60" s="451"/>
      <c r="L60" s="127"/>
      <c r="M60" s="451"/>
      <c r="N60" s="527">
        <f t="shared" ref="N60:N65" si="122">F60+32</f>
        <v>242</v>
      </c>
      <c r="O60" s="450">
        <f t="shared" si="116"/>
        <v>242</v>
      </c>
      <c r="P60" s="527">
        <f t="shared" ref="P60:P63" si="123">F60+26</f>
        <v>236</v>
      </c>
      <c r="Q60" s="450">
        <f t="shared" si="117"/>
        <v>236</v>
      </c>
      <c r="R60" s="527">
        <f t="shared" ref="R60:R65" si="124">F60+23</f>
        <v>233</v>
      </c>
      <c r="S60" s="450">
        <f t="shared" si="118"/>
        <v>233</v>
      </c>
      <c r="T60" s="527">
        <f t="shared" ref="T60:T65" si="125">F60+20</f>
        <v>230</v>
      </c>
      <c r="U60" s="450">
        <f t="shared" si="119"/>
        <v>230</v>
      </c>
      <c r="V60" s="527">
        <f t="shared" ref="V60:V65" si="126">F60+18</f>
        <v>228</v>
      </c>
      <c r="W60" s="450">
        <f t="shared" si="120"/>
        <v>228</v>
      </c>
      <c r="X60" s="150"/>
      <c r="Y60" s="150"/>
      <c r="Z60" s="150"/>
      <c r="AA60" s="150"/>
      <c r="AB60" s="616">
        <v>85</v>
      </c>
    </row>
    <row r="61" spans="1:35" ht="12.6" customHeight="1">
      <c r="A61" s="20"/>
      <c r="B61" s="790" t="s">
        <v>777</v>
      </c>
      <c r="C61" s="791"/>
      <c r="D61" s="791"/>
      <c r="E61" s="791"/>
      <c r="F61" s="410">
        <v>519</v>
      </c>
      <c r="G61" s="454">
        <f t="shared" si="121"/>
        <v>519</v>
      </c>
      <c r="H61" s="377"/>
      <c r="I61" s="469"/>
      <c r="J61" s="247"/>
      <c r="K61" s="410"/>
      <c r="L61" s="113"/>
      <c r="M61" s="410"/>
      <c r="N61" s="421">
        <f t="shared" si="122"/>
        <v>551</v>
      </c>
      <c r="O61" s="381">
        <f t="shared" si="116"/>
        <v>551</v>
      </c>
      <c r="P61" s="421">
        <f t="shared" si="123"/>
        <v>545</v>
      </c>
      <c r="Q61" s="381">
        <f t="shared" si="117"/>
        <v>545</v>
      </c>
      <c r="R61" s="421">
        <f t="shared" si="124"/>
        <v>542</v>
      </c>
      <c r="S61" s="381">
        <f t="shared" si="118"/>
        <v>542</v>
      </c>
      <c r="T61" s="421">
        <f t="shared" si="125"/>
        <v>539</v>
      </c>
      <c r="U61" s="381">
        <f t="shared" si="119"/>
        <v>539</v>
      </c>
      <c r="V61" s="421">
        <f t="shared" si="126"/>
        <v>537</v>
      </c>
      <c r="W61" s="381">
        <f t="shared" si="120"/>
        <v>537</v>
      </c>
      <c r="X61" s="150"/>
      <c r="Y61" s="150"/>
      <c r="Z61" s="150"/>
      <c r="AA61" s="150"/>
      <c r="AB61" s="616" t="s">
        <v>84</v>
      </c>
    </row>
    <row r="62" spans="1:35" ht="12.6" customHeight="1">
      <c r="A62" s="20"/>
      <c r="B62" s="782" t="s">
        <v>776</v>
      </c>
      <c r="C62" s="731"/>
      <c r="D62" s="731"/>
      <c r="E62" s="731"/>
      <c r="F62" s="426">
        <v>460</v>
      </c>
      <c r="G62" s="456">
        <f t="shared" ref="G62" si="127">+F62*$X$1</f>
        <v>460</v>
      </c>
      <c r="H62" s="370"/>
      <c r="I62" s="465"/>
      <c r="J62" s="526"/>
      <c r="K62" s="426"/>
      <c r="L62" s="112"/>
      <c r="M62" s="426"/>
      <c r="N62" s="528">
        <f t="shared" si="122"/>
        <v>492</v>
      </c>
      <c r="O62" s="382">
        <f t="shared" si="116"/>
        <v>492</v>
      </c>
      <c r="P62" s="528">
        <f t="shared" si="123"/>
        <v>486</v>
      </c>
      <c r="Q62" s="382">
        <f t="shared" si="117"/>
        <v>486</v>
      </c>
      <c r="R62" s="528">
        <f t="shared" si="124"/>
        <v>483</v>
      </c>
      <c r="S62" s="382">
        <f t="shared" si="118"/>
        <v>483</v>
      </c>
      <c r="T62" s="528">
        <f t="shared" si="125"/>
        <v>480</v>
      </c>
      <c r="U62" s="382">
        <f t="shared" si="119"/>
        <v>480</v>
      </c>
      <c r="V62" s="528">
        <f t="shared" si="126"/>
        <v>478</v>
      </c>
      <c r="W62" s="382">
        <f t="shared" si="120"/>
        <v>478</v>
      </c>
      <c r="X62" s="150"/>
      <c r="Y62" s="150"/>
      <c r="Z62" s="150"/>
      <c r="AA62" s="150"/>
      <c r="AB62" s="616" t="s">
        <v>84</v>
      </c>
    </row>
    <row r="63" spans="1:35" ht="12.6" customHeight="1">
      <c r="A63" s="20"/>
      <c r="B63" s="790" t="s">
        <v>497</v>
      </c>
      <c r="C63" s="791"/>
      <c r="D63" s="791"/>
      <c r="E63" s="791"/>
      <c r="F63" s="410">
        <v>912</v>
      </c>
      <c r="G63" s="454">
        <f t="shared" si="121"/>
        <v>912</v>
      </c>
      <c r="H63" s="371"/>
      <c r="I63" s="464"/>
      <c r="J63" s="78">
        <f t="shared" ref="J63" si="128">F63+70</f>
        <v>982</v>
      </c>
      <c r="K63" s="381">
        <f t="shared" ref="K63" si="129">+J63*$X$1</f>
        <v>982</v>
      </c>
      <c r="L63" s="421">
        <f t="shared" ref="L63" si="130">F63+50</f>
        <v>962</v>
      </c>
      <c r="M63" s="381">
        <f t="shared" ref="M63" si="131">+L63*$X$1</f>
        <v>962</v>
      </c>
      <c r="N63" s="421">
        <f t="shared" si="122"/>
        <v>944</v>
      </c>
      <c r="O63" s="381">
        <f t="shared" si="116"/>
        <v>944</v>
      </c>
      <c r="P63" s="421">
        <f t="shared" si="123"/>
        <v>938</v>
      </c>
      <c r="Q63" s="381">
        <f t="shared" si="117"/>
        <v>938</v>
      </c>
      <c r="R63" s="421">
        <f t="shared" si="124"/>
        <v>935</v>
      </c>
      <c r="S63" s="381">
        <f t="shared" si="118"/>
        <v>935</v>
      </c>
      <c r="T63" s="421">
        <f t="shared" si="125"/>
        <v>932</v>
      </c>
      <c r="U63" s="381">
        <f t="shared" si="119"/>
        <v>932</v>
      </c>
      <c r="V63" s="421">
        <f t="shared" si="126"/>
        <v>930</v>
      </c>
      <c r="W63" s="381">
        <f t="shared" si="120"/>
        <v>930</v>
      </c>
      <c r="X63" s="150"/>
      <c r="Y63" s="150"/>
      <c r="Z63" s="150"/>
      <c r="AA63" s="150"/>
      <c r="AB63" s="616">
        <v>89</v>
      </c>
    </row>
    <row r="64" spans="1:35" ht="12.6" customHeight="1">
      <c r="A64" s="20"/>
      <c r="B64" s="789" t="s">
        <v>632</v>
      </c>
      <c r="C64" s="714"/>
      <c r="D64" s="714"/>
      <c r="E64" s="714"/>
      <c r="F64" s="382">
        <v>526</v>
      </c>
      <c r="G64" s="456">
        <f t="shared" si="121"/>
        <v>526</v>
      </c>
      <c r="H64" s="370"/>
      <c r="I64" s="465"/>
      <c r="J64" s="98"/>
      <c r="K64" s="409"/>
      <c r="L64" s="528"/>
      <c r="M64" s="409"/>
      <c r="N64" s="528">
        <f t="shared" si="122"/>
        <v>558</v>
      </c>
      <c r="O64" s="382">
        <f t="shared" ref="O64:O65" si="132">+N64*$X$1</f>
        <v>558</v>
      </c>
      <c r="P64" s="528">
        <f t="shared" ref="P64:P65" si="133">F64+26</f>
        <v>552</v>
      </c>
      <c r="Q64" s="382">
        <f t="shared" ref="Q64:Q65" si="134">+P64*$X$1</f>
        <v>552</v>
      </c>
      <c r="R64" s="528">
        <f t="shared" si="124"/>
        <v>549</v>
      </c>
      <c r="S64" s="382">
        <f t="shared" ref="S64:S65" si="135">+R64*$X$1</f>
        <v>549</v>
      </c>
      <c r="T64" s="528">
        <f t="shared" si="125"/>
        <v>546</v>
      </c>
      <c r="U64" s="382">
        <f t="shared" ref="U64:U65" si="136">+T64*$X$1</f>
        <v>546</v>
      </c>
      <c r="V64" s="528">
        <f t="shared" si="126"/>
        <v>544</v>
      </c>
      <c r="W64" s="382">
        <f t="shared" ref="W64:W65" si="137">+V64*$X$1</f>
        <v>544</v>
      </c>
      <c r="X64" s="166"/>
      <c r="Y64" s="166"/>
      <c r="Z64" s="166" t="s">
        <v>85</v>
      </c>
      <c r="AA64" s="150"/>
      <c r="AB64" s="616">
        <v>91</v>
      </c>
    </row>
    <row r="65" spans="1:38" ht="12.6" customHeight="1">
      <c r="A65" s="20"/>
      <c r="B65" s="1052" t="s">
        <v>86</v>
      </c>
      <c r="C65" s="1053"/>
      <c r="D65" s="1053"/>
      <c r="E65" s="1054"/>
      <c r="F65" s="381">
        <v>215</v>
      </c>
      <c r="G65" s="417">
        <f t="shared" si="121"/>
        <v>215</v>
      </c>
      <c r="H65" s="371"/>
      <c r="I65" s="464"/>
      <c r="J65" s="78"/>
      <c r="K65" s="337"/>
      <c r="L65" s="421"/>
      <c r="M65" s="337"/>
      <c r="N65" s="421">
        <f t="shared" si="122"/>
        <v>247</v>
      </c>
      <c r="O65" s="381">
        <f t="shared" si="132"/>
        <v>247</v>
      </c>
      <c r="P65" s="421">
        <f t="shared" si="133"/>
        <v>241</v>
      </c>
      <c r="Q65" s="381">
        <f t="shared" si="134"/>
        <v>241</v>
      </c>
      <c r="R65" s="421">
        <f t="shared" si="124"/>
        <v>238</v>
      </c>
      <c r="S65" s="381">
        <f t="shared" si="135"/>
        <v>238</v>
      </c>
      <c r="T65" s="421">
        <f t="shared" si="125"/>
        <v>235</v>
      </c>
      <c r="U65" s="381">
        <f t="shared" si="136"/>
        <v>235</v>
      </c>
      <c r="V65" s="421">
        <f t="shared" si="126"/>
        <v>233</v>
      </c>
      <c r="W65" s="381">
        <f t="shared" si="137"/>
        <v>233</v>
      </c>
      <c r="X65" s="166"/>
      <c r="Y65" s="166"/>
      <c r="Z65" s="166"/>
      <c r="AA65" s="150"/>
      <c r="AB65" s="616" t="s">
        <v>87</v>
      </c>
    </row>
    <row r="66" spans="1:38" ht="12.6" customHeight="1">
      <c r="A66" s="20"/>
      <c r="B66" s="1203" t="s">
        <v>408</v>
      </c>
      <c r="C66" s="1204"/>
      <c r="D66" s="1204"/>
      <c r="E66" s="1205"/>
      <c r="F66" s="382"/>
      <c r="G66" s="416"/>
      <c r="H66" s="370"/>
      <c r="I66" s="370"/>
      <c r="J66" s="98"/>
      <c r="K66" s="103"/>
      <c r="L66" s="525"/>
      <c r="M66" s="409"/>
      <c r="N66" s="112"/>
      <c r="O66" s="409"/>
      <c r="P66" s="112"/>
      <c r="Q66" s="382"/>
      <c r="R66" s="112"/>
      <c r="S66" s="409"/>
      <c r="T66" s="112"/>
      <c r="U66" s="409"/>
      <c r="V66" s="112"/>
      <c r="W66" s="382"/>
      <c r="X66" s="166"/>
      <c r="Y66" s="166"/>
      <c r="Z66" s="166"/>
      <c r="AA66" s="150"/>
      <c r="AB66" s="39"/>
    </row>
    <row r="67" spans="1:38" ht="12.6" customHeight="1">
      <c r="A67" s="20"/>
      <c r="B67" s="1052" t="s">
        <v>409</v>
      </c>
      <c r="C67" s="1053"/>
      <c r="D67" s="1053"/>
      <c r="E67" s="1054"/>
      <c r="F67" s="381"/>
      <c r="G67" s="417"/>
      <c r="H67" s="371"/>
      <c r="I67" s="371"/>
      <c r="J67" s="78"/>
      <c r="K67" s="105"/>
      <c r="L67" s="421"/>
      <c r="M67" s="337"/>
      <c r="N67" s="113"/>
      <c r="O67" s="337"/>
      <c r="P67" s="113"/>
      <c r="Q67" s="381"/>
      <c r="R67" s="113"/>
      <c r="S67" s="337"/>
      <c r="T67" s="113"/>
      <c r="U67" s="337"/>
      <c r="V67" s="113"/>
      <c r="W67" s="381"/>
      <c r="X67" s="166"/>
      <c r="Y67" s="166"/>
      <c r="Z67" s="166"/>
      <c r="AA67" s="150"/>
      <c r="AB67" s="39"/>
    </row>
    <row r="68" spans="1:38" ht="12.6" customHeight="1">
      <c r="A68" s="20"/>
      <c r="B68" s="789" t="s">
        <v>88</v>
      </c>
      <c r="C68" s="714"/>
      <c r="D68" s="714"/>
      <c r="E68" s="714"/>
      <c r="F68" s="382">
        <v>3511</v>
      </c>
      <c r="G68" s="416">
        <f t="shared" si="121"/>
        <v>3511</v>
      </c>
      <c r="H68" s="98">
        <f>F68+220</f>
        <v>3731</v>
      </c>
      <c r="I68" s="382">
        <f>+H68*$X$1</f>
        <v>3731</v>
      </c>
      <c r="J68" s="98">
        <f>F68+80</f>
        <v>3591</v>
      </c>
      <c r="K68" s="382">
        <f t="shared" ref="K68" si="138">+J68*$X$1</f>
        <v>3591</v>
      </c>
      <c r="L68" s="528">
        <f t="shared" ref="L68" si="139">F68+50</f>
        <v>3561</v>
      </c>
      <c r="M68" s="382">
        <f t="shared" ref="M68" si="140">+L68*$X$1</f>
        <v>3561</v>
      </c>
      <c r="N68" s="528">
        <f>F68+32</f>
        <v>3543</v>
      </c>
      <c r="O68" s="382">
        <f t="shared" ref="O68" si="141">+N68*$X$1</f>
        <v>3543</v>
      </c>
      <c r="P68" s="528">
        <f t="shared" ref="P68" si="142">F68+26</f>
        <v>3537</v>
      </c>
      <c r="Q68" s="382">
        <f t="shared" ref="Q68" si="143">+P68*$X$1</f>
        <v>3537</v>
      </c>
      <c r="R68" s="528">
        <f>F68+23</f>
        <v>3534</v>
      </c>
      <c r="S68" s="382">
        <f t="shared" ref="S68" si="144">+R68*$X$1</f>
        <v>3534</v>
      </c>
      <c r="T68" s="528">
        <f>F68+20</f>
        <v>3531</v>
      </c>
      <c r="U68" s="382">
        <f t="shared" ref="U68" si="145">+T68*$X$1</f>
        <v>3531</v>
      </c>
      <c r="V68" s="528">
        <f>F68+18</f>
        <v>3529</v>
      </c>
      <c r="W68" s="382">
        <f t="shared" ref="W68" si="146">+V68*$X$1</f>
        <v>3529</v>
      </c>
      <c r="X68" s="153"/>
      <c r="Y68" s="150"/>
      <c r="Z68" s="150"/>
      <c r="AA68" s="150"/>
      <c r="AB68" s="616">
        <v>92</v>
      </c>
    </row>
    <row r="69" spans="1:38" ht="12.6" customHeight="1">
      <c r="A69" s="64"/>
      <c r="B69" s="781" t="s">
        <v>586</v>
      </c>
      <c r="C69" s="719"/>
      <c r="D69" s="719"/>
      <c r="E69" s="719"/>
      <c r="F69" s="381"/>
      <c r="G69" s="337"/>
      <c r="H69" s="118"/>
      <c r="I69" s="1048" t="s">
        <v>595</v>
      </c>
      <c r="J69" s="1049"/>
      <c r="K69" s="1049"/>
      <c r="L69" s="1050"/>
      <c r="M69" s="1051"/>
      <c r="N69" s="421">
        <v>864</v>
      </c>
      <c r="O69" s="417">
        <f>+N69*$X$1</f>
        <v>864</v>
      </c>
      <c r="P69" s="428">
        <v>860</v>
      </c>
      <c r="Q69" s="411">
        <f>+P69*$X$1</f>
        <v>860</v>
      </c>
      <c r="R69" s="421">
        <v>815</v>
      </c>
      <c r="S69" s="337">
        <f>+R69*$X$1</f>
        <v>815</v>
      </c>
      <c r="T69" s="421">
        <v>778</v>
      </c>
      <c r="U69" s="381">
        <f>+T69*$X$1</f>
        <v>778</v>
      </c>
      <c r="V69" s="421">
        <v>708</v>
      </c>
      <c r="W69" s="381">
        <f>+V69*$X$1</f>
        <v>708</v>
      </c>
      <c r="X69" s="817"/>
      <c r="Y69" s="817"/>
      <c r="Z69" s="817"/>
      <c r="AA69" s="817"/>
      <c r="AB69" s="221" t="s">
        <v>587</v>
      </c>
    </row>
    <row r="70" spans="1:38" ht="12.6" customHeight="1">
      <c r="A70" s="64"/>
      <c r="B70" s="789" t="s">
        <v>398</v>
      </c>
      <c r="C70" s="760"/>
      <c r="D70" s="760"/>
      <c r="E70" s="760"/>
      <c r="F70" s="382"/>
      <c r="G70" s="409"/>
      <c r="H70" s="316"/>
      <c r="I70" s="1041" t="s">
        <v>595</v>
      </c>
      <c r="J70" s="1042"/>
      <c r="K70" s="1042"/>
      <c r="L70" s="1043"/>
      <c r="M70" s="1044"/>
      <c r="N70" s="679">
        <v>930</v>
      </c>
      <c r="O70" s="416">
        <f>+N70*$X$1</f>
        <v>930</v>
      </c>
      <c r="P70" s="395">
        <v>926</v>
      </c>
      <c r="Q70" s="455">
        <f>+P70*$X$1</f>
        <v>926</v>
      </c>
      <c r="R70" s="679">
        <v>876</v>
      </c>
      <c r="S70" s="409">
        <f>+R70*$X$1</f>
        <v>876</v>
      </c>
      <c r="T70" s="679">
        <v>852</v>
      </c>
      <c r="U70" s="382">
        <f>+T70*$X$1</f>
        <v>852</v>
      </c>
      <c r="V70" s="679">
        <v>770</v>
      </c>
      <c r="W70" s="382">
        <f>+V70*$X$1</f>
        <v>770</v>
      </c>
      <c r="X70" s="817"/>
      <c r="Y70" s="817"/>
      <c r="Z70" s="817"/>
      <c r="AA70" s="817"/>
      <c r="AB70" s="221" t="s">
        <v>89</v>
      </c>
    </row>
    <row r="71" spans="1:38" ht="12.6" customHeight="1">
      <c r="A71" s="64"/>
      <c r="B71" s="781" t="s">
        <v>588</v>
      </c>
      <c r="C71" s="719"/>
      <c r="D71" s="719"/>
      <c r="E71" s="719"/>
      <c r="F71" s="381"/>
      <c r="G71" s="337"/>
      <c r="H71" s="118"/>
      <c r="I71" s="1048" t="s">
        <v>595</v>
      </c>
      <c r="J71" s="1049"/>
      <c r="K71" s="1049"/>
      <c r="L71" s="1050"/>
      <c r="M71" s="1051"/>
      <c r="N71" s="421">
        <v>1360</v>
      </c>
      <c r="O71" s="417">
        <f>+N71*$X$1</f>
        <v>1360</v>
      </c>
      <c r="P71" s="396">
        <v>1355</v>
      </c>
      <c r="Q71" s="411">
        <f>+P71*$X$1</f>
        <v>1355</v>
      </c>
      <c r="R71" s="421">
        <v>1305</v>
      </c>
      <c r="S71" s="337">
        <f>+R71*$X$1</f>
        <v>1305</v>
      </c>
      <c r="T71" s="421">
        <v>1281</v>
      </c>
      <c r="U71" s="381">
        <f>+T71*$X$1</f>
        <v>1281</v>
      </c>
      <c r="V71" s="421">
        <v>1199</v>
      </c>
      <c r="W71" s="381">
        <f>+V71*$X$1</f>
        <v>1199</v>
      </c>
      <c r="X71" s="817"/>
      <c r="Y71" s="817"/>
      <c r="Z71" s="817"/>
      <c r="AA71" s="817"/>
      <c r="AB71" s="221" t="s">
        <v>589</v>
      </c>
    </row>
    <row r="72" spans="1:38" ht="12.6" customHeight="1">
      <c r="A72" s="20"/>
      <c r="B72" s="789" t="s">
        <v>399</v>
      </c>
      <c r="C72" s="760"/>
      <c r="D72" s="760"/>
      <c r="E72" s="760"/>
      <c r="F72" s="382"/>
      <c r="G72" s="409"/>
      <c r="H72" s="316"/>
      <c r="I72" s="1064"/>
      <c r="J72" s="1065"/>
      <c r="K72" s="1065"/>
      <c r="L72" s="370"/>
      <c r="M72" s="465"/>
      <c r="N72" s="555"/>
      <c r="O72" s="416"/>
      <c r="P72" s="628"/>
      <c r="Q72" s="382"/>
      <c r="R72" s="628"/>
      <c r="S72" s="409"/>
      <c r="T72" s="628"/>
      <c r="U72" s="382"/>
      <c r="V72" s="104"/>
      <c r="W72" s="382"/>
      <c r="X72" s="817"/>
      <c r="Y72" s="817"/>
      <c r="Z72" s="817"/>
      <c r="AA72" s="817"/>
      <c r="AB72" s="221" t="s">
        <v>90</v>
      </c>
      <c r="AH72" s="4"/>
      <c r="AI72" s="4"/>
      <c r="AJ72" s="4"/>
    </row>
    <row r="73" spans="1:38" s="6" customFormat="1" ht="12.6" customHeight="1">
      <c r="A73" s="64"/>
      <c r="B73" s="1058" t="s">
        <v>482</v>
      </c>
      <c r="C73" s="703"/>
      <c r="D73" s="703"/>
      <c r="E73" s="704"/>
      <c r="F73" s="381"/>
      <c r="G73" s="337"/>
      <c r="H73" s="421"/>
      <c r="I73" s="417"/>
      <c r="J73" s="422"/>
      <c r="K73" s="495"/>
      <c r="L73" s="423">
        <v>2326</v>
      </c>
      <c r="M73" s="381">
        <f>+L73*$X$1</f>
        <v>2326</v>
      </c>
      <c r="N73" s="421">
        <v>2193</v>
      </c>
      <c r="O73" s="417">
        <f>+N73*$X$1</f>
        <v>2193</v>
      </c>
      <c r="P73" s="559">
        <v>2020</v>
      </c>
      <c r="Q73" s="411">
        <f>+P73*$X$1</f>
        <v>2020</v>
      </c>
      <c r="R73" s="421">
        <v>1990</v>
      </c>
      <c r="S73" s="337">
        <f>+R73*$X$1</f>
        <v>1990</v>
      </c>
      <c r="T73" s="421">
        <v>1936</v>
      </c>
      <c r="U73" s="381">
        <f>+T73*$X$1</f>
        <v>1936</v>
      </c>
      <c r="V73" s="677"/>
      <c r="W73" s="492"/>
      <c r="X73" s="314"/>
      <c r="Y73" s="315"/>
      <c r="Z73" s="315"/>
      <c r="AA73" s="315"/>
      <c r="AB73" s="221" t="s">
        <v>91</v>
      </c>
      <c r="AC73" s="9"/>
      <c r="AD73" s="9"/>
      <c r="AE73" s="9"/>
      <c r="AF73" s="9"/>
      <c r="AG73" s="9"/>
      <c r="AH73" s="63"/>
      <c r="AI73" s="26"/>
      <c r="AJ73" s="63"/>
      <c r="AK73" s="9"/>
      <c r="AL73" s="9"/>
    </row>
    <row r="74" spans="1:38" s="6" customFormat="1" ht="12.6" customHeight="1">
      <c r="A74" s="64"/>
      <c r="B74" s="1055" t="s">
        <v>483</v>
      </c>
      <c r="C74" s="1056"/>
      <c r="D74" s="1056"/>
      <c r="E74" s="1057"/>
      <c r="F74" s="382"/>
      <c r="G74" s="491"/>
      <c r="H74" s="525"/>
      <c r="I74" s="494"/>
      <c r="J74" s="388"/>
      <c r="K74" s="496"/>
      <c r="L74" s="424">
        <v>3270</v>
      </c>
      <c r="M74" s="382">
        <f>+L74*$X$1</f>
        <v>3270</v>
      </c>
      <c r="N74" s="679">
        <v>3070</v>
      </c>
      <c r="O74" s="494">
        <f>+N74*$X$1</f>
        <v>3070</v>
      </c>
      <c r="P74" s="560">
        <v>3003</v>
      </c>
      <c r="Q74" s="455">
        <f>+P74*$X$1</f>
        <v>3003</v>
      </c>
      <c r="R74" s="679">
        <v>2971</v>
      </c>
      <c r="S74" s="491">
        <f>+R74*$X$1</f>
        <v>2971</v>
      </c>
      <c r="T74" s="679">
        <v>2788</v>
      </c>
      <c r="U74" s="382">
        <f>+T74*$X$1</f>
        <v>2788</v>
      </c>
      <c r="V74" s="678"/>
      <c r="W74" s="493"/>
      <c r="X74" s="1059"/>
      <c r="Y74" s="1060"/>
      <c r="Z74" s="1060"/>
      <c r="AA74" s="1060"/>
      <c r="AB74" s="221" t="s">
        <v>92</v>
      </c>
      <c r="AC74" s="9"/>
      <c r="AD74" s="9"/>
      <c r="AE74" s="9"/>
      <c r="AF74" s="9"/>
      <c r="AG74" s="9"/>
      <c r="AH74" s="63"/>
      <c r="AI74" s="63"/>
      <c r="AJ74" s="63"/>
      <c r="AK74" s="9"/>
      <c r="AL74" s="9"/>
    </row>
    <row r="75" spans="1:38" ht="12.6" customHeight="1">
      <c r="A75" s="106"/>
      <c r="B75" s="120"/>
      <c r="C75" s="74"/>
      <c r="D75" s="74"/>
      <c r="E75" s="74"/>
      <c r="F75" s="211"/>
      <c r="G75" s="211"/>
      <c r="H75" s="211"/>
      <c r="I75" s="211"/>
      <c r="J75" s="211"/>
      <c r="K75" s="211"/>
      <c r="L75" s="121"/>
      <c r="M75" s="121"/>
      <c r="N75" s="122"/>
      <c r="O75" s="122"/>
      <c r="P75" s="122"/>
      <c r="Q75" s="123"/>
      <c r="R75" s="95"/>
      <c r="S75" s="70"/>
      <c r="T75" s="70"/>
      <c r="U75" s="70"/>
      <c r="V75" s="70"/>
      <c r="W75" s="70"/>
      <c r="X75" s="83"/>
      <c r="AB75" s="119"/>
    </row>
    <row r="76" spans="1:38" ht="12.6" customHeight="1">
      <c r="A76" s="106"/>
      <c r="B76" s="120"/>
      <c r="C76" s="420"/>
      <c r="D76" s="420"/>
      <c r="E76" s="420"/>
      <c r="F76" s="300"/>
      <c r="G76" s="300"/>
      <c r="H76" s="300"/>
      <c r="I76" s="300"/>
      <c r="J76" s="300"/>
      <c r="K76" s="300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thickBot="1">
      <c r="A77" s="106"/>
      <c r="B77" s="120"/>
      <c r="C77" s="301"/>
      <c r="D77" s="301"/>
      <c r="E77" s="301"/>
      <c r="F77" s="300"/>
      <c r="G77" s="300"/>
      <c r="H77" s="300"/>
      <c r="I77" s="300"/>
      <c r="J77" s="300"/>
      <c r="K77" s="300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5.75" customHeight="1">
      <c r="A78" s="20"/>
      <c r="B78" s="739" t="s">
        <v>11</v>
      </c>
      <c r="C78" s="965" t="s">
        <v>12</v>
      </c>
      <c r="D78" s="966"/>
      <c r="E78" s="966"/>
      <c r="F78" s="787" t="s">
        <v>13</v>
      </c>
      <c r="G78" s="787" t="s">
        <v>13</v>
      </c>
      <c r="H78" s="1019" t="s">
        <v>14</v>
      </c>
      <c r="I78" s="1019"/>
      <c r="J78" s="1020"/>
      <c r="K78" s="1020"/>
      <c r="L78" s="1020"/>
      <c r="M78" s="1020"/>
      <c r="N78" s="1020"/>
      <c r="O78" s="1020"/>
      <c r="P78" s="1020"/>
      <c r="Q78" s="1020"/>
      <c r="R78" s="1020"/>
      <c r="S78" s="1020"/>
      <c r="T78" s="1020"/>
      <c r="U78" s="1020"/>
      <c r="V78" s="1020"/>
      <c r="W78" s="1021"/>
      <c r="X78" s="778" t="s">
        <v>15</v>
      </c>
      <c r="Y78" s="778"/>
      <c r="Z78" s="778"/>
      <c r="AA78" s="778"/>
      <c r="AB78" s="831" t="s">
        <v>16</v>
      </c>
      <c r="AF78" s="815" t="s">
        <v>3</v>
      </c>
      <c r="AG78" s="816"/>
      <c r="AH78" s="816"/>
    </row>
    <row r="79" spans="1:38" ht="12" customHeight="1" thickBot="1">
      <c r="A79" s="20"/>
      <c r="B79" s="740"/>
      <c r="C79" s="967"/>
      <c r="D79" s="967"/>
      <c r="E79" s="967"/>
      <c r="F79" s="788"/>
      <c r="G79" s="788"/>
      <c r="H79" s="330"/>
      <c r="I79" s="326" t="s">
        <v>318</v>
      </c>
      <c r="J79" s="330"/>
      <c r="K79" s="326" t="s">
        <v>18</v>
      </c>
      <c r="L79" s="331"/>
      <c r="M79" s="331" t="s">
        <v>19</v>
      </c>
      <c r="N79" s="331"/>
      <c r="O79" s="326" t="s">
        <v>20</v>
      </c>
      <c r="P79" s="332"/>
      <c r="Q79" s="331" t="s">
        <v>320</v>
      </c>
      <c r="R79" s="331"/>
      <c r="S79" s="331" t="s">
        <v>21</v>
      </c>
      <c r="T79" s="331"/>
      <c r="U79" s="331" t="s">
        <v>22</v>
      </c>
      <c r="V79" s="331"/>
      <c r="W79" s="333" t="s">
        <v>23</v>
      </c>
      <c r="X79" s="780"/>
      <c r="Y79" s="780"/>
      <c r="Z79" s="780"/>
      <c r="AA79" s="780"/>
      <c r="AB79" s="1202"/>
    </row>
    <row r="80" spans="1:38" ht="12.6" customHeight="1">
      <c r="A80" s="20"/>
      <c r="B80" s="713" t="s">
        <v>93</v>
      </c>
      <c r="C80" s="714"/>
      <c r="D80" s="714"/>
      <c r="E80" s="1022"/>
      <c r="F80" s="1206" t="s">
        <v>884</v>
      </c>
      <c r="G80" s="1207"/>
      <c r="H80" s="1207"/>
      <c r="I80" s="1207"/>
      <c r="J80" s="343"/>
      <c r="K80" s="370"/>
      <c r="L80" s="404"/>
      <c r="M80" s="382"/>
      <c r="N80" s="555"/>
      <c r="O80" s="455"/>
      <c r="P80" s="372"/>
      <c r="Q80" s="455"/>
      <c r="R80" s="555"/>
      <c r="S80" s="382"/>
      <c r="T80" s="555"/>
      <c r="U80" s="382"/>
      <c r="V80" s="555"/>
      <c r="W80" s="382"/>
      <c r="X80" s="150"/>
      <c r="Y80" s="150"/>
      <c r="Z80" s="150"/>
      <c r="AA80" s="150"/>
      <c r="AB80" s="623" t="s">
        <v>94</v>
      </c>
      <c r="AC80" s="619" t="s">
        <v>95</v>
      </c>
      <c r="AD80" s="619" t="s">
        <v>96</v>
      </c>
      <c r="AE80" s="619" t="s">
        <v>97</v>
      </c>
      <c r="AF80" s="619" t="s">
        <v>98</v>
      </c>
      <c r="AG80" s="619" t="s">
        <v>99</v>
      </c>
    </row>
    <row r="81" spans="1:34" ht="12.6" customHeight="1">
      <c r="A81" s="20"/>
      <c r="B81" s="697" t="s">
        <v>100</v>
      </c>
      <c r="C81" s="698"/>
      <c r="D81" s="698"/>
      <c r="E81" s="1068"/>
      <c r="F81" s="1208"/>
      <c r="G81" s="1209"/>
      <c r="H81" s="1209"/>
      <c r="I81" s="1209"/>
      <c r="J81" s="19"/>
      <c r="K81" s="377"/>
      <c r="L81" s="405"/>
      <c r="M81" s="381"/>
      <c r="N81" s="561"/>
      <c r="O81" s="417"/>
      <c r="P81" s="373"/>
      <c r="Q81" s="411"/>
      <c r="R81" s="561"/>
      <c r="S81" s="337"/>
      <c r="T81" s="561"/>
      <c r="U81" s="381"/>
      <c r="V81" s="124"/>
      <c r="W81" s="381"/>
      <c r="X81" s="154"/>
      <c r="Y81" s="154"/>
      <c r="Z81" s="154"/>
      <c r="AA81" s="154"/>
      <c r="AB81" s="623" t="s">
        <v>101</v>
      </c>
      <c r="AC81" s="619" t="s">
        <v>102</v>
      </c>
      <c r="AD81" s="619" t="s">
        <v>103</v>
      </c>
      <c r="AE81" s="619" t="s">
        <v>104</v>
      </c>
      <c r="AF81" s="619" t="s">
        <v>105</v>
      </c>
      <c r="AG81" s="619" t="s">
        <v>106</v>
      </c>
      <c r="AH81" s="619" t="s">
        <v>107</v>
      </c>
    </row>
    <row r="82" spans="1:34" ht="12.6" customHeight="1">
      <c r="A82" s="20"/>
      <c r="B82" s="713" t="s">
        <v>108</v>
      </c>
      <c r="C82" s="714"/>
      <c r="D82" s="714"/>
      <c r="E82" s="1022"/>
      <c r="F82" s="1208"/>
      <c r="G82" s="1209"/>
      <c r="H82" s="1209"/>
      <c r="I82" s="1209"/>
      <c r="J82" s="343"/>
      <c r="K82" s="370"/>
      <c r="L82" s="404"/>
      <c r="M82" s="382"/>
      <c r="N82" s="555"/>
      <c r="O82" s="416"/>
      <c r="P82" s="372"/>
      <c r="Q82" s="455"/>
      <c r="R82" s="555"/>
      <c r="S82" s="409"/>
      <c r="T82" s="555"/>
      <c r="U82" s="382"/>
      <c r="V82" s="555"/>
      <c r="W82" s="382"/>
      <c r="X82" s="1066"/>
      <c r="Y82" s="1067"/>
      <c r="Z82" s="1067"/>
      <c r="AA82" s="214">
        <f>190*$X$1</f>
        <v>190</v>
      </c>
      <c r="AB82" s="623" t="s">
        <v>109</v>
      </c>
      <c r="AC82" s="619" t="s">
        <v>110</v>
      </c>
      <c r="AD82" s="619" t="s">
        <v>111</v>
      </c>
      <c r="AE82" s="619" t="s">
        <v>112</v>
      </c>
      <c r="AF82" s="619" t="s">
        <v>113</v>
      </c>
      <c r="AG82" s="624" t="s">
        <v>114</v>
      </c>
      <c r="AH82" s="619" t="s">
        <v>115</v>
      </c>
    </row>
    <row r="83" spans="1:34" ht="12.6" customHeight="1">
      <c r="A83" s="20"/>
      <c r="B83" s="697" t="s">
        <v>116</v>
      </c>
      <c r="C83" s="698"/>
      <c r="D83" s="698"/>
      <c r="E83" s="1068"/>
      <c r="F83" s="1208"/>
      <c r="G83" s="1209"/>
      <c r="H83" s="1209"/>
      <c r="I83" s="1209"/>
      <c r="J83" s="19"/>
      <c r="K83" s="377"/>
      <c r="L83" s="405"/>
      <c r="M83" s="381"/>
      <c r="N83" s="124"/>
      <c r="O83" s="417"/>
      <c r="P83" s="373"/>
      <c r="Q83" s="411"/>
      <c r="R83" s="124"/>
      <c r="S83" s="337"/>
      <c r="T83" s="124"/>
      <c r="U83" s="381"/>
      <c r="V83" s="124"/>
      <c r="W83" s="381"/>
      <c r="X83" s="1066"/>
      <c r="Y83" s="1067"/>
      <c r="Z83" s="1067"/>
      <c r="AA83" s="214">
        <f>190*$X$1</f>
        <v>190</v>
      </c>
      <c r="AB83" s="623" t="s">
        <v>117</v>
      </c>
      <c r="AC83" s="625" t="s">
        <v>118</v>
      </c>
      <c r="AD83" s="625" t="s">
        <v>119</v>
      </c>
      <c r="AE83" s="625" t="s">
        <v>120</v>
      </c>
      <c r="AF83" s="625" t="s">
        <v>121</v>
      </c>
      <c r="AG83" s="33"/>
    </row>
    <row r="84" spans="1:34" ht="12.6" customHeight="1">
      <c r="A84" s="20"/>
      <c r="B84" s="713" t="s">
        <v>122</v>
      </c>
      <c r="C84" s="714"/>
      <c r="D84" s="714"/>
      <c r="E84" s="1022"/>
      <c r="F84" s="1208"/>
      <c r="G84" s="1209"/>
      <c r="H84" s="1209"/>
      <c r="I84" s="1209"/>
      <c r="J84" s="343"/>
      <c r="K84" s="370"/>
      <c r="L84" s="404"/>
      <c r="M84" s="382"/>
      <c r="N84" s="555"/>
      <c r="O84" s="416"/>
      <c r="P84" s="372"/>
      <c r="Q84" s="455"/>
      <c r="R84" s="555"/>
      <c r="S84" s="409"/>
      <c r="T84" s="555"/>
      <c r="U84" s="382"/>
      <c r="V84" s="555"/>
      <c r="W84" s="382"/>
      <c r="X84" s="171"/>
      <c r="Y84" s="171"/>
      <c r="Z84" s="171"/>
      <c r="AA84" s="171"/>
      <c r="AB84" s="34" t="s">
        <v>123</v>
      </c>
      <c r="AC84" s="619" t="s">
        <v>124</v>
      </c>
      <c r="AD84" s="619" t="s">
        <v>125</v>
      </c>
      <c r="AE84" s="619" t="s">
        <v>126</v>
      </c>
      <c r="AF84" s="619" t="s">
        <v>127</v>
      </c>
      <c r="AG84" s="619" t="s">
        <v>128</v>
      </c>
    </row>
    <row r="85" spans="1:34" ht="12.6" customHeight="1">
      <c r="A85" s="20"/>
      <c r="B85" s="697" t="s">
        <v>129</v>
      </c>
      <c r="C85" s="698"/>
      <c r="D85" s="698"/>
      <c r="E85" s="1068"/>
      <c r="F85" s="1208"/>
      <c r="G85" s="1209"/>
      <c r="H85" s="1209"/>
      <c r="I85" s="1209"/>
      <c r="J85" s="19"/>
      <c r="K85" s="377"/>
      <c r="L85" s="405"/>
      <c r="M85" s="381"/>
      <c r="N85" s="124"/>
      <c r="O85" s="417"/>
      <c r="P85" s="373"/>
      <c r="Q85" s="411"/>
      <c r="R85" s="124"/>
      <c r="S85" s="337"/>
      <c r="T85" s="124"/>
      <c r="U85" s="381"/>
      <c r="V85" s="124"/>
      <c r="W85" s="381"/>
      <c r="X85" s="171"/>
      <c r="Y85" s="171"/>
      <c r="Z85" s="171"/>
      <c r="AA85" s="171"/>
      <c r="AB85" s="34" t="s">
        <v>130</v>
      </c>
      <c r="AC85" s="625" t="s">
        <v>131</v>
      </c>
      <c r="AD85" s="625" t="s">
        <v>132</v>
      </c>
      <c r="AE85" s="625" t="s">
        <v>133</v>
      </c>
    </row>
    <row r="86" spans="1:34" ht="12.6" customHeight="1">
      <c r="A86" s="20"/>
      <c r="B86" s="713" t="s">
        <v>134</v>
      </c>
      <c r="C86" s="714"/>
      <c r="D86" s="714"/>
      <c r="E86" s="1022"/>
      <c r="F86" s="1208"/>
      <c r="G86" s="1209"/>
      <c r="H86" s="1209"/>
      <c r="I86" s="1209"/>
      <c r="J86" s="343"/>
      <c r="K86" s="370"/>
      <c r="L86" s="404"/>
      <c r="M86" s="382"/>
      <c r="N86" s="555"/>
      <c r="O86" s="416"/>
      <c r="P86" s="372"/>
      <c r="Q86" s="455"/>
      <c r="R86" s="555"/>
      <c r="S86" s="409"/>
      <c r="T86" s="555"/>
      <c r="U86" s="382"/>
      <c r="V86" s="555"/>
      <c r="W86" s="382"/>
      <c r="X86" s="1066"/>
      <c r="Y86" s="1067"/>
      <c r="Z86" s="1067"/>
      <c r="AA86" s="214">
        <f>190*$X$1</f>
        <v>190</v>
      </c>
      <c r="AB86" s="34" t="s">
        <v>135</v>
      </c>
      <c r="AC86" s="619" t="s">
        <v>136</v>
      </c>
      <c r="AD86" s="619" t="s">
        <v>137</v>
      </c>
      <c r="AE86" s="619" t="s">
        <v>138</v>
      </c>
      <c r="AF86" s="619" t="s">
        <v>139</v>
      </c>
      <c r="AG86" s="619" t="s">
        <v>140</v>
      </c>
      <c r="AH86" s="619" t="s">
        <v>141</v>
      </c>
    </row>
    <row r="87" spans="1:34" ht="12.6" customHeight="1">
      <c r="A87" s="20"/>
      <c r="B87" s="697" t="s">
        <v>142</v>
      </c>
      <c r="C87" s="698"/>
      <c r="D87" s="698"/>
      <c r="E87" s="1068"/>
      <c r="F87" s="1208"/>
      <c r="G87" s="1209"/>
      <c r="H87" s="1209"/>
      <c r="I87" s="1209"/>
      <c r="J87" s="19"/>
      <c r="K87" s="377"/>
      <c r="L87" s="405"/>
      <c r="M87" s="381"/>
      <c r="N87" s="124"/>
      <c r="O87" s="417"/>
      <c r="P87" s="373"/>
      <c r="Q87" s="411"/>
      <c r="R87" s="124"/>
      <c r="S87" s="337"/>
      <c r="T87" s="124"/>
      <c r="U87" s="381"/>
      <c r="V87" s="124"/>
      <c r="W87" s="381"/>
      <c r="X87" s="1066"/>
      <c r="Y87" s="1067"/>
      <c r="Z87" s="1067"/>
      <c r="AA87" s="214">
        <f>3600*$X$1</f>
        <v>3600</v>
      </c>
      <c r="AB87" s="621" t="s">
        <v>143</v>
      </c>
      <c r="AC87" s="71"/>
      <c r="AD87" s="71"/>
      <c r="AE87" s="71"/>
      <c r="AF87" s="71"/>
      <c r="AG87" s="71"/>
    </row>
    <row r="88" spans="1:34" ht="12.6" customHeight="1">
      <c r="A88" s="20"/>
      <c r="B88" s="713" t="s">
        <v>144</v>
      </c>
      <c r="C88" s="714"/>
      <c r="D88" s="714"/>
      <c r="E88" s="1022"/>
      <c r="F88" s="1208"/>
      <c r="G88" s="1209"/>
      <c r="H88" s="1209"/>
      <c r="I88" s="1209"/>
      <c r="J88" s="343"/>
      <c r="K88" s="370"/>
      <c r="L88" s="404"/>
      <c r="M88" s="382"/>
      <c r="N88" s="555"/>
      <c r="O88" s="416"/>
      <c r="P88" s="372"/>
      <c r="Q88" s="455"/>
      <c r="R88" s="555"/>
      <c r="S88" s="409"/>
      <c r="T88" s="555"/>
      <c r="U88" s="382"/>
      <c r="V88" s="555"/>
      <c r="W88" s="382"/>
      <c r="X88" s="170"/>
      <c r="Y88" s="170"/>
      <c r="Z88" s="170"/>
      <c r="AA88" s="170"/>
      <c r="AB88" s="619" t="s">
        <v>145</v>
      </c>
      <c r="AC88" s="71"/>
      <c r="AD88" s="71"/>
      <c r="AE88" s="71"/>
      <c r="AF88" s="71"/>
      <c r="AG88" s="71"/>
    </row>
    <row r="89" spans="1:34" ht="12.6" customHeight="1">
      <c r="A89" s="20"/>
      <c r="B89" s="697" t="s">
        <v>146</v>
      </c>
      <c r="C89" s="698"/>
      <c r="D89" s="698"/>
      <c r="E89" s="1068"/>
      <c r="F89" s="1208"/>
      <c r="G89" s="1209"/>
      <c r="H89" s="1209"/>
      <c r="I89" s="1209"/>
      <c r="J89" s="19"/>
      <c r="K89" s="377"/>
      <c r="L89" s="405"/>
      <c r="M89" s="381"/>
      <c r="N89" s="124"/>
      <c r="O89" s="417"/>
      <c r="P89" s="373"/>
      <c r="Q89" s="417"/>
      <c r="R89" s="124"/>
      <c r="S89" s="417"/>
      <c r="T89" s="124"/>
      <c r="U89" s="381"/>
      <c r="V89" s="124"/>
      <c r="W89" s="381"/>
      <c r="X89" s="170"/>
      <c r="Y89" s="170"/>
      <c r="Z89" s="170"/>
      <c r="AA89" s="170"/>
      <c r="AB89" s="619" t="s">
        <v>147</v>
      </c>
      <c r="AC89" s="71"/>
      <c r="AD89" s="71"/>
      <c r="AE89" s="71"/>
      <c r="AF89" s="71"/>
      <c r="AG89" s="71"/>
    </row>
    <row r="90" spans="1:34" ht="12.6" customHeight="1">
      <c r="A90" s="20"/>
      <c r="B90" s="713" t="s">
        <v>148</v>
      </c>
      <c r="C90" s="714"/>
      <c r="D90" s="714"/>
      <c r="E90" s="1022"/>
      <c r="F90" s="1210"/>
      <c r="G90" s="1211"/>
      <c r="H90" s="1211"/>
      <c r="I90" s="1211"/>
      <c r="J90" s="343"/>
      <c r="K90" s="370"/>
      <c r="L90" s="404"/>
      <c r="M90" s="382"/>
      <c r="N90" s="555"/>
      <c r="O90" s="479"/>
      <c r="P90" s="372"/>
      <c r="Q90" s="455"/>
      <c r="R90" s="104"/>
      <c r="S90" s="472"/>
      <c r="T90" s="555"/>
      <c r="U90" s="382"/>
      <c r="V90" s="555"/>
      <c r="W90" s="382"/>
      <c r="X90" s="150"/>
      <c r="Y90" s="150"/>
      <c r="Z90" s="150"/>
      <c r="AA90" s="150"/>
      <c r="AB90" s="622" t="s">
        <v>149</v>
      </c>
      <c r="AC90" s="619" t="s">
        <v>150</v>
      </c>
      <c r="AD90" s="619" t="s">
        <v>151</v>
      </c>
      <c r="AE90" s="619" t="s">
        <v>152</v>
      </c>
      <c r="AF90" s="619" t="s">
        <v>153</v>
      </c>
      <c r="AG90" s="619" t="s">
        <v>154</v>
      </c>
    </row>
    <row r="91" spans="1:34" ht="12.6" customHeight="1">
      <c r="A91" s="20"/>
      <c r="B91" s="697" t="s">
        <v>626</v>
      </c>
      <c r="C91" s="698"/>
      <c r="D91" s="698"/>
      <c r="E91" s="698"/>
      <c r="F91" s="488"/>
      <c r="G91" s="411"/>
      <c r="H91" s="78"/>
      <c r="I91" s="439"/>
      <c r="J91" s="421"/>
      <c r="K91" s="381"/>
      <c r="L91" s="421"/>
      <c r="M91" s="381"/>
      <c r="N91" s="421"/>
      <c r="O91" s="381"/>
      <c r="P91" s="421"/>
      <c r="Q91" s="381"/>
      <c r="R91" s="421"/>
      <c r="S91" s="381"/>
      <c r="T91" s="421"/>
      <c r="U91" s="381"/>
      <c r="V91" s="421"/>
      <c r="W91" s="381"/>
      <c r="X91" s="183"/>
      <c r="Y91" s="154"/>
      <c r="Z91" s="154"/>
      <c r="AA91" s="157"/>
      <c r="AB91" s="182"/>
    </row>
    <row r="92" spans="1:34" ht="12.6" customHeight="1">
      <c r="A92" s="20"/>
      <c r="B92" s="713" t="s">
        <v>579</v>
      </c>
      <c r="C92" s="714"/>
      <c r="D92" s="714"/>
      <c r="E92" s="714"/>
      <c r="F92" s="382"/>
      <c r="G92" s="455"/>
      <c r="H92" s="343"/>
      <c r="I92" s="387"/>
      <c r="J92" s="511"/>
      <c r="K92" s="382"/>
      <c r="L92" s="555"/>
      <c r="M92" s="382"/>
      <c r="N92" s="555"/>
      <c r="O92" s="382"/>
      <c r="P92" s="555"/>
      <c r="Q92" s="382"/>
      <c r="R92" s="555"/>
      <c r="S92" s="382"/>
      <c r="T92" s="555"/>
      <c r="U92" s="382"/>
      <c r="V92" s="98"/>
      <c r="W92" s="466"/>
      <c r="X92" s="183"/>
      <c r="Y92" s="154"/>
      <c r="Z92" s="154"/>
      <c r="AA92" s="157"/>
      <c r="AB92" s="620">
        <v>117</v>
      </c>
    </row>
    <row r="93" spans="1:34" ht="12.6" customHeight="1">
      <c r="A93" s="20"/>
      <c r="B93" s="702" t="s">
        <v>604</v>
      </c>
      <c r="C93" s="703"/>
      <c r="D93" s="703"/>
      <c r="E93" s="704"/>
      <c r="F93" s="381"/>
      <c r="G93" s="411"/>
      <c r="H93" s="346"/>
      <c r="I93" s="371"/>
      <c r="J93" s="421"/>
      <c r="K93" s="381"/>
      <c r="L93" s="421"/>
      <c r="M93" s="381"/>
      <c r="N93" s="421"/>
      <c r="O93" s="381"/>
      <c r="P93" s="421"/>
      <c r="Q93" s="381"/>
      <c r="R93" s="421"/>
      <c r="S93" s="381"/>
      <c r="T93" s="421"/>
      <c r="U93" s="381"/>
      <c r="V93" s="78"/>
      <c r="W93" s="467"/>
      <c r="X93" s="183"/>
      <c r="Y93" s="154"/>
      <c r="Z93" s="154"/>
      <c r="AA93" s="157"/>
      <c r="AB93" s="182"/>
    </row>
    <row r="94" spans="1:34" ht="12.6" customHeight="1">
      <c r="A94" s="20"/>
      <c r="B94" s="713" t="s">
        <v>580</v>
      </c>
      <c r="C94" s="714"/>
      <c r="D94" s="714"/>
      <c r="E94" s="714"/>
      <c r="F94" s="382"/>
      <c r="G94" s="455"/>
      <c r="H94" s="343"/>
      <c r="I94" s="370"/>
      <c r="J94" s="511"/>
      <c r="K94" s="382"/>
      <c r="L94" s="528"/>
      <c r="M94" s="382"/>
      <c r="N94" s="528"/>
      <c r="O94" s="382"/>
      <c r="P94" s="528"/>
      <c r="Q94" s="382"/>
      <c r="R94" s="528"/>
      <c r="S94" s="382"/>
      <c r="T94" s="528"/>
      <c r="U94" s="382"/>
      <c r="V94" s="98"/>
      <c r="W94" s="466"/>
      <c r="X94" s="183"/>
      <c r="Y94" s="154"/>
      <c r="Z94" s="154"/>
      <c r="AA94" s="157"/>
      <c r="AB94" s="620">
        <v>129</v>
      </c>
    </row>
    <row r="95" spans="1:34" ht="12.6" customHeight="1">
      <c r="A95" s="116"/>
      <c r="B95" s="930" t="s">
        <v>470</v>
      </c>
      <c r="C95" s="858"/>
      <c r="D95" s="858"/>
      <c r="E95" s="858"/>
      <c r="F95" s="451">
        <v>480</v>
      </c>
      <c r="G95" s="489">
        <f t="shared" ref="G95:G100" si="147">+F95*$X$1</f>
        <v>480</v>
      </c>
      <c r="H95" s="344"/>
      <c r="I95" s="378"/>
      <c r="J95" s="308">
        <f>F95+75</f>
        <v>555</v>
      </c>
      <c r="K95" s="531">
        <f>+J95*$X$1</f>
        <v>555</v>
      </c>
      <c r="L95" s="127">
        <f>F95+52</f>
        <v>532</v>
      </c>
      <c r="M95" s="531">
        <f t="shared" ref="M95" si="148">+L95*$X$1</f>
        <v>532</v>
      </c>
      <c r="N95" s="115">
        <f>F95+7.2</f>
        <v>487.2</v>
      </c>
      <c r="O95" s="1073" t="s">
        <v>155</v>
      </c>
      <c r="P95" s="1074"/>
      <c r="Q95" s="1074"/>
      <c r="R95" s="1074"/>
      <c r="S95" s="1074"/>
      <c r="T95" s="1074"/>
      <c r="U95" s="1074"/>
      <c r="V95" s="1074"/>
      <c r="W95" s="1074"/>
      <c r="X95" s="184"/>
      <c r="Y95" s="154"/>
      <c r="Z95" s="154"/>
      <c r="AA95" s="157"/>
      <c r="AB95" s="626">
        <v>247</v>
      </c>
    </row>
    <row r="96" spans="1:34" ht="12.6" customHeight="1">
      <c r="A96" s="106"/>
      <c r="B96" s="699" t="s">
        <v>627</v>
      </c>
      <c r="C96" s="724"/>
      <c r="D96" s="724"/>
      <c r="E96" s="725"/>
      <c r="F96" s="537">
        <f>2.89*X2</f>
        <v>2494.0700000000002</v>
      </c>
      <c r="G96" s="416">
        <f>+F96*$X$1</f>
        <v>2494.0700000000002</v>
      </c>
      <c r="H96" s="370"/>
      <c r="I96" s="370"/>
      <c r="J96" s="98">
        <f>F96+75</f>
        <v>2569.0700000000002</v>
      </c>
      <c r="K96" s="382">
        <f>+J96*$X$1</f>
        <v>2569.0700000000002</v>
      </c>
      <c r="L96" s="528">
        <f>F96+52</f>
        <v>2546.0700000000002</v>
      </c>
      <c r="M96" s="382">
        <f>+L96*$X$1</f>
        <v>2546.0700000000002</v>
      </c>
      <c r="N96" s="528">
        <f>F96+35</f>
        <v>2529.0700000000002</v>
      </c>
      <c r="O96" s="382">
        <f t="shared" ref="O96" si="149">+N96*$X$1</f>
        <v>2529.0700000000002</v>
      </c>
      <c r="P96" s="528">
        <f>F96+29</f>
        <v>2523.0700000000002</v>
      </c>
      <c r="Q96" s="382">
        <f t="shared" ref="Q96" si="150">+P96*$X$1</f>
        <v>2523.0700000000002</v>
      </c>
      <c r="R96" s="528">
        <f>F96+25</f>
        <v>2519.0700000000002</v>
      </c>
      <c r="S96" s="382">
        <f t="shared" ref="S96" si="151">+R96*$X$1</f>
        <v>2519.0700000000002</v>
      </c>
      <c r="T96" s="528">
        <f>F96+23</f>
        <v>2517.0700000000002</v>
      </c>
      <c r="U96" s="382">
        <f t="shared" ref="U96" si="152">+T96*$X$1</f>
        <v>2517.0700000000002</v>
      </c>
      <c r="V96" s="528">
        <f>F96+20</f>
        <v>2514.0700000000002</v>
      </c>
      <c r="W96" s="382">
        <f t="shared" ref="W96" si="153">+V96*$X$1</f>
        <v>2514.0700000000002</v>
      </c>
      <c r="X96" s="184"/>
      <c r="Y96" s="154"/>
      <c r="Z96" s="154"/>
      <c r="AA96" s="157"/>
      <c r="AB96" s="626">
        <v>249</v>
      </c>
    </row>
    <row r="97" spans="1:30" ht="12.6" customHeight="1">
      <c r="A97" s="116"/>
      <c r="B97" s="752" t="s">
        <v>469</v>
      </c>
      <c r="C97" s="753"/>
      <c r="D97" s="753"/>
      <c r="E97" s="753"/>
      <c r="F97" s="450">
        <v>40</v>
      </c>
      <c r="G97" s="490">
        <f t="shared" si="147"/>
        <v>40</v>
      </c>
      <c r="H97" s="386"/>
      <c r="I97" s="386"/>
      <c r="J97" s="114">
        <f>F97+75</f>
        <v>115</v>
      </c>
      <c r="K97" s="450">
        <f>+J97*$X$1</f>
        <v>115</v>
      </c>
      <c r="L97" s="527">
        <f>F97+52</f>
        <v>92</v>
      </c>
      <c r="M97" s="450">
        <f>+L97*$X$1</f>
        <v>92</v>
      </c>
      <c r="N97" s="527">
        <f>F97+35</f>
        <v>75</v>
      </c>
      <c r="O97" s="450">
        <f t="shared" ref="O97" si="154">+N97*$X$1</f>
        <v>75</v>
      </c>
      <c r="P97" s="527">
        <f>F97+29</f>
        <v>69</v>
      </c>
      <c r="Q97" s="450">
        <f t="shared" ref="Q97" si="155">+P97*$X$1</f>
        <v>69</v>
      </c>
      <c r="R97" s="527">
        <f>F97+25</f>
        <v>65</v>
      </c>
      <c r="S97" s="450">
        <f t="shared" ref="S97" si="156">+R97*$X$1</f>
        <v>65</v>
      </c>
      <c r="T97" s="527">
        <f>F97+23</f>
        <v>63</v>
      </c>
      <c r="U97" s="450">
        <f t="shared" ref="U97" si="157">+T97*$X$1</f>
        <v>63</v>
      </c>
      <c r="V97" s="527">
        <f>F97+20</f>
        <v>60</v>
      </c>
      <c r="W97" s="450">
        <f t="shared" ref="W97" si="158">+V97*$X$1</f>
        <v>60</v>
      </c>
      <c r="X97" s="185"/>
      <c r="Y97" s="154"/>
      <c r="Z97" s="154"/>
      <c r="AA97" s="157"/>
      <c r="AB97" s="627">
        <v>251</v>
      </c>
    </row>
    <row r="98" spans="1:30" ht="12.6" customHeight="1">
      <c r="A98" s="20"/>
      <c r="B98" s="697" t="s">
        <v>431</v>
      </c>
      <c r="C98" s="698"/>
      <c r="D98" s="698"/>
      <c r="E98" s="698"/>
      <c r="F98" s="381">
        <v>690</v>
      </c>
      <c r="G98" s="381">
        <f t="shared" si="147"/>
        <v>690</v>
      </c>
      <c r="H98" s="371"/>
      <c r="I98" s="371"/>
      <c r="J98" s="129">
        <f>F98+75</f>
        <v>765</v>
      </c>
      <c r="K98" s="381">
        <f t="shared" ref="K98" si="159">+J98*$X$1</f>
        <v>765</v>
      </c>
      <c r="L98" s="421">
        <f>F98+38</f>
        <v>728</v>
      </c>
      <c r="M98" s="421"/>
      <c r="N98" s="421">
        <f>F98+23</f>
        <v>713</v>
      </c>
      <c r="O98" s="421"/>
      <c r="P98" s="371"/>
      <c r="Q98" s="371"/>
      <c r="R98" s="421">
        <f>F98+15</f>
        <v>705</v>
      </c>
      <c r="S98" s="421"/>
      <c r="T98" s="421">
        <f>F98+12</f>
        <v>702</v>
      </c>
      <c r="U98" s="421"/>
      <c r="V98" s="421">
        <f>F98+10</f>
        <v>700</v>
      </c>
      <c r="W98" s="421"/>
      <c r="X98" s="185"/>
      <c r="Y98" s="154"/>
      <c r="Z98" s="154"/>
      <c r="AA98" s="157"/>
      <c r="AB98" s="627" t="s">
        <v>156</v>
      </c>
    </row>
    <row r="99" spans="1:30" ht="12.6" customHeight="1">
      <c r="A99" s="20"/>
      <c r="B99" s="699" t="s">
        <v>613</v>
      </c>
      <c r="C99" s="700"/>
      <c r="D99" s="700"/>
      <c r="E99" s="701"/>
      <c r="F99" s="537">
        <f>13.233*X2</f>
        <v>11420.079</v>
      </c>
      <c r="G99" s="382">
        <f t="shared" si="147"/>
        <v>11420.079</v>
      </c>
      <c r="H99" s="98">
        <f>F99+210</f>
        <v>11630.079</v>
      </c>
      <c r="I99" s="382">
        <f>+H99*$X$1</f>
        <v>11630.079</v>
      </c>
      <c r="J99" s="98">
        <f t="shared" ref="J99:J103" si="160">F99+70</f>
        <v>11490.079</v>
      </c>
      <c r="K99" s="382">
        <f t="shared" ref="K99:K103" si="161">+J99*$X$1</f>
        <v>11490.079</v>
      </c>
      <c r="L99" s="661">
        <f t="shared" ref="L99:L103" si="162">F99+50</f>
        <v>11470.079</v>
      </c>
      <c r="M99" s="382">
        <f t="shared" ref="M99:M103" si="163">+L99*$X$1</f>
        <v>11470.079</v>
      </c>
      <c r="N99" s="661">
        <f t="shared" ref="N99:N105" si="164">F99+32</f>
        <v>11452.079</v>
      </c>
      <c r="O99" s="382">
        <f t="shared" ref="O99:O103" si="165">+N99*$X$1</f>
        <v>11452.079</v>
      </c>
      <c r="P99" s="661">
        <f t="shared" ref="P99:P103" si="166">F99+26</f>
        <v>11446.079</v>
      </c>
      <c r="Q99" s="382">
        <f t="shared" ref="Q99:Q103" si="167">+P99*$X$1</f>
        <v>11446.079</v>
      </c>
      <c r="R99" s="661">
        <f t="shared" ref="R99:R105" si="168">F99+23</f>
        <v>11443.079</v>
      </c>
      <c r="S99" s="382">
        <f t="shared" ref="S99:S103" si="169">+R99*$X$1</f>
        <v>11443.079</v>
      </c>
      <c r="T99" s="661">
        <f>F99+20</f>
        <v>11440.079</v>
      </c>
      <c r="U99" s="382">
        <f t="shared" ref="U99:U103" si="170">+T99*$X$1</f>
        <v>11440.079</v>
      </c>
      <c r="V99" s="661">
        <f>F99+18</f>
        <v>11438.079</v>
      </c>
      <c r="W99" s="382">
        <f t="shared" ref="W99:W103" si="171">+V99*$X$1</f>
        <v>11438.079</v>
      </c>
      <c r="X99" s="186"/>
      <c r="Y99" s="154"/>
      <c r="Z99" s="154"/>
      <c r="AA99" s="157"/>
      <c r="AB99" s="627">
        <v>268</v>
      </c>
    </row>
    <row r="100" spans="1:30" ht="12.6" customHeight="1">
      <c r="A100" s="20"/>
      <c r="B100" s="697" t="s">
        <v>866</v>
      </c>
      <c r="C100" s="698"/>
      <c r="D100" s="698"/>
      <c r="E100" s="698"/>
      <c r="F100" s="536">
        <f>4.921*X2</f>
        <v>4246.8230000000003</v>
      </c>
      <c r="G100" s="381">
        <f t="shared" si="147"/>
        <v>4246.8230000000003</v>
      </c>
      <c r="H100" s="78">
        <f>F100+210</f>
        <v>4456.8230000000003</v>
      </c>
      <c r="I100" s="381">
        <f>+H100*$X$1</f>
        <v>4456.8230000000003</v>
      </c>
      <c r="J100" s="78">
        <f t="shared" ref="J100" si="172">F100+70</f>
        <v>4316.8230000000003</v>
      </c>
      <c r="K100" s="381">
        <f t="shared" ref="K100" si="173">+J100*$X$1</f>
        <v>4316.8230000000003</v>
      </c>
      <c r="L100" s="421">
        <f t="shared" ref="L100" si="174">F100+50</f>
        <v>4296.8230000000003</v>
      </c>
      <c r="M100" s="381">
        <f t="shared" ref="M100" si="175">+L100*$X$1</f>
        <v>4296.8230000000003</v>
      </c>
      <c r="N100" s="421">
        <f t="shared" si="164"/>
        <v>4278.8230000000003</v>
      </c>
      <c r="O100" s="381">
        <f t="shared" si="165"/>
        <v>4278.8230000000003</v>
      </c>
      <c r="P100" s="421">
        <f t="shared" ref="P100" si="176">F100+26</f>
        <v>4272.8230000000003</v>
      </c>
      <c r="Q100" s="381">
        <f t="shared" si="167"/>
        <v>4272.8230000000003</v>
      </c>
      <c r="R100" s="421">
        <f t="shared" si="168"/>
        <v>4269.8230000000003</v>
      </c>
      <c r="S100" s="381">
        <f t="shared" si="169"/>
        <v>4269.8230000000003</v>
      </c>
      <c r="T100" s="421">
        <f>F100+20</f>
        <v>4266.8230000000003</v>
      </c>
      <c r="U100" s="381">
        <f t="shared" si="170"/>
        <v>4266.8230000000003</v>
      </c>
      <c r="V100" s="421"/>
      <c r="W100" s="381"/>
      <c r="X100" s="186"/>
      <c r="Y100" s="158"/>
      <c r="Z100" s="154"/>
      <c r="AA100" s="157"/>
      <c r="AB100" s="627">
        <v>270</v>
      </c>
      <c r="AC100" s="33"/>
    </row>
    <row r="101" spans="1:30" ht="12.6" customHeight="1">
      <c r="A101" s="20"/>
      <c r="B101" s="713" t="s">
        <v>157</v>
      </c>
      <c r="C101" s="714"/>
      <c r="D101" s="714"/>
      <c r="E101" s="714"/>
      <c r="F101" s="537">
        <f>15.371*X2</f>
        <v>13265.173000000001</v>
      </c>
      <c r="G101" s="382">
        <f t="shared" ref="G101:G103" si="177">+F101*$X$1</f>
        <v>13265.173000000001</v>
      </c>
      <c r="H101" s="98">
        <f>F101+210</f>
        <v>13475.173000000001</v>
      </c>
      <c r="I101" s="382">
        <f>+H101*$X$1</f>
        <v>13475.173000000001</v>
      </c>
      <c r="J101" s="98">
        <f t="shared" si="160"/>
        <v>13335.173000000001</v>
      </c>
      <c r="K101" s="382">
        <f t="shared" si="161"/>
        <v>13335.173000000001</v>
      </c>
      <c r="L101" s="661">
        <f t="shared" si="162"/>
        <v>13315.173000000001</v>
      </c>
      <c r="M101" s="382">
        <f t="shared" si="163"/>
        <v>13315.173000000001</v>
      </c>
      <c r="N101" s="661">
        <f t="shared" si="164"/>
        <v>13297.173000000001</v>
      </c>
      <c r="O101" s="382">
        <f t="shared" si="165"/>
        <v>13297.173000000001</v>
      </c>
      <c r="P101" s="661">
        <f t="shared" si="166"/>
        <v>13291.173000000001</v>
      </c>
      <c r="Q101" s="382">
        <f t="shared" si="167"/>
        <v>13291.173000000001</v>
      </c>
      <c r="R101" s="661">
        <f t="shared" si="168"/>
        <v>13288.173000000001</v>
      </c>
      <c r="S101" s="382">
        <f t="shared" si="169"/>
        <v>13288.173000000001</v>
      </c>
      <c r="T101" s="661">
        <f>F101+20</f>
        <v>13285.173000000001</v>
      </c>
      <c r="U101" s="382">
        <f t="shared" si="170"/>
        <v>13285.173000000001</v>
      </c>
      <c r="V101" s="661">
        <f>F101+18</f>
        <v>13283.173000000001</v>
      </c>
      <c r="W101" s="382">
        <f t="shared" si="171"/>
        <v>13283.173000000001</v>
      </c>
      <c r="X101" s="185"/>
      <c r="Y101" s="154"/>
      <c r="Z101" s="154"/>
      <c r="AA101" s="157"/>
      <c r="AB101" s="627">
        <v>273</v>
      </c>
      <c r="AC101" s="33"/>
    </row>
    <row r="102" spans="1:30" ht="12.6" customHeight="1">
      <c r="A102" s="20"/>
      <c r="B102" s="697" t="s">
        <v>158</v>
      </c>
      <c r="C102" s="698"/>
      <c r="D102" s="698"/>
      <c r="E102" s="698"/>
      <c r="F102" s="536">
        <f>12.274*X2</f>
        <v>10592.462</v>
      </c>
      <c r="G102" s="381">
        <f t="shared" si="177"/>
        <v>10592.462</v>
      </c>
      <c r="H102" s="78">
        <f>F102+210</f>
        <v>10802.462</v>
      </c>
      <c r="I102" s="381">
        <f>+H102*$X$1</f>
        <v>10802.462</v>
      </c>
      <c r="J102" s="78">
        <f t="shared" si="160"/>
        <v>10662.462</v>
      </c>
      <c r="K102" s="381">
        <f t="shared" si="161"/>
        <v>10662.462</v>
      </c>
      <c r="L102" s="421">
        <f t="shared" si="162"/>
        <v>10642.462</v>
      </c>
      <c r="M102" s="381">
        <f t="shared" si="163"/>
        <v>10642.462</v>
      </c>
      <c r="N102" s="421">
        <f t="shared" si="164"/>
        <v>10624.462</v>
      </c>
      <c r="O102" s="381">
        <f t="shared" si="165"/>
        <v>10624.462</v>
      </c>
      <c r="P102" s="421">
        <f t="shared" si="166"/>
        <v>10618.462</v>
      </c>
      <c r="Q102" s="381">
        <f t="shared" si="167"/>
        <v>10618.462</v>
      </c>
      <c r="R102" s="421">
        <f t="shared" si="168"/>
        <v>10615.462</v>
      </c>
      <c r="S102" s="381">
        <f t="shared" si="169"/>
        <v>10615.462</v>
      </c>
      <c r="T102" s="421">
        <f>F102+20</f>
        <v>10612.462</v>
      </c>
      <c r="U102" s="381">
        <f t="shared" si="170"/>
        <v>10612.462</v>
      </c>
      <c r="V102" s="421">
        <f>F102+18</f>
        <v>10610.462</v>
      </c>
      <c r="W102" s="381">
        <f t="shared" si="171"/>
        <v>10610.462</v>
      </c>
      <c r="X102" s="186"/>
      <c r="Y102" s="158"/>
      <c r="Z102" s="154"/>
      <c r="AA102" s="157"/>
      <c r="AB102" s="627" t="s">
        <v>159</v>
      </c>
      <c r="AC102" s="33"/>
    </row>
    <row r="103" spans="1:30" ht="12.6" customHeight="1">
      <c r="A103" s="20"/>
      <c r="B103" s="713" t="s">
        <v>160</v>
      </c>
      <c r="C103" s="714"/>
      <c r="D103" s="714"/>
      <c r="E103" s="714"/>
      <c r="F103" s="537">
        <f>9.547*X2</f>
        <v>8239.0609999999997</v>
      </c>
      <c r="G103" s="382">
        <f t="shared" si="177"/>
        <v>8239.0609999999997</v>
      </c>
      <c r="H103" s="370"/>
      <c r="I103" s="370"/>
      <c r="J103" s="98">
        <f t="shared" si="160"/>
        <v>8309.0609999999997</v>
      </c>
      <c r="K103" s="382">
        <f t="shared" si="161"/>
        <v>8309.0609999999997</v>
      </c>
      <c r="L103" s="661">
        <f t="shared" si="162"/>
        <v>8289.0609999999997</v>
      </c>
      <c r="M103" s="382">
        <f t="shared" si="163"/>
        <v>8289.0609999999997</v>
      </c>
      <c r="N103" s="661">
        <f t="shared" si="164"/>
        <v>8271.0609999999997</v>
      </c>
      <c r="O103" s="382">
        <f t="shared" si="165"/>
        <v>8271.0609999999997</v>
      </c>
      <c r="P103" s="661">
        <f t="shared" si="166"/>
        <v>8265.0609999999997</v>
      </c>
      <c r="Q103" s="382">
        <f t="shared" si="167"/>
        <v>8265.0609999999997</v>
      </c>
      <c r="R103" s="661">
        <f t="shared" si="168"/>
        <v>8262.0609999999997</v>
      </c>
      <c r="S103" s="382">
        <f t="shared" si="169"/>
        <v>8262.0609999999997</v>
      </c>
      <c r="T103" s="661">
        <f>F103+20</f>
        <v>8259.0609999999997</v>
      </c>
      <c r="U103" s="382">
        <f t="shared" si="170"/>
        <v>8259.0609999999997</v>
      </c>
      <c r="V103" s="661">
        <f>F103+18</f>
        <v>8257.0609999999997</v>
      </c>
      <c r="W103" s="382">
        <f t="shared" si="171"/>
        <v>8257.0609999999997</v>
      </c>
      <c r="X103" s="186"/>
      <c r="Y103" s="158"/>
      <c r="Z103" s="154"/>
      <c r="AA103" s="157"/>
      <c r="AB103" s="627">
        <v>278</v>
      </c>
      <c r="AC103" s="33"/>
    </row>
    <row r="104" spans="1:30" ht="12.6" customHeight="1">
      <c r="A104" s="20"/>
      <c r="B104" s="697" t="s">
        <v>161</v>
      </c>
      <c r="C104" s="698"/>
      <c r="D104" s="698"/>
      <c r="E104" s="698"/>
      <c r="F104" s="536"/>
      <c r="G104" s="381"/>
      <c r="H104" s="78"/>
      <c r="I104" s="381"/>
      <c r="J104" s="78"/>
      <c r="K104" s="381"/>
      <c r="L104" s="421"/>
      <c r="M104" s="381"/>
      <c r="N104" s="421"/>
      <c r="O104" s="381"/>
      <c r="P104" s="421"/>
      <c r="Q104" s="381"/>
      <c r="R104" s="421"/>
      <c r="S104" s="381"/>
      <c r="T104" s="421"/>
      <c r="U104" s="381"/>
      <c r="V104" s="421"/>
      <c r="W104" s="381"/>
      <c r="X104" s="186"/>
      <c r="Y104" s="158"/>
      <c r="Z104" s="154"/>
      <c r="AA104" s="157"/>
      <c r="AB104" s="627">
        <v>279</v>
      </c>
      <c r="AC104" s="33"/>
    </row>
    <row r="105" spans="1:30" ht="12.6" customHeight="1">
      <c r="A105" s="20"/>
      <c r="B105" s="807" t="s">
        <v>162</v>
      </c>
      <c r="C105" s="808"/>
      <c r="D105" s="808"/>
      <c r="E105" s="808"/>
      <c r="F105" s="537">
        <f>2.234*X2</f>
        <v>1927.942</v>
      </c>
      <c r="G105" s="382">
        <f>+F105*$X$1</f>
        <v>1927.942</v>
      </c>
      <c r="H105" s="370"/>
      <c r="I105" s="370"/>
      <c r="J105" s="98">
        <f>F105+70</f>
        <v>1997.942</v>
      </c>
      <c r="K105" s="382">
        <f>+J105*$X$1</f>
        <v>1997.942</v>
      </c>
      <c r="L105" s="528">
        <f>F105+50</f>
        <v>1977.942</v>
      </c>
      <c r="M105" s="382">
        <f>+L105*$X$1</f>
        <v>1977.942</v>
      </c>
      <c r="N105" s="528">
        <f t="shared" si="164"/>
        <v>1959.942</v>
      </c>
      <c r="O105" s="382">
        <f t="shared" ref="O105" si="178">+N105*$X$1</f>
        <v>1959.942</v>
      </c>
      <c r="P105" s="528">
        <f>F105+26</f>
        <v>1953.942</v>
      </c>
      <c r="Q105" s="382">
        <f t="shared" ref="Q105" si="179">+P105*$X$1</f>
        <v>1953.942</v>
      </c>
      <c r="R105" s="528">
        <f t="shared" si="168"/>
        <v>1950.942</v>
      </c>
      <c r="S105" s="382">
        <f t="shared" ref="S105" si="180">+R105*$X$1</f>
        <v>1950.942</v>
      </c>
      <c r="T105" s="528">
        <f>F105+20</f>
        <v>1947.942</v>
      </c>
      <c r="U105" s="382">
        <f t="shared" ref="U105" si="181">+T105*$X$1</f>
        <v>1947.942</v>
      </c>
      <c r="V105" s="528">
        <f>F105+18</f>
        <v>1945.942</v>
      </c>
      <c r="W105" s="382">
        <f t="shared" ref="W105" si="182">+V105*$X$1</f>
        <v>1945.942</v>
      </c>
      <c r="X105" s="183"/>
      <c r="Y105" s="158"/>
      <c r="Z105" s="154"/>
      <c r="AA105" s="157"/>
      <c r="AB105" s="627">
        <v>288</v>
      </c>
      <c r="AC105" s="33"/>
    </row>
    <row r="106" spans="1:30" ht="12.6" customHeight="1">
      <c r="A106" s="20"/>
      <c r="B106" s="697" t="s">
        <v>163</v>
      </c>
      <c r="C106" s="698"/>
      <c r="D106" s="698"/>
      <c r="E106" s="698"/>
      <c r="F106" s="381">
        <v>330</v>
      </c>
      <c r="G106" s="381">
        <f>+F106*$X$1</f>
        <v>330</v>
      </c>
      <c r="H106" s="371"/>
      <c r="I106" s="371"/>
      <c r="J106" s="78">
        <f>F106+80</f>
        <v>410</v>
      </c>
      <c r="K106" s="381">
        <f>+J106*$X$1</f>
        <v>410</v>
      </c>
      <c r="L106" s="421">
        <f>F106+56</f>
        <v>386</v>
      </c>
      <c r="M106" s="381">
        <f>+L106*$X$1</f>
        <v>386</v>
      </c>
      <c r="N106" s="421">
        <f>F106+38</f>
        <v>368</v>
      </c>
      <c r="O106" s="381">
        <f t="shared" ref="O106" si="183">+N106*$X$1</f>
        <v>368</v>
      </c>
      <c r="P106" s="421">
        <f>F106+31</f>
        <v>361</v>
      </c>
      <c r="Q106" s="381">
        <f t="shared" ref="Q106:Q112" si="184">+P106*$X$1</f>
        <v>361</v>
      </c>
      <c r="R106" s="421">
        <f>F106+27</f>
        <v>357</v>
      </c>
      <c r="S106" s="381">
        <f t="shared" ref="S106:S110" si="185">+R106*$X$1</f>
        <v>357</v>
      </c>
      <c r="T106" s="421">
        <f>F106+25</f>
        <v>355</v>
      </c>
      <c r="U106" s="381">
        <f t="shared" ref="U106:U110" si="186">+T106*$X$1</f>
        <v>355</v>
      </c>
      <c r="V106" s="421">
        <f>F106+22</f>
        <v>352</v>
      </c>
      <c r="W106" s="381">
        <f t="shared" ref="W106:W110" si="187">+V106*$X$1</f>
        <v>352</v>
      </c>
      <c r="X106" s="183"/>
      <c r="Y106" s="158"/>
      <c r="Z106" s="154"/>
      <c r="AA106" s="157"/>
      <c r="AB106" s="627">
        <v>289</v>
      </c>
      <c r="AC106" s="33"/>
    </row>
    <row r="107" spans="1:30" ht="12.6" customHeight="1">
      <c r="A107" s="20"/>
      <c r="B107" s="713" t="s">
        <v>164</v>
      </c>
      <c r="C107" s="714"/>
      <c r="D107" s="714"/>
      <c r="E107" s="714"/>
      <c r="F107" s="382"/>
      <c r="G107" s="1023" t="s">
        <v>757</v>
      </c>
      <c r="H107" s="936"/>
      <c r="I107" s="936"/>
      <c r="J107" s="936"/>
      <c r="K107" s="936"/>
      <c r="L107" s="936"/>
      <c r="M107" s="936"/>
      <c r="N107" s="936"/>
      <c r="O107" s="937"/>
      <c r="P107" s="372">
        <v>323</v>
      </c>
      <c r="Q107" s="382">
        <f t="shared" si="184"/>
        <v>323</v>
      </c>
      <c r="R107" s="128">
        <v>321</v>
      </c>
      <c r="S107" s="409">
        <f t="shared" si="185"/>
        <v>321</v>
      </c>
      <c r="T107" s="112">
        <v>314</v>
      </c>
      <c r="U107" s="409">
        <f t="shared" si="186"/>
        <v>314</v>
      </c>
      <c r="V107" s="112">
        <v>307</v>
      </c>
      <c r="W107" s="409">
        <f t="shared" si="187"/>
        <v>307</v>
      </c>
      <c r="X107" s="1016"/>
      <c r="Y107" s="1017"/>
      <c r="Z107" s="1017"/>
      <c r="AA107" s="1018"/>
      <c r="AB107" s="627">
        <v>290</v>
      </c>
    </row>
    <row r="108" spans="1:30" ht="12.6" customHeight="1">
      <c r="A108" s="20"/>
      <c r="B108" s="697" t="s">
        <v>489</v>
      </c>
      <c r="C108" s="698"/>
      <c r="D108" s="698"/>
      <c r="E108" s="698"/>
      <c r="F108" s="381"/>
      <c r="G108" s="1023" t="s">
        <v>758</v>
      </c>
      <c r="H108" s="936"/>
      <c r="I108" s="936"/>
      <c r="J108" s="936"/>
      <c r="K108" s="936"/>
      <c r="L108" s="936"/>
      <c r="M108" s="936"/>
      <c r="N108" s="936"/>
      <c r="O108" s="937"/>
      <c r="P108" s="373">
        <v>441</v>
      </c>
      <c r="Q108" s="381">
        <f t="shared" si="184"/>
        <v>441</v>
      </c>
      <c r="R108" s="611">
        <v>439</v>
      </c>
      <c r="S108" s="337">
        <f t="shared" si="185"/>
        <v>439</v>
      </c>
      <c r="T108" s="421">
        <v>431</v>
      </c>
      <c r="U108" s="337">
        <f t="shared" si="186"/>
        <v>431</v>
      </c>
      <c r="V108" s="421">
        <v>423</v>
      </c>
      <c r="W108" s="337">
        <f t="shared" si="187"/>
        <v>423</v>
      </c>
      <c r="X108" s="1016"/>
      <c r="Y108" s="1017"/>
      <c r="Z108" s="1017"/>
      <c r="AA108" s="1018"/>
      <c r="AB108" s="627" t="s">
        <v>165</v>
      </c>
    </row>
    <row r="109" spans="1:30" ht="12.6" customHeight="1">
      <c r="A109" s="20"/>
      <c r="B109" s="713" t="s">
        <v>490</v>
      </c>
      <c r="C109" s="714"/>
      <c r="D109" s="714"/>
      <c r="E109" s="714"/>
      <c r="F109" s="382"/>
      <c r="G109" s="1023" t="s">
        <v>759</v>
      </c>
      <c r="H109" s="936"/>
      <c r="I109" s="936"/>
      <c r="J109" s="936"/>
      <c r="K109" s="936"/>
      <c r="L109" s="936"/>
      <c r="M109" s="937"/>
      <c r="N109" s="372">
        <v>475</v>
      </c>
      <c r="O109" s="382">
        <f t="shared" ref="O109:O110" si="188">+N109*$X$1</f>
        <v>475</v>
      </c>
      <c r="P109" s="372">
        <v>396</v>
      </c>
      <c r="Q109" s="382">
        <f t="shared" si="184"/>
        <v>396</v>
      </c>
      <c r="R109" s="607">
        <v>394</v>
      </c>
      <c r="S109" s="409">
        <f t="shared" si="185"/>
        <v>394</v>
      </c>
      <c r="T109" s="606">
        <v>388</v>
      </c>
      <c r="U109" s="409">
        <f t="shared" si="186"/>
        <v>388</v>
      </c>
      <c r="V109" s="606">
        <v>320</v>
      </c>
      <c r="W109" s="409">
        <f t="shared" si="187"/>
        <v>320</v>
      </c>
      <c r="X109" s="1016"/>
      <c r="Y109" s="1017"/>
      <c r="Z109" s="1017"/>
      <c r="AA109" s="1018"/>
      <c r="AB109" s="627">
        <v>291</v>
      </c>
    </row>
    <row r="110" spans="1:30" ht="12.6" customHeight="1">
      <c r="A110" s="20"/>
      <c r="B110" s="697" t="s">
        <v>491</v>
      </c>
      <c r="C110" s="698"/>
      <c r="D110" s="698"/>
      <c r="E110" s="698"/>
      <c r="F110" s="381"/>
      <c r="G110" s="1023" t="s">
        <v>760</v>
      </c>
      <c r="H110" s="936"/>
      <c r="I110" s="936"/>
      <c r="J110" s="936"/>
      <c r="K110" s="936"/>
      <c r="L110" s="936"/>
      <c r="M110" s="937"/>
      <c r="N110" s="373">
        <v>685</v>
      </c>
      <c r="O110" s="381">
        <f t="shared" si="188"/>
        <v>685</v>
      </c>
      <c r="P110" s="373">
        <v>571</v>
      </c>
      <c r="Q110" s="381">
        <f t="shared" si="184"/>
        <v>571</v>
      </c>
      <c r="R110" s="611">
        <v>569</v>
      </c>
      <c r="S110" s="337">
        <f t="shared" si="185"/>
        <v>569</v>
      </c>
      <c r="T110" s="421">
        <v>563</v>
      </c>
      <c r="U110" s="337">
        <f t="shared" si="186"/>
        <v>563</v>
      </c>
      <c r="V110" s="421">
        <v>554</v>
      </c>
      <c r="W110" s="337">
        <f t="shared" si="187"/>
        <v>554</v>
      </c>
      <c r="X110" s="1016"/>
      <c r="Y110" s="1017"/>
      <c r="Z110" s="1017"/>
      <c r="AA110" s="1018"/>
      <c r="AB110" s="627" t="s">
        <v>166</v>
      </c>
    </row>
    <row r="111" spans="1:30" ht="12.6" customHeight="1">
      <c r="A111" s="20"/>
      <c r="B111" s="713" t="s">
        <v>167</v>
      </c>
      <c r="C111" s="713"/>
      <c r="D111" s="713"/>
      <c r="E111" s="713"/>
      <c r="F111" s="455">
        <v>140</v>
      </c>
      <c r="G111" s="382">
        <f t="shared" ref="G111:G114" si="189">+F111*$X$1</f>
        <v>140</v>
      </c>
      <c r="H111" s="1069" t="s">
        <v>488</v>
      </c>
      <c r="I111" s="1070"/>
      <c r="J111" s="1070"/>
      <c r="K111" s="1070"/>
      <c r="L111" s="1006"/>
      <c r="M111" s="1007"/>
      <c r="N111" s="128">
        <f>F111+30</f>
        <v>170</v>
      </c>
      <c r="O111" s="426">
        <f>+N111*$X$1</f>
        <v>170</v>
      </c>
      <c r="P111" s="128">
        <f>F111+28</f>
        <v>168</v>
      </c>
      <c r="Q111" s="382">
        <f t="shared" si="184"/>
        <v>168</v>
      </c>
      <c r="R111" s="140">
        <f>F111+24</f>
        <v>164</v>
      </c>
      <c r="S111" s="409">
        <f>+R111*$X$1</f>
        <v>164</v>
      </c>
      <c r="T111" s="102">
        <f>F111+22</f>
        <v>162</v>
      </c>
      <c r="U111" s="409">
        <f>+T111*$X$1</f>
        <v>162</v>
      </c>
      <c r="V111" s="102">
        <f>F111+19</f>
        <v>159</v>
      </c>
      <c r="W111" s="409">
        <f>+V111*$X$1</f>
        <v>159</v>
      </c>
      <c r="X111" s="1016"/>
      <c r="Y111" s="1017"/>
      <c r="Z111" s="1017"/>
      <c r="AA111" s="1018"/>
      <c r="AB111" s="221">
        <v>296</v>
      </c>
      <c r="AD111" s="71"/>
    </row>
    <row r="112" spans="1:30" ht="12.6" customHeight="1">
      <c r="A112" s="20"/>
      <c r="B112" s="697" t="s">
        <v>168</v>
      </c>
      <c r="C112" s="697"/>
      <c r="D112" s="697"/>
      <c r="E112" s="697"/>
      <c r="F112" s="411">
        <v>190</v>
      </c>
      <c r="G112" s="381">
        <f t="shared" si="189"/>
        <v>190</v>
      </c>
      <c r="H112" s="1071"/>
      <c r="I112" s="1072"/>
      <c r="J112" s="1072"/>
      <c r="K112" s="1072"/>
      <c r="L112" s="1010"/>
      <c r="M112" s="1011"/>
      <c r="N112" s="385">
        <f>F112+30</f>
        <v>220</v>
      </c>
      <c r="O112" s="410">
        <f>+N112*$X$1</f>
        <v>220</v>
      </c>
      <c r="P112" s="385">
        <f>F112+28</f>
        <v>218</v>
      </c>
      <c r="Q112" s="381">
        <f t="shared" si="184"/>
        <v>218</v>
      </c>
      <c r="R112" s="245">
        <f>F112+24</f>
        <v>214</v>
      </c>
      <c r="S112" s="337">
        <f>+R112*$X$1</f>
        <v>214</v>
      </c>
      <c r="T112" s="374">
        <f>F112+22</f>
        <v>212</v>
      </c>
      <c r="U112" s="337">
        <f>+T112*$X$1</f>
        <v>212</v>
      </c>
      <c r="V112" s="374">
        <f>F112+19</f>
        <v>209</v>
      </c>
      <c r="W112" s="337">
        <f>+V112*$X$1</f>
        <v>209</v>
      </c>
      <c r="X112" s="1016"/>
      <c r="Y112" s="1017"/>
      <c r="Z112" s="1017"/>
      <c r="AA112" s="1018"/>
      <c r="AB112" s="221">
        <v>297</v>
      </c>
    </row>
    <row r="113" spans="1:28" ht="12.6" customHeight="1">
      <c r="A113" s="20"/>
      <c r="B113" s="730" t="s">
        <v>416</v>
      </c>
      <c r="C113" s="731"/>
      <c r="D113" s="731"/>
      <c r="E113" s="731"/>
      <c r="F113" s="426">
        <v>308</v>
      </c>
      <c r="G113" s="426">
        <f t="shared" si="189"/>
        <v>308</v>
      </c>
      <c r="H113" s="102"/>
      <c r="I113" s="970" t="s">
        <v>417</v>
      </c>
      <c r="J113" s="971"/>
      <c r="K113" s="971"/>
      <c r="L113" s="971"/>
      <c r="M113" s="971"/>
      <c r="N113" s="971"/>
      <c r="O113" s="971"/>
      <c r="P113" s="971"/>
      <c r="Q113" s="971"/>
      <c r="R113" s="971"/>
      <c r="S113" s="971"/>
      <c r="T113" s="971"/>
      <c r="U113" s="971"/>
      <c r="V113" s="971"/>
      <c r="W113" s="1075"/>
      <c r="X113" s="694"/>
      <c r="Y113" s="695"/>
      <c r="Z113" s="695"/>
      <c r="AA113" s="696"/>
      <c r="AB113" s="37"/>
    </row>
    <row r="114" spans="1:28" ht="12.6" customHeight="1">
      <c r="A114" s="20"/>
      <c r="B114" s="835" t="s">
        <v>418</v>
      </c>
      <c r="C114" s="791"/>
      <c r="D114" s="791"/>
      <c r="E114" s="791"/>
      <c r="F114" s="410">
        <v>308</v>
      </c>
      <c r="G114" s="476">
        <f t="shared" si="189"/>
        <v>308</v>
      </c>
      <c r="H114" s="137"/>
      <c r="I114" s="974"/>
      <c r="J114" s="975"/>
      <c r="K114" s="975"/>
      <c r="L114" s="980"/>
      <c r="M114" s="980"/>
      <c r="N114" s="980"/>
      <c r="O114" s="975"/>
      <c r="P114" s="975"/>
      <c r="Q114" s="975"/>
      <c r="R114" s="975"/>
      <c r="S114" s="975"/>
      <c r="T114" s="980"/>
      <c r="U114" s="980"/>
      <c r="V114" s="980"/>
      <c r="W114" s="1076"/>
      <c r="X114" s="694"/>
      <c r="Y114" s="695"/>
      <c r="Z114" s="695"/>
      <c r="AA114" s="696"/>
      <c r="AB114" s="37"/>
    </row>
    <row r="115" spans="1:28" ht="12.6" customHeight="1">
      <c r="A115" s="20"/>
      <c r="B115" s="713" t="s">
        <v>493</v>
      </c>
      <c r="C115" s="714"/>
      <c r="D115" s="714"/>
      <c r="E115" s="714"/>
      <c r="F115" s="486"/>
      <c r="G115" s="1023" t="s">
        <v>487</v>
      </c>
      <c r="H115" s="936"/>
      <c r="I115" s="936"/>
      <c r="J115" s="936"/>
      <c r="K115" s="937"/>
      <c r="L115" s="605">
        <v>1365</v>
      </c>
      <c r="M115" s="382">
        <f t="shared" ref="M115:O122" si="190">+L115*$X$1</f>
        <v>1365</v>
      </c>
      <c r="N115" s="143">
        <v>1164</v>
      </c>
      <c r="O115" s="382">
        <f t="shared" si="190"/>
        <v>1164</v>
      </c>
      <c r="P115" s="562">
        <v>965</v>
      </c>
      <c r="Q115" s="382">
        <f t="shared" ref="Q115:Q121" si="191">+P115*$X$1</f>
        <v>965</v>
      </c>
      <c r="R115" s="606">
        <v>963</v>
      </c>
      <c r="S115" s="382">
        <f t="shared" ref="S115:S122" si="192">+R115*$X$1</f>
        <v>963</v>
      </c>
      <c r="T115" s="606">
        <v>954</v>
      </c>
      <c r="U115" s="426">
        <f t="shared" ref="U115:U121" si="193">+T115*$X$1</f>
        <v>954</v>
      </c>
      <c r="V115" s="606">
        <v>719</v>
      </c>
      <c r="W115" s="426">
        <f t="shared" ref="W115:W121" si="194">+V115*$X$1</f>
        <v>719</v>
      </c>
      <c r="X115" s="1016"/>
      <c r="Y115" s="1017"/>
      <c r="Z115" s="1017"/>
      <c r="AA115" s="1018"/>
      <c r="AB115" s="627">
        <v>301</v>
      </c>
    </row>
    <row r="116" spans="1:28" ht="12.6" customHeight="1">
      <c r="A116" s="20"/>
      <c r="B116" s="697" t="s">
        <v>495</v>
      </c>
      <c r="C116" s="698"/>
      <c r="D116" s="698"/>
      <c r="E116" s="698"/>
      <c r="F116" s="487"/>
      <c r="G116" s="1023" t="s">
        <v>487</v>
      </c>
      <c r="H116" s="936"/>
      <c r="I116" s="936"/>
      <c r="J116" s="936"/>
      <c r="K116" s="937"/>
      <c r="L116" s="406">
        <v>1510</v>
      </c>
      <c r="M116" s="477">
        <f t="shared" si="190"/>
        <v>1510</v>
      </c>
      <c r="N116" s="611">
        <v>1287</v>
      </c>
      <c r="O116" s="477">
        <f t="shared" si="190"/>
        <v>1287</v>
      </c>
      <c r="P116" s="407">
        <v>1067</v>
      </c>
      <c r="Q116" s="381">
        <f t="shared" si="191"/>
        <v>1067</v>
      </c>
      <c r="R116" s="136">
        <v>1064</v>
      </c>
      <c r="S116" s="477">
        <f t="shared" si="192"/>
        <v>1064</v>
      </c>
      <c r="T116" s="421">
        <v>1056</v>
      </c>
      <c r="U116" s="410">
        <f t="shared" si="193"/>
        <v>1056</v>
      </c>
      <c r="V116" s="421">
        <v>830</v>
      </c>
      <c r="W116" s="410">
        <f t="shared" si="194"/>
        <v>830</v>
      </c>
      <c r="X116" s="1016"/>
      <c r="Y116" s="1017"/>
      <c r="Z116" s="1017"/>
      <c r="AA116" s="1018"/>
      <c r="AB116" s="627" t="s">
        <v>169</v>
      </c>
    </row>
    <row r="117" spans="1:28" ht="12.6" customHeight="1">
      <c r="A117" s="20"/>
      <c r="B117" s="713" t="s">
        <v>451</v>
      </c>
      <c r="C117" s="714"/>
      <c r="D117" s="714"/>
      <c r="E117" s="714"/>
      <c r="F117" s="486"/>
      <c r="G117" s="1023" t="s">
        <v>487</v>
      </c>
      <c r="H117" s="936"/>
      <c r="I117" s="936"/>
      <c r="J117" s="936"/>
      <c r="K117" s="937"/>
      <c r="L117" s="605"/>
      <c r="M117" s="606"/>
      <c r="N117" s="143"/>
      <c r="O117" s="606"/>
      <c r="P117" s="562"/>
      <c r="Q117" s="382"/>
      <c r="R117" s="606"/>
      <c r="S117" s="382"/>
      <c r="T117" s="606"/>
      <c r="U117" s="426"/>
      <c r="V117" s="606"/>
      <c r="W117" s="426"/>
      <c r="X117" s="1016"/>
      <c r="Y117" s="1017"/>
      <c r="Z117" s="1017"/>
      <c r="AA117" s="1018"/>
      <c r="AB117" s="627" t="s">
        <v>170</v>
      </c>
    </row>
    <row r="118" spans="1:28" ht="12.6" customHeight="1">
      <c r="A118" s="20"/>
      <c r="B118" s="697" t="s">
        <v>492</v>
      </c>
      <c r="C118" s="698"/>
      <c r="D118" s="698"/>
      <c r="E118" s="698"/>
      <c r="F118" s="467"/>
      <c r="G118" s="1023" t="s">
        <v>486</v>
      </c>
      <c r="H118" s="936"/>
      <c r="I118" s="936"/>
      <c r="J118" s="936"/>
      <c r="K118" s="937"/>
      <c r="L118" s="406">
        <v>870</v>
      </c>
      <c r="M118" s="477">
        <f t="shared" si="190"/>
        <v>870</v>
      </c>
      <c r="N118" s="143">
        <v>743</v>
      </c>
      <c r="O118" s="477">
        <f t="shared" si="190"/>
        <v>743</v>
      </c>
      <c r="P118" s="407">
        <v>616</v>
      </c>
      <c r="Q118" s="381">
        <f t="shared" si="191"/>
        <v>616</v>
      </c>
      <c r="R118" s="136">
        <v>614</v>
      </c>
      <c r="S118" s="477">
        <f t="shared" si="192"/>
        <v>614</v>
      </c>
      <c r="T118" s="421">
        <v>606</v>
      </c>
      <c r="U118" s="410">
        <f t="shared" si="193"/>
        <v>606</v>
      </c>
      <c r="V118" s="421">
        <v>543</v>
      </c>
      <c r="W118" s="410">
        <f t="shared" si="194"/>
        <v>543</v>
      </c>
      <c r="X118" s="1016"/>
      <c r="Y118" s="1017"/>
      <c r="Z118" s="1017"/>
      <c r="AA118" s="1018"/>
      <c r="AB118" s="627">
        <v>302</v>
      </c>
    </row>
    <row r="119" spans="1:28" ht="12.6" customHeight="1">
      <c r="A119" s="20"/>
      <c r="B119" s="713" t="s">
        <v>494</v>
      </c>
      <c r="C119" s="714"/>
      <c r="D119" s="714"/>
      <c r="E119" s="714"/>
      <c r="F119" s="382"/>
      <c r="G119" s="1023" t="s">
        <v>486</v>
      </c>
      <c r="H119" s="936"/>
      <c r="I119" s="936"/>
      <c r="J119" s="936"/>
      <c r="K119" s="937"/>
      <c r="L119" s="605">
        <v>1016</v>
      </c>
      <c r="M119" s="382">
        <f t="shared" si="190"/>
        <v>1016</v>
      </c>
      <c r="N119" s="143">
        <v>867</v>
      </c>
      <c r="O119" s="382">
        <f t="shared" si="190"/>
        <v>867</v>
      </c>
      <c r="P119" s="562">
        <v>718</v>
      </c>
      <c r="Q119" s="382">
        <f t="shared" si="191"/>
        <v>718</v>
      </c>
      <c r="R119" s="606">
        <v>716</v>
      </c>
      <c r="S119" s="382">
        <f t="shared" si="192"/>
        <v>716</v>
      </c>
      <c r="T119" s="606">
        <v>708</v>
      </c>
      <c r="U119" s="426">
        <f t="shared" si="193"/>
        <v>708</v>
      </c>
      <c r="V119" s="606">
        <v>655</v>
      </c>
      <c r="W119" s="426">
        <f t="shared" si="194"/>
        <v>655</v>
      </c>
      <c r="X119" s="1016"/>
      <c r="Y119" s="1017"/>
      <c r="Z119" s="1017"/>
      <c r="AA119" s="1018"/>
      <c r="AB119" s="627" t="s">
        <v>171</v>
      </c>
    </row>
    <row r="120" spans="1:28" ht="12.6" customHeight="1">
      <c r="A120" s="20"/>
      <c r="B120" s="697" t="s">
        <v>450</v>
      </c>
      <c r="C120" s="698"/>
      <c r="D120" s="698"/>
      <c r="E120" s="698"/>
      <c r="F120" s="467"/>
      <c r="G120" s="1023" t="s">
        <v>486</v>
      </c>
      <c r="H120" s="936"/>
      <c r="I120" s="936"/>
      <c r="J120" s="936"/>
      <c r="K120" s="937"/>
      <c r="L120" s="406"/>
      <c r="M120" s="136"/>
      <c r="N120" s="143"/>
      <c r="O120" s="136"/>
      <c r="P120" s="407"/>
      <c r="Q120" s="381"/>
      <c r="R120" s="136"/>
      <c r="S120" s="477"/>
      <c r="T120" s="421"/>
      <c r="U120" s="410"/>
      <c r="V120" s="421"/>
      <c r="W120" s="410"/>
      <c r="X120" s="1016"/>
      <c r="Y120" s="1017"/>
      <c r="Z120" s="1017"/>
      <c r="AA120" s="1018"/>
      <c r="AB120" s="627" t="s">
        <v>172</v>
      </c>
    </row>
    <row r="121" spans="1:28" ht="12.6" customHeight="1">
      <c r="A121" s="20"/>
      <c r="B121" s="730" t="s">
        <v>830</v>
      </c>
      <c r="C121" s="731"/>
      <c r="D121" s="731"/>
      <c r="E121" s="731"/>
      <c r="F121" s="426"/>
      <c r="G121" s="1023" t="s">
        <v>487</v>
      </c>
      <c r="H121" s="936"/>
      <c r="I121" s="936"/>
      <c r="J121" s="936"/>
      <c r="K121" s="937"/>
      <c r="L121" s="605">
        <v>1524</v>
      </c>
      <c r="M121" s="382">
        <f t="shared" si="190"/>
        <v>1524</v>
      </c>
      <c r="N121" s="612">
        <v>1300</v>
      </c>
      <c r="O121" s="382">
        <f t="shared" si="190"/>
        <v>1300</v>
      </c>
      <c r="P121" s="562">
        <v>1077</v>
      </c>
      <c r="Q121" s="382">
        <f t="shared" si="191"/>
        <v>1077</v>
      </c>
      <c r="R121" s="606">
        <v>1074</v>
      </c>
      <c r="S121" s="382">
        <f t="shared" si="192"/>
        <v>1074</v>
      </c>
      <c r="T121" s="137">
        <v>1066</v>
      </c>
      <c r="U121" s="613">
        <f t="shared" si="193"/>
        <v>1066</v>
      </c>
      <c r="V121" s="137">
        <v>1055</v>
      </c>
      <c r="W121" s="613">
        <f t="shared" si="194"/>
        <v>1055</v>
      </c>
      <c r="X121" s="1016"/>
      <c r="Y121" s="1017"/>
      <c r="Z121" s="1017"/>
      <c r="AA121" s="1018"/>
      <c r="AB121" s="627">
        <v>303</v>
      </c>
    </row>
    <row r="122" spans="1:28" ht="12.6" customHeight="1">
      <c r="A122" s="20"/>
      <c r="B122" s="944" t="s">
        <v>684</v>
      </c>
      <c r="C122" s="945"/>
      <c r="D122" s="945"/>
      <c r="E122" s="945"/>
      <c r="F122" s="410">
        <v>670</v>
      </c>
      <c r="G122" s="381">
        <f>+F122*$X$1</f>
        <v>670</v>
      </c>
      <c r="H122" s="371"/>
      <c r="I122" s="464"/>
      <c r="J122" s="421"/>
      <c r="K122" s="381"/>
      <c r="L122" s="421">
        <v>1365</v>
      </c>
      <c r="M122" s="381">
        <f>+L122*$X$1</f>
        <v>1365</v>
      </c>
      <c r="N122" s="421">
        <v>1132</v>
      </c>
      <c r="O122" s="381">
        <f t="shared" si="190"/>
        <v>1132</v>
      </c>
      <c r="P122" s="428">
        <v>1046</v>
      </c>
      <c r="Q122" s="381">
        <f t="shared" ref="Q122" si="195">+P122*$X$1</f>
        <v>1046</v>
      </c>
      <c r="R122" s="421">
        <v>969</v>
      </c>
      <c r="S122" s="381">
        <f t="shared" si="192"/>
        <v>969</v>
      </c>
      <c r="T122" s="421">
        <v>909</v>
      </c>
      <c r="U122" s="381">
        <f>+T122*$X$1</f>
        <v>909</v>
      </c>
      <c r="V122" s="421">
        <v>870</v>
      </c>
      <c r="W122" s="381">
        <f>+V122*$X$1</f>
        <v>870</v>
      </c>
      <c r="X122" s="694"/>
      <c r="Y122" s="695"/>
      <c r="Z122" s="695"/>
      <c r="AA122" s="696"/>
      <c r="AB122" s="627">
        <v>308</v>
      </c>
    </row>
    <row r="123" spans="1:28" ht="12.6" customHeight="1">
      <c r="A123" s="20"/>
      <c r="B123" s="944" t="s">
        <v>683</v>
      </c>
      <c r="C123" s="945"/>
      <c r="D123" s="945"/>
      <c r="E123" s="945"/>
      <c r="F123" s="426">
        <v>670</v>
      </c>
      <c r="G123" s="382">
        <f>+F123*$X$1</f>
        <v>670</v>
      </c>
      <c r="H123" s="370"/>
      <c r="I123" s="465"/>
      <c r="J123" s="528"/>
      <c r="K123" s="382"/>
      <c r="L123" s="650">
        <v>1365</v>
      </c>
      <c r="M123" s="382">
        <f>+L123*$X$1</f>
        <v>1365</v>
      </c>
      <c r="N123" s="650">
        <v>1132</v>
      </c>
      <c r="O123" s="382">
        <f t="shared" ref="O123" si="196">+N123*$X$1</f>
        <v>1132</v>
      </c>
      <c r="P123" s="372">
        <v>1046</v>
      </c>
      <c r="Q123" s="382">
        <f t="shared" ref="Q123" si="197">+P123*$X$1</f>
        <v>1046</v>
      </c>
      <c r="R123" s="650">
        <v>969</v>
      </c>
      <c r="S123" s="382">
        <f t="shared" ref="S123" si="198">+R123*$X$1</f>
        <v>969</v>
      </c>
      <c r="T123" s="650">
        <v>909</v>
      </c>
      <c r="U123" s="382">
        <f>+T123*$X$1</f>
        <v>909</v>
      </c>
      <c r="V123" s="650">
        <v>870</v>
      </c>
      <c r="W123" s="382">
        <f>+V123*$X$1</f>
        <v>870</v>
      </c>
      <c r="X123" s="694"/>
      <c r="Y123" s="695"/>
      <c r="Z123" s="695"/>
      <c r="AA123" s="696"/>
      <c r="AB123" s="627">
        <v>309</v>
      </c>
    </row>
    <row r="124" spans="1:28" ht="12.6" customHeight="1">
      <c r="A124" s="20"/>
      <c r="B124" s="697" t="s">
        <v>173</v>
      </c>
      <c r="C124" s="698"/>
      <c r="D124" s="698"/>
      <c r="E124" s="698"/>
      <c r="F124" s="536">
        <f>0.761*X2</f>
        <v>656.74300000000005</v>
      </c>
      <c r="G124" s="381">
        <f t="shared" ref="G124" si="199">+F124*$X$1</f>
        <v>656.74300000000005</v>
      </c>
      <c r="H124" s="421"/>
      <c r="I124" s="381"/>
      <c r="J124" s="421">
        <f>F124+65</f>
        <v>721.74300000000005</v>
      </c>
      <c r="K124" s="381">
        <f t="shared" ref="K124" si="200">+J124*$X$1</f>
        <v>721.74300000000005</v>
      </c>
      <c r="L124" s="421">
        <f>F124+50</f>
        <v>706.74300000000005</v>
      </c>
      <c r="M124" s="381">
        <f t="shared" ref="M124" si="201">+L124*$X$1</f>
        <v>706.74300000000005</v>
      </c>
      <c r="N124" s="421">
        <f>F124+36</f>
        <v>692.74300000000005</v>
      </c>
      <c r="O124" s="381">
        <f t="shared" ref="O124" si="202">+N124*$X$1</f>
        <v>692.74300000000005</v>
      </c>
      <c r="P124" s="421">
        <f>F124+33</f>
        <v>689.74300000000005</v>
      </c>
      <c r="Q124" s="381">
        <f t="shared" ref="Q124" si="203">+P124*$X$1</f>
        <v>689.74300000000005</v>
      </c>
      <c r="R124" s="421"/>
      <c r="S124" s="381"/>
      <c r="T124" s="421"/>
      <c r="U124" s="381"/>
      <c r="V124" s="421"/>
      <c r="W124" s="381"/>
      <c r="X124" s="694"/>
      <c r="Y124" s="695"/>
      <c r="Z124" s="695"/>
      <c r="AA124" s="696"/>
      <c r="AB124" s="627">
        <v>310</v>
      </c>
    </row>
    <row r="125" spans="1:28" ht="12.6" customHeight="1">
      <c r="A125" s="20"/>
      <c r="B125" s="713" t="s">
        <v>536</v>
      </c>
      <c r="C125" s="714"/>
      <c r="D125" s="714"/>
      <c r="E125" s="714"/>
      <c r="F125" s="537"/>
      <c r="G125" s="382"/>
      <c r="H125" s="528"/>
      <c r="I125" s="382"/>
      <c r="J125" s="528"/>
      <c r="K125" s="382"/>
      <c r="L125" s="528"/>
      <c r="M125" s="382"/>
      <c r="N125" s="528"/>
      <c r="O125" s="382"/>
      <c r="P125" s="528"/>
      <c r="Q125" s="382"/>
      <c r="R125" s="528"/>
      <c r="S125" s="382"/>
      <c r="T125" s="528"/>
      <c r="U125" s="382"/>
      <c r="V125" s="528"/>
      <c r="W125" s="382"/>
      <c r="X125" s="694"/>
      <c r="Y125" s="695"/>
      <c r="Z125" s="695"/>
      <c r="AA125" s="696"/>
      <c r="AB125" s="627">
        <v>311</v>
      </c>
    </row>
    <row r="126" spans="1:28" ht="12.6" customHeight="1">
      <c r="A126" s="20"/>
      <c r="B126" s="697" t="s">
        <v>603</v>
      </c>
      <c r="C126" s="698"/>
      <c r="D126" s="698"/>
      <c r="E126" s="698"/>
      <c r="F126" s="536">
        <f>1.815*X2</f>
        <v>1566.345</v>
      </c>
      <c r="G126" s="381">
        <f t="shared" ref="G126" si="204">+F126*$X$1</f>
        <v>1566.345</v>
      </c>
      <c r="H126" s="421"/>
      <c r="I126" s="381"/>
      <c r="J126" s="421">
        <f>F126+65</f>
        <v>1631.345</v>
      </c>
      <c r="K126" s="381">
        <f t="shared" ref="K126" si="205">+J126*$X$1</f>
        <v>1631.345</v>
      </c>
      <c r="L126" s="421">
        <f>F126+50</f>
        <v>1616.345</v>
      </c>
      <c r="M126" s="381">
        <f t="shared" ref="M126" si="206">+L126*$X$1</f>
        <v>1616.345</v>
      </c>
      <c r="N126" s="421">
        <f>F126+36</f>
        <v>1602.345</v>
      </c>
      <c r="O126" s="381">
        <f t="shared" ref="O126" si="207">+N126*$X$1</f>
        <v>1602.345</v>
      </c>
      <c r="P126" s="421">
        <f>F126+33</f>
        <v>1599.345</v>
      </c>
      <c r="Q126" s="381">
        <f t="shared" ref="Q126" si="208">+P126*$X$1</f>
        <v>1599.345</v>
      </c>
      <c r="R126" s="421">
        <f>F126+30</f>
        <v>1596.345</v>
      </c>
      <c r="S126" s="381">
        <f t="shared" ref="S126" si="209">+R126*$X$1</f>
        <v>1596.345</v>
      </c>
      <c r="T126" s="421">
        <f>F126+26</f>
        <v>1592.345</v>
      </c>
      <c r="U126" s="381">
        <f t="shared" ref="U126" si="210">+T126*$X$1</f>
        <v>1592.345</v>
      </c>
      <c r="V126" s="421">
        <f>F126+22</f>
        <v>1588.345</v>
      </c>
      <c r="W126" s="381">
        <f t="shared" ref="W126" si="211">+V126*$X$1</f>
        <v>1588.345</v>
      </c>
      <c r="X126" s="694"/>
      <c r="Y126" s="695"/>
      <c r="Z126" s="695"/>
      <c r="AA126" s="696"/>
      <c r="AB126" s="627">
        <v>312</v>
      </c>
    </row>
    <row r="127" spans="1:28" ht="12.6" customHeight="1">
      <c r="A127" s="20"/>
      <c r="B127" s="699" t="s">
        <v>174</v>
      </c>
      <c r="C127" s="724"/>
      <c r="D127" s="724"/>
      <c r="E127" s="725"/>
      <c r="F127" s="382"/>
      <c r="G127" s="382"/>
      <c r="H127" s="528"/>
      <c r="I127" s="382"/>
      <c r="J127" s="98"/>
      <c r="K127" s="382"/>
      <c r="L127" s="528"/>
      <c r="M127" s="382"/>
      <c r="N127" s="528"/>
      <c r="O127" s="382"/>
      <c r="P127" s="528"/>
      <c r="Q127" s="382"/>
      <c r="R127" s="528"/>
      <c r="S127" s="382"/>
      <c r="T127" s="528"/>
      <c r="U127" s="382"/>
      <c r="V127" s="528"/>
      <c r="W127" s="382"/>
      <c r="X127" s="694"/>
      <c r="Y127" s="695"/>
      <c r="Z127" s="695"/>
      <c r="AA127" s="696"/>
      <c r="AB127" s="633" t="s">
        <v>175</v>
      </c>
    </row>
    <row r="128" spans="1:28" ht="12.6" customHeight="1">
      <c r="A128" s="20"/>
      <c r="B128" s="991" t="s">
        <v>176</v>
      </c>
      <c r="C128" s="992"/>
      <c r="D128" s="992"/>
      <c r="E128" s="993"/>
      <c r="F128" s="410"/>
      <c r="G128" s="381"/>
      <c r="H128" s="421"/>
      <c r="I128" s="381"/>
      <c r="J128" s="78"/>
      <c r="K128" s="381"/>
      <c r="L128" s="421"/>
      <c r="M128" s="381"/>
      <c r="N128" s="421"/>
      <c r="O128" s="381"/>
      <c r="P128" s="421"/>
      <c r="Q128" s="381"/>
      <c r="R128" s="421"/>
      <c r="S128" s="381"/>
      <c r="T128" s="421"/>
      <c r="U128" s="381"/>
      <c r="V128" s="421"/>
      <c r="W128" s="381"/>
      <c r="X128" s="734"/>
      <c r="Y128" s="994"/>
      <c r="Z128" s="994"/>
      <c r="AA128" s="736"/>
      <c r="AB128" s="634" t="s">
        <v>177</v>
      </c>
    </row>
    <row r="129" spans="1:33" ht="12.6" customHeight="1">
      <c r="A129" s="20"/>
      <c r="B129" s="699" t="s">
        <v>178</v>
      </c>
      <c r="C129" s="724"/>
      <c r="D129" s="724"/>
      <c r="E129" s="725"/>
      <c r="F129" s="382"/>
      <c r="G129" s="382"/>
      <c r="H129" s="528"/>
      <c r="I129" s="382"/>
      <c r="J129" s="98"/>
      <c r="K129" s="382"/>
      <c r="L129" s="528"/>
      <c r="M129" s="382"/>
      <c r="N129" s="528"/>
      <c r="O129" s="382"/>
      <c r="P129" s="528"/>
      <c r="Q129" s="382"/>
      <c r="R129" s="528"/>
      <c r="S129" s="382"/>
      <c r="T129" s="528"/>
      <c r="U129" s="382"/>
      <c r="V129" s="528"/>
      <c r="W129" s="382"/>
      <c r="X129" s="994"/>
      <c r="Y129" s="994"/>
      <c r="Z129" s="994"/>
      <c r="AA129" s="994"/>
      <c r="AB129" s="635" t="s">
        <v>179</v>
      </c>
    </row>
    <row r="130" spans="1:33" ht="12.6" customHeight="1">
      <c r="A130" s="20"/>
      <c r="B130" s="702" t="s">
        <v>180</v>
      </c>
      <c r="C130" s="703"/>
      <c r="D130" s="703"/>
      <c r="E130" s="704"/>
      <c r="F130" s="381"/>
      <c r="G130" s="381"/>
      <c r="H130" s="421"/>
      <c r="I130" s="381"/>
      <c r="J130" s="78"/>
      <c r="K130" s="381"/>
      <c r="L130" s="421"/>
      <c r="M130" s="381"/>
      <c r="N130" s="421"/>
      <c r="O130" s="381"/>
      <c r="P130" s="421"/>
      <c r="Q130" s="381"/>
      <c r="R130" s="421"/>
      <c r="S130" s="381"/>
      <c r="T130" s="421"/>
      <c r="U130" s="381"/>
      <c r="V130" s="421"/>
      <c r="W130" s="381"/>
      <c r="X130" s="994"/>
      <c r="Y130" s="994"/>
      <c r="Z130" s="994"/>
      <c r="AA130" s="994"/>
      <c r="AB130" s="635" t="s">
        <v>181</v>
      </c>
    </row>
    <row r="131" spans="1:33" ht="12.6" customHeight="1">
      <c r="A131" s="106"/>
      <c r="B131" s="699" t="s">
        <v>437</v>
      </c>
      <c r="C131" s="717"/>
      <c r="D131" s="717"/>
      <c r="E131" s="718"/>
      <c r="F131" s="382"/>
      <c r="G131" s="382"/>
      <c r="H131" s="98"/>
      <c r="I131" s="102"/>
      <c r="J131" s="102"/>
      <c r="K131" s="102"/>
      <c r="L131" s="102"/>
      <c r="M131" s="382"/>
      <c r="N131" s="102"/>
      <c r="O131" s="382"/>
      <c r="P131" s="102"/>
      <c r="Q131" s="382"/>
      <c r="R131" s="102"/>
      <c r="S131" s="382"/>
      <c r="T131" s="102"/>
      <c r="U131" s="382"/>
      <c r="V131" s="102"/>
      <c r="W131" s="382"/>
      <c r="X131" s="941"/>
      <c r="Y131" s="968"/>
      <c r="Z131" s="968"/>
      <c r="AA131" s="969"/>
      <c r="AB131" s="32"/>
    </row>
    <row r="132" spans="1:33" ht="12.6" customHeight="1">
      <c r="A132" s="106"/>
      <c r="B132" s="697" t="s">
        <v>182</v>
      </c>
      <c r="C132" s="698"/>
      <c r="D132" s="698"/>
      <c r="E132" s="698"/>
      <c r="F132" s="381"/>
      <c r="G132" s="381"/>
      <c r="H132" s="78"/>
      <c r="I132" s="293"/>
      <c r="J132" s="293"/>
      <c r="K132" s="293"/>
      <c r="L132" s="293"/>
      <c r="M132" s="381"/>
      <c r="N132" s="293"/>
      <c r="O132" s="381"/>
      <c r="P132" s="293"/>
      <c r="Q132" s="381"/>
      <c r="R132" s="293"/>
      <c r="S132" s="381"/>
      <c r="T132" s="293"/>
      <c r="U132" s="381"/>
      <c r="V132" s="293"/>
      <c r="W132" s="381"/>
      <c r="X132" s="941"/>
      <c r="Y132" s="942"/>
      <c r="Z132" s="942"/>
      <c r="AA132" s="943"/>
      <c r="AB132" s="635">
        <v>316</v>
      </c>
      <c r="AC132" s="67"/>
      <c r="AD132" s="67"/>
      <c r="AE132" s="67"/>
      <c r="AF132" s="67"/>
    </row>
    <row r="133" spans="1:33" ht="12.6" customHeight="1">
      <c r="A133" s="106"/>
      <c r="B133" s="713" t="s">
        <v>183</v>
      </c>
      <c r="C133" s="714"/>
      <c r="D133" s="714"/>
      <c r="E133" s="714"/>
      <c r="F133" s="382"/>
      <c r="G133" s="478"/>
      <c r="H133" s="98"/>
      <c r="I133" s="294"/>
      <c r="J133" s="102"/>
      <c r="K133" s="294"/>
      <c r="L133" s="102"/>
      <c r="M133" s="480"/>
      <c r="N133" s="102"/>
      <c r="O133" s="480"/>
      <c r="P133" s="102"/>
      <c r="Q133" s="480"/>
      <c r="R133" s="102"/>
      <c r="S133" s="480"/>
      <c r="T133" s="102"/>
      <c r="U133" s="382"/>
      <c r="V133" s="102"/>
      <c r="W133" s="382"/>
      <c r="X133" s="941"/>
      <c r="Y133" s="942"/>
      <c r="Z133" s="942"/>
      <c r="AA133" s="943"/>
      <c r="AB133" s="635">
        <v>318</v>
      </c>
      <c r="AC133" s="67"/>
      <c r="AD133" s="67"/>
      <c r="AE133" s="67"/>
      <c r="AF133" s="67"/>
    </row>
    <row r="134" spans="1:33" ht="12.6" customHeight="1">
      <c r="A134" s="20"/>
      <c r="B134" s="1024" t="s">
        <v>393</v>
      </c>
      <c r="C134" s="1025"/>
      <c r="D134" s="1025"/>
      <c r="E134" s="1025"/>
      <c r="F134" s="381">
        <v>509</v>
      </c>
      <c r="G134" s="417">
        <f>+F134*$X$1</f>
        <v>509</v>
      </c>
      <c r="H134" s="222" t="s">
        <v>184</v>
      </c>
      <c r="I134" s="225"/>
      <c r="J134" s="92"/>
      <c r="K134" s="92"/>
      <c r="L134" s="191"/>
      <c r="M134" s="92"/>
      <c r="N134" s="92"/>
      <c r="O134" s="92"/>
      <c r="P134" s="89">
        <v>50</v>
      </c>
      <c r="Q134" s="224">
        <f>+P134*$X$1</f>
        <v>50</v>
      </c>
      <c r="R134" s="257"/>
      <c r="S134" s="484"/>
      <c r="T134" s="78"/>
      <c r="U134" s="381"/>
      <c r="V134" s="338"/>
      <c r="W134" s="381"/>
      <c r="X134" s="941"/>
      <c r="Y134" s="942"/>
      <c r="Z134" s="942"/>
      <c r="AA134" s="943"/>
      <c r="AB134" s="181"/>
      <c r="AC134" s="1276"/>
      <c r="AD134" s="1277"/>
      <c r="AE134" s="1277"/>
      <c r="AF134" s="1277"/>
      <c r="AG134" s="4"/>
    </row>
    <row r="135" spans="1:33" ht="12.6" customHeight="1">
      <c r="A135" s="20"/>
      <c r="B135" s="1003" t="s">
        <v>394</v>
      </c>
      <c r="C135" s="1004"/>
      <c r="D135" s="1004"/>
      <c r="E135" s="1004"/>
      <c r="F135" s="382">
        <v>544</v>
      </c>
      <c r="G135" s="479">
        <f>+F135*$X$1</f>
        <v>544</v>
      </c>
      <c r="H135" s="348" t="s">
        <v>184</v>
      </c>
      <c r="I135" s="349"/>
      <c r="J135" s="350"/>
      <c r="K135" s="350"/>
      <c r="L135" s="351"/>
      <c r="M135" s="350"/>
      <c r="N135" s="350"/>
      <c r="O135" s="350"/>
      <c r="P135" s="352">
        <v>50</v>
      </c>
      <c r="Q135" s="353">
        <f>+P135*$X$1</f>
        <v>50</v>
      </c>
      <c r="R135" s="354"/>
      <c r="S135" s="485"/>
      <c r="T135" s="355"/>
      <c r="U135" s="384"/>
      <c r="V135" s="104"/>
      <c r="W135" s="384"/>
      <c r="X135" s="941"/>
      <c r="Y135" s="942"/>
      <c r="Z135" s="942"/>
      <c r="AA135" s="943"/>
      <c r="AB135" s="181"/>
    </row>
    <row r="136" spans="1:33" ht="12.6" customHeight="1">
      <c r="A136" s="20"/>
      <c r="B136" s="1024" t="s">
        <v>185</v>
      </c>
      <c r="C136" s="1025"/>
      <c r="D136" s="1025"/>
      <c r="E136" s="1025"/>
      <c r="F136" s="381"/>
      <c r="G136" s="381"/>
      <c r="H136" s="358"/>
      <c r="I136" s="381"/>
      <c r="J136" s="374">
        <f>F135+100</f>
        <v>644</v>
      </c>
      <c r="K136" s="381">
        <f t="shared" ref="K136" si="212">+J136*$X$1</f>
        <v>644</v>
      </c>
      <c r="L136" s="374">
        <f>F135+60</f>
        <v>604</v>
      </c>
      <c r="M136" s="381">
        <f>+L136*$X$1</f>
        <v>604</v>
      </c>
      <c r="N136" s="374">
        <f>F135+40</f>
        <v>584</v>
      </c>
      <c r="O136" s="381">
        <f>+N136*$X$1</f>
        <v>584</v>
      </c>
      <c r="P136" s="374">
        <f>F135+37</f>
        <v>581</v>
      </c>
      <c r="Q136" s="381">
        <f t="shared" ref="Q136" si="213">+P136*$X$1</f>
        <v>581</v>
      </c>
      <c r="R136" s="374">
        <f>F135+34</f>
        <v>578</v>
      </c>
      <c r="S136" s="381">
        <f>+R136*$X$1</f>
        <v>578</v>
      </c>
      <c r="T136" s="374">
        <f>F135+28</f>
        <v>572</v>
      </c>
      <c r="U136" s="381">
        <f t="shared" ref="U136:U137" si="214">+T136*$X$1</f>
        <v>572</v>
      </c>
      <c r="V136" s="374">
        <f>F135+25</f>
        <v>569</v>
      </c>
      <c r="W136" s="381">
        <f>+V136*$X$1</f>
        <v>569</v>
      </c>
      <c r="X136" s="941"/>
      <c r="Y136" s="942"/>
      <c r="Z136" s="942"/>
      <c r="AA136" s="943"/>
      <c r="AB136" s="633">
        <v>321</v>
      </c>
    </row>
    <row r="137" spans="1:33" ht="12.6" customHeight="1">
      <c r="A137" s="20"/>
      <c r="B137" s="1003" t="s">
        <v>679</v>
      </c>
      <c r="C137" s="1004"/>
      <c r="D137" s="1004"/>
      <c r="E137" s="1004"/>
      <c r="F137" s="382"/>
      <c r="G137" s="382"/>
      <c r="H137" s="400"/>
      <c r="I137" s="382"/>
      <c r="J137" s="102">
        <f>F135+210</f>
        <v>754</v>
      </c>
      <c r="K137" s="382">
        <f t="shared" ref="K137" si="215">+J137*$X$1</f>
        <v>754</v>
      </c>
      <c r="L137" s="102">
        <f>F135+130</f>
        <v>674</v>
      </c>
      <c r="M137" s="382">
        <f>+L137*$X$1</f>
        <v>674</v>
      </c>
      <c r="N137" s="102">
        <f>F135+95</f>
        <v>639</v>
      </c>
      <c r="O137" s="382">
        <f>+N137*$X$1</f>
        <v>639</v>
      </c>
      <c r="P137" s="102">
        <f>F135+85</f>
        <v>629</v>
      </c>
      <c r="Q137" s="382">
        <f t="shared" ref="Q137" si="216">+P137*$X$1</f>
        <v>629</v>
      </c>
      <c r="R137" s="102">
        <f>F135+76</f>
        <v>620</v>
      </c>
      <c r="S137" s="382">
        <f>+R137*$X$1</f>
        <v>620</v>
      </c>
      <c r="T137" s="102">
        <f>F135+64</f>
        <v>608</v>
      </c>
      <c r="U137" s="382">
        <f t="shared" si="214"/>
        <v>608</v>
      </c>
      <c r="V137" s="102">
        <f>F135+58</f>
        <v>602</v>
      </c>
      <c r="W137" s="382">
        <f>+V137*$X$1</f>
        <v>602</v>
      </c>
      <c r="X137" s="941"/>
      <c r="Y137" s="942"/>
      <c r="Z137" s="942"/>
      <c r="AA137" s="943"/>
      <c r="AB137" s="633">
        <v>322</v>
      </c>
    </row>
    <row r="138" spans="1:33" ht="12.6" customHeight="1">
      <c r="A138" s="20"/>
      <c r="B138" s="1024" t="s">
        <v>395</v>
      </c>
      <c r="C138" s="1025"/>
      <c r="D138" s="1025"/>
      <c r="E138" s="1025"/>
      <c r="F138" s="381">
        <v>651</v>
      </c>
      <c r="G138" s="417">
        <f>+F138*$X$1</f>
        <v>651</v>
      </c>
      <c r="H138" s="356" t="s">
        <v>184</v>
      </c>
      <c r="I138" s="223"/>
      <c r="J138" s="90"/>
      <c r="K138" s="90"/>
      <c r="L138" s="90"/>
      <c r="M138" s="90"/>
      <c r="N138" s="90"/>
      <c r="O138" s="90"/>
      <c r="P138" s="91">
        <v>70</v>
      </c>
      <c r="Q138" s="357">
        <f>+P138*$X$1</f>
        <v>70</v>
      </c>
      <c r="R138" s="72"/>
      <c r="S138" s="473"/>
      <c r="T138" s="360"/>
      <c r="U138" s="481"/>
      <c r="V138" s="93"/>
      <c r="W138" s="483"/>
      <c r="X138" s="941"/>
      <c r="Y138" s="942"/>
      <c r="Z138" s="942"/>
      <c r="AA138" s="943"/>
      <c r="AB138" s="181"/>
    </row>
    <row r="139" spans="1:33" ht="12.6" customHeight="1">
      <c r="A139" s="20"/>
      <c r="B139" s="713" t="s">
        <v>186</v>
      </c>
      <c r="C139" s="714"/>
      <c r="D139" s="714"/>
      <c r="E139" s="714"/>
      <c r="F139" s="384">
        <v>686</v>
      </c>
      <c r="G139" s="479">
        <f>+F139*$X$1</f>
        <v>686</v>
      </c>
      <c r="H139" s="361" t="s">
        <v>184</v>
      </c>
      <c r="I139" s="362"/>
      <c r="J139" s="90"/>
      <c r="K139" s="90"/>
      <c r="L139" s="90"/>
      <c r="M139" s="90"/>
      <c r="N139" s="90"/>
      <c r="O139" s="90"/>
      <c r="P139" s="91">
        <v>70</v>
      </c>
      <c r="Q139" s="224">
        <f>+P139*$X$1</f>
        <v>70</v>
      </c>
      <c r="R139" s="342"/>
      <c r="S139" s="462"/>
      <c r="T139" s="359"/>
      <c r="U139" s="482"/>
      <c r="V139" s="98"/>
      <c r="W139" s="426"/>
      <c r="X139" s="941"/>
      <c r="Y139" s="942"/>
      <c r="Z139" s="942"/>
      <c r="AA139" s="943"/>
      <c r="AB139" s="181"/>
    </row>
    <row r="140" spans="1:33" ht="12.6" customHeight="1">
      <c r="A140" s="20"/>
      <c r="B140" s="697" t="s">
        <v>187</v>
      </c>
      <c r="C140" s="698"/>
      <c r="D140" s="698"/>
      <c r="E140" s="698"/>
      <c r="F140" s="467"/>
      <c r="G140" s="467"/>
      <c r="H140" s="371"/>
      <c r="I140" s="464"/>
      <c r="J140" s="421">
        <f>F139+100</f>
        <v>786</v>
      </c>
      <c r="K140" s="381">
        <f t="shared" ref="K140" si="217">+J140*$X$1</f>
        <v>786</v>
      </c>
      <c r="L140" s="421">
        <f>F139+60</f>
        <v>746</v>
      </c>
      <c r="M140" s="381">
        <f>+L140*$X$1</f>
        <v>746</v>
      </c>
      <c r="N140" s="421">
        <f>F139+40</f>
        <v>726</v>
      </c>
      <c r="O140" s="381">
        <f>+N140*$X$1</f>
        <v>726</v>
      </c>
      <c r="P140" s="421">
        <f>F139+37</f>
        <v>723</v>
      </c>
      <c r="Q140" s="381">
        <f t="shared" ref="Q140" si="218">+P140*$X$1</f>
        <v>723</v>
      </c>
      <c r="R140" s="528">
        <f>F139+34</f>
        <v>720</v>
      </c>
      <c r="S140" s="381">
        <f>+R140*$X$1</f>
        <v>720</v>
      </c>
      <c r="T140" s="421">
        <f>F139+28</f>
        <v>714</v>
      </c>
      <c r="U140" s="381">
        <f t="shared" ref="U140" si="219">+T140*$X$1</f>
        <v>714</v>
      </c>
      <c r="V140" s="421">
        <f>F139+25</f>
        <v>711</v>
      </c>
      <c r="W140" s="381">
        <f>+V140*$X$1</f>
        <v>711</v>
      </c>
      <c r="X140" s="941"/>
      <c r="Y140" s="942"/>
      <c r="Z140" s="942"/>
      <c r="AA140" s="943"/>
      <c r="AB140" s="633">
        <v>325</v>
      </c>
    </row>
    <row r="141" spans="1:33" ht="12.6" customHeight="1">
      <c r="A141" s="20"/>
      <c r="B141" s="713" t="s">
        <v>678</v>
      </c>
      <c r="C141" s="714"/>
      <c r="D141" s="714"/>
      <c r="E141" s="714"/>
      <c r="F141" s="466"/>
      <c r="G141" s="466"/>
      <c r="H141" s="370"/>
      <c r="I141" s="465"/>
      <c r="J141" s="528">
        <f>F139+210</f>
        <v>896</v>
      </c>
      <c r="K141" s="382">
        <f t="shared" ref="K141:K145" si="220">+J141*$X$1</f>
        <v>896</v>
      </c>
      <c r="L141" s="528">
        <f>F139+130</f>
        <v>816</v>
      </c>
      <c r="M141" s="382">
        <f>+L141*$X$1</f>
        <v>816</v>
      </c>
      <c r="N141" s="528">
        <f>F139+95</f>
        <v>781</v>
      </c>
      <c r="O141" s="382">
        <f>+N141*$X$1</f>
        <v>781</v>
      </c>
      <c r="P141" s="528">
        <f>F139+85</f>
        <v>771</v>
      </c>
      <c r="Q141" s="382">
        <f t="shared" ref="Q141:Q143" si="221">+P141*$X$1</f>
        <v>771</v>
      </c>
      <c r="R141" s="528">
        <f>F139+76</f>
        <v>762</v>
      </c>
      <c r="S141" s="382">
        <f>+R141*$X$1</f>
        <v>762</v>
      </c>
      <c r="T141" s="528">
        <f>F139+64</f>
        <v>750</v>
      </c>
      <c r="U141" s="382">
        <f t="shared" ref="U141:U143" si="222">+T141*$X$1</f>
        <v>750</v>
      </c>
      <c r="V141" s="528">
        <f>F139+58</f>
        <v>744</v>
      </c>
      <c r="W141" s="382">
        <f>+V141*$X$1</f>
        <v>744</v>
      </c>
      <c r="X141" s="941"/>
      <c r="Y141" s="942"/>
      <c r="Z141" s="942"/>
      <c r="AA141" s="943"/>
      <c r="AB141" s="633">
        <v>326</v>
      </c>
    </row>
    <row r="142" spans="1:33" ht="12.6" customHeight="1">
      <c r="A142" s="20"/>
      <c r="B142" s="697" t="s">
        <v>419</v>
      </c>
      <c r="C142" s="698"/>
      <c r="D142" s="698"/>
      <c r="E142" s="698"/>
      <c r="F142" s="536">
        <f>9.086*X2</f>
        <v>7841.2179999999998</v>
      </c>
      <c r="G142" s="381">
        <f>+F142*$X$1</f>
        <v>7841.2179999999998</v>
      </c>
      <c r="H142" s="421">
        <f>F142+190</f>
        <v>8031.2179999999998</v>
      </c>
      <c r="I142" s="381">
        <f t="shared" ref="I142" si="223">+H142*$X$1</f>
        <v>8031.2179999999998</v>
      </c>
      <c r="J142" s="421">
        <f>F142+65</f>
        <v>7906.2179999999998</v>
      </c>
      <c r="K142" s="381">
        <f t="shared" si="220"/>
        <v>7906.2179999999998</v>
      </c>
      <c r="L142" s="421">
        <f>F142+50</f>
        <v>7891.2179999999998</v>
      </c>
      <c r="M142" s="381">
        <f t="shared" ref="M142:M145" si="224">+L142*$X$1</f>
        <v>7891.2179999999998</v>
      </c>
      <c r="N142" s="421">
        <f>F142+36</f>
        <v>7877.2179999999998</v>
      </c>
      <c r="O142" s="381">
        <f t="shared" ref="O142:O145" si="225">+N142*$X$1</f>
        <v>7877.2179999999998</v>
      </c>
      <c r="P142" s="421">
        <f>F142+33</f>
        <v>7874.2179999999998</v>
      </c>
      <c r="Q142" s="381">
        <f t="shared" si="221"/>
        <v>7874.2179999999998</v>
      </c>
      <c r="R142" s="421">
        <f>F142+30</f>
        <v>7871.2179999999998</v>
      </c>
      <c r="S142" s="381">
        <f t="shared" ref="S142:S143" si="226">+R142*$X$1</f>
        <v>7871.2179999999998</v>
      </c>
      <c r="T142" s="421">
        <f>F142+26</f>
        <v>7867.2179999999998</v>
      </c>
      <c r="U142" s="381">
        <f t="shared" si="222"/>
        <v>7867.2179999999998</v>
      </c>
      <c r="V142" s="421">
        <f>F142+22</f>
        <v>7863.2179999999998</v>
      </c>
      <c r="W142" s="381">
        <f t="shared" ref="W142:W143" si="227">+V142*$X$1</f>
        <v>7863.2179999999998</v>
      </c>
      <c r="X142" s="749"/>
      <c r="Y142" s="951"/>
      <c r="Z142" s="951"/>
      <c r="AA142" s="751"/>
      <c r="AB142" s="635">
        <v>332</v>
      </c>
    </row>
    <row r="143" spans="1:33" ht="12.6" customHeight="1">
      <c r="A143" s="20"/>
      <c r="B143" s="713" t="s">
        <v>867</v>
      </c>
      <c r="C143" s="714"/>
      <c r="D143" s="714"/>
      <c r="E143" s="714"/>
      <c r="F143" s="438">
        <v>14890</v>
      </c>
      <c r="G143" s="382">
        <f>+F143*$X$1</f>
        <v>14890</v>
      </c>
      <c r="H143" s="528">
        <f>F143+190</f>
        <v>15080</v>
      </c>
      <c r="I143" s="382">
        <f t="shared" ref="I143:I144" si="228">+H143*$X$1</f>
        <v>15080</v>
      </c>
      <c r="J143" s="528">
        <f>F143+65</f>
        <v>14955</v>
      </c>
      <c r="K143" s="382">
        <f t="shared" si="220"/>
        <v>14955</v>
      </c>
      <c r="L143" s="528">
        <f>F143+50</f>
        <v>14940</v>
      </c>
      <c r="M143" s="382">
        <f t="shared" si="224"/>
        <v>14940</v>
      </c>
      <c r="N143" s="528">
        <f>F143+36</f>
        <v>14926</v>
      </c>
      <c r="O143" s="382">
        <f t="shared" si="225"/>
        <v>14926</v>
      </c>
      <c r="P143" s="528">
        <f>F143+33</f>
        <v>14923</v>
      </c>
      <c r="Q143" s="382">
        <f t="shared" si="221"/>
        <v>14923</v>
      </c>
      <c r="R143" s="528">
        <f>F143+30</f>
        <v>14920</v>
      </c>
      <c r="S143" s="382">
        <f t="shared" si="226"/>
        <v>14920</v>
      </c>
      <c r="T143" s="528">
        <f>F143+26</f>
        <v>14916</v>
      </c>
      <c r="U143" s="382">
        <f t="shared" si="222"/>
        <v>14916</v>
      </c>
      <c r="V143" s="528">
        <f>F143+22</f>
        <v>14912</v>
      </c>
      <c r="W143" s="382">
        <f t="shared" si="227"/>
        <v>14912</v>
      </c>
      <c r="X143" s="749"/>
      <c r="Y143" s="951"/>
      <c r="Z143" s="951"/>
      <c r="AA143" s="751"/>
      <c r="AB143" s="635">
        <v>334</v>
      </c>
    </row>
    <row r="144" spans="1:33" ht="12.6" customHeight="1">
      <c r="A144" s="20"/>
      <c r="B144" s="944" t="s">
        <v>868</v>
      </c>
      <c r="C144" s="945"/>
      <c r="D144" s="945"/>
      <c r="E144" s="945"/>
      <c r="F144" s="536">
        <f>5.54*X2</f>
        <v>4781.0200000000004</v>
      </c>
      <c r="G144" s="381">
        <f>+F144*$X$1</f>
        <v>4781.0200000000004</v>
      </c>
      <c r="H144" s="421">
        <f>F144+190</f>
        <v>4971.0200000000004</v>
      </c>
      <c r="I144" s="381">
        <f t="shared" si="228"/>
        <v>4971.0200000000004</v>
      </c>
      <c r="J144" s="421">
        <f>F144+65</f>
        <v>4846.0200000000004</v>
      </c>
      <c r="K144" s="381">
        <f t="shared" ref="K144" si="229">+J144*$X$1</f>
        <v>4846.0200000000004</v>
      </c>
      <c r="L144" s="421">
        <f>F144+50</f>
        <v>4831.0200000000004</v>
      </c>
      <c r="M144" s="381">
        <f t="shared" ref="M144" si="230">+L144*$X$1</f>
        <v>4831.0200000000004</v>
      </c>
      <c r="N144" s="421">
        <f>F144+36</f>
        <v>4817.0200000000004</v>
      </c>
      <c r="O144" s="381">
        <f t="shared" ref="O144" si="231">+N144*$X$1</f>
        <v>4817.0200000000004</v>
      </c>
      <c r="P144" s="421">
        <f>F144+33</f>
        <v>4814.0200000000004</v>
      </c>
      <c r="Q144" s="381">
        <f t="shared" ref="Q144" si="232">+P144*$X$1</f>
        <v>4814.0200000000004</v>
      </c>
      <c r="R144" s="421">
        <f>F144+30</f>
        <v>4811.0200000000004</v>
      </c>
      <c r="S144" s="381">
        <f t="shared" ref="S144" si="233">+R144*$X$1</f>
        <v>4811.0200000000004</v>
      </c>
      <c r="T144" s="421">
        <f>F144+26</f>
        <v>4807.0200000000004</v>
      </c>
      <c r="U144" s="381">
        <f t="shared" ref="U144" si="234">+T144*$X$1</f>
        <v>4807.0200000000004</v>
      </c>
      <c r="V144" s="421">
        <f>F144+22</f>
        <v>4803.0200000000004</v>
      </c>
      <c r="W144" s="381">
        <f t="shared" ref="W144" si="235">+V144*$X$1</f>
        <v>4803.0200000000004</v>
      </c>
      <c r="X144" s="749"/>
      <c r="Y144" s="951"/>
      <c r="Z144" s="951"/>
      <c r="AA144" s="751"/>
      <c r="AB144" s="221">
        <v>337</v>
      </c>
    </row>
    <row r="145" spans="1:34" ht="12.6" customHeight="1">
      <c r="A145" s="20"/>
      <c r="B145" s="1215" t="s">
        <v>605</v>
      </c>
      <c r="C145" s="760"/>
      <c r="D145" s="760"/>
      <c r="E145" s="760"/>
      <c r="F145" s="537">
        <f>5.04*X2</f>
        <v>4349.5200000000004</v>
      </c>
      <c r="G145" s="382">
        <f>+F145*$X$1</f>
        <v>4349.5200000000004</v>
      </c>
      <c r="H145" s="661">
        <f>F145+190</f>
        <v>4539.5200000000004</v>
      </c>
      <c r="I145" s="382">
        <f t="shared" ref="I145" si="236">+H145*$X$1</f>
        <v>4539.5200000000004</v>
      </c>
      <c r="J145" s="661">
        <f>F145+65</f>
        <v>4414.5200000000004</v>
      </c>
      <c r="K145" s="382">
        <f t="shared" si="220"/>
        <v>4414.5200000000004</v>
      </c>
      <c r="L145" s="661">
        <f>F145+50</f>
        <v>4399.5200000000004</v>
      </c>
      <c r="M145" s="382">
        <f t="shared" si="224"/>
        <v>4399.5200000000004</v>
      </c>
      <c r="N145" s="661">
        <f>F145+36</f>
        <v>4385.5200000000004</v>
      </c>
      <c r="O145" s="382">
        <f t="shared" si="225"/>
        <v>4385.5200000000004</v>
      </c>
      <c r="P145" s="661"/>
      <c r="Q145" s="382"/>
      <c r="R145" s="661"/>
      <c r="S145" s="382"/>
      <c r="T145" s="661"/>
      <c r="U145" s="382"/>
      <c r="V145" s="661"/>
      <c r="W145" s="382"/>
      <c r="X145" s="749"/>
      <c r="Y145" s="951"/>
      <c r="Z145" s="951"/>
      <c r="AA145" s="751"/>
      <c r="AB145" s="635">
        <v>338</v>
      </c>
    </row>
    <row r="146" spans="1:34" ht="12.6" customHeight="1">
      <c r="A146" s="22"/>
      <c r="B146" s="835" t="s">
        <v>396</v>
      </c>
      <c r="C146" s="836"/>
      <c r="D146" s="836"/>
      <c r="E146" s="836"/>
      <c r="F146" s="410"/>
      <c r="G146" s="410"/>
      <c r="H146" s="660"/>
      <c r="I146" s="660"/>
      <c r="J146" s="421"/>
      <c r="K146" s="381"/>
      <c r="L146" s="421"/>
      <c r="M146" s="381"/>
      <c r="N146" s="93"/>
      <c r="O146" s="410"/>
      <c r="P146" s="93"/>
      <c r="Q146" s="410"/>
      <c r="R146" s="113"/>
      <c r="S146" s="410"/>
      <c r="T146" s="113"/>
      <c r="U146" s="337"/>
      <c r="V146" s="113"/>
      <c r="W146" s="337"/>
      <c r="X146" s="170"/>
      <c r="Y146" s="170"/>
      <c r="Z146" s="170"/>
      <c r="AA146" s="170"/>
      <c r="AB146" s="635">
        <v>344</v>
      </c>
    </row>
    <row r="147" spans="1:34" ht="12.6" customHeight="1">
      <c r="A147" s="22"/>
      <c r="B147" s="713" t="s">
        <v>188</v>
      </c>
      <c r="C147" s="714"/>
      <c r="D147" s="714"/>
      <c r="E147" s="714"/>
      <c r="F147" s="382"/>
      <c r="G147" s="382"/>
      <c r="H147" s="636"/>
      <c r="I147" s="636"/>
      <c r="J147" s="661"/>
      <c r="K147" s="382"/>
      <c r="L147" s="661"/>
      <c r="M147" s="382"/>
      <c r="N147" s="99"/>
      <c r="O147" s="426"/>
      <c r="P147" s="99"/>
      <c r="Q147" s="426"/>
      <c r="R147" s="112"/>
      <c r="S147" s="426"/>
      <c r="T147" s="112"/>
      <c r="U147" s="409"/>
      <c r="V147" s="112"/>
      <c r="W147" s="409"/>
      <c r="X147" s="170"/>
      <c r="Y147" s="170"/>
      <c r="Z147" s="170"/>
      <c r="AA147" s="170"/>
      <c r="AB147" s="635">
        <v>345</v>
      </c>
    </row>
    <row r="148" spans="1:34" ht="12.6" customHeight="1">
      <c r="A148" s="22"/>
      <c r="B148" s="1014" t="s">
        <v>189</v>
      </c>
      <c r="C148" s="1015"/>
      <c r="D148" s="1015"/>
      <c r="E148" s="1015"/>
      <c r="F148" s="381">
        <v>350</v>
      </c>
      <c r="G148" s="381">
        <f t="shared" ref="G148" si="237">+F148*$X$1</f>
        <v>350</v>
      </c>
      <c r="H148" s="660"/>
      <c r="I148" s="660"/>
      <c r="J148" s="421">
        <f>F148+210</f>
        <v>560</v>
      </c>
      <c r="K148" s="381">
        <f t="shared" ref="K148" si="238">+J148*$X$1</f>
        <v>560</v>
      </c>
      <c r="L148" s="421">
        <f>F148+130</f>
        <v>480</v>
      </c>
      <c r="M148" s="381">
        <f>+L148*$X$1</f>
        <v>480</v>
      </c>
      <c r="N148" s="421">
        <f>F148+95</f>
        <v>445</v>
      </c>
      <c r="O148" s="381">
        <f>+N148*$X$1</f>
        <v>445</v>
      </c>
      <c r="P148" s="421">
        <f>F148+85</f>
        <v>435</v>
      </c>
      <c r="Q148" s="381">
        <f t="shared" ref="Q148" si="239">+P148*$X$1</f>
        <v>435</v>
      </c>
      <c r="R148" s="421">
        <f>F148+76</f>
        <v>426</v>
      </c>
      <c r="S148" s="381">
        <f>+R148*$X$1</f>
        <v>426</v>
      </c>
      <c r="T148" s="421">
        <f>F148+64</f>
        <v>414</v>
      </c>
      <c r="U148" s="381">
        <f t="shared" ref="U148" si="240">+T148*$X$1</f>
        <v>414</v>
      </c>
      <c r="V148" s="421">
        <f>F148+58</f>
        <v>408</v>
      </c>
      <c r="W148" s="381">
        <f>+V148*$X$1</f>
        <v>408</v>
      </c>
      <c r="X148" s="170"/>
      <c r="Y148" s="170"/>
      <c r="Z148" s="170"/>
      <c r="AA148" s="170"/>
      <c r="AB148" s="635">
        <v>347</v>
      </c>
    </row>
    <row r="149" spans="1:34" ht="12.6" customHeight="1">
      <c r="A149" s="22"/>
      <c r="B149" s="713" t="s">
        <v>826</v>
      </c>
      <c r="C149" s="714"/>
      <c r="D149" s="714"/>
      <c r="E149" s="714"/>
      <c r="F149" s="397"/>
      <c r="G149" s="688"/>
      <c r="H149" s="661"/>
      <c r="I149" s="661"/>
      <c r="J149" s="661"/>
      <c r="K149" s="661"/>
      <c r="L149" s="343"/>
      <c r="M149" s="343"/>
      <c r="N149" s="375"/>
      <c r="O149" s="661"/>
      <c r="P149" s="343"/>
      <c r="Q149" s="343"/>
      <c r="R149" s="661"/>
      <c r="S149" s="661"/>
      <c r="T149" s="661"/>
      <c r="U149" s="103"/>
      <c r="V149" s="661"/>
      <c r="W149" s="103"/>
      <c r="X149" s="170"/>
      <c r="Y149" s="170"/>
      <c r="Z149" s="170"/>
      <c r="AA149" s="170"/>
      <c r="AB149" s="635">
        <v>348</v>
      </c>
    </row>
    <row r="150" spans="1:34" ht="12.6" customHeight="1">
      <c r="A150" s="22"/>
      <c r="B150" s="697" t="s">
        <v>190</v>
      </c>
      <c r="C150" s="698"/>
      <c r="D150" s="698"/>
      <c r="E150" s="698"/>
      <c r="F150" s="398"/>
      <c r="G150" s="687"/>
      <c r="H150" s="421"/>
      <c r="I150" s="421"/>
      <c r="J150" s="421"/>
      <c r="K150" s="421"/>
      <c r="L150" s="346"/>
      <c r="M150" s="346"/>
      <c r="N150" s="368"/>
      <c r="O150" s="421"/>
      <c r="P150" s="346"/>
      <c r="Q150" s="346"/>
      <c r="R150" s="421"/>
      <c r="S150" s="421"/>
      <c r="T150" s="421"/>
      <c r="U150" s="105"/>
      <c r="V150" s="421"/>
      <c r="W150" s="105"/>
      <c r="X150" s="170"/>
      <c r="Y150" s="170"/>
      <c r="Z150" s="170"/>
      <c r="AA150" s="170"/>
      <c r="AB150" s="635">
        <v>349</v>
      </c>
    </row>
    <row r="151" spans="1:34" ht="12.6" customHeight="1">
      <c r="A151" s="22"/>
      <c r="B151" s="713" t="s">
        <v>191</v>
      </c>
      <c r="C151" s="714"/>
      <c r="D151" s="714"/>
      <c r="E151" s="714"/>
      <c r="F151" s="397"/>
      <c r="G151" s="688"/>
      <c r="H151" s="661"/>
      <c r="I151" s="661"/>
      <c r="J151" s="661"/>
      <c r="K151" s="661"/>
      <c r="L151" s="343"/>
      <c r="M151" s="343"/>
      <c r="N151" s="375"/>
      <c r="O151" s="661"/>
      <c r="P151" s="343"/>
      <c r="Q151" s="343"/>
      <c r="R151" s="661"/>
      <c r="S151" s="661"/>
      <c r="T151" s="661"/>
      <c r="U151" s="103"/>
      <c r="V151" s="661"/>
      <c r="W151" s="103"/>
      <c r="X151" s="170"/>
      <c r="Y151" s="170"/>
      <c r="Z151" s="170"/>
      <c r="AA151" s="170"/>
      <c r="AB151" s="635">
        <v>350</v>
      </c>
    </row>
    <row r="152" spans="1:34" ht="12.6" customHeight="1">
      <c r="A152" s="22"/>
      <c r="B152" s="697" t="s">
        <v>192</v>
      </c>
      <c r="C152" s="698"/>
      <c r="D152" s="698"/>
      <c r="E152" s="698"/>
      <c r="F152" s="398"/>
      <c r="G152" s="687"/>
      <c r="H152" s="421"/>
      <c r="I152" s="421"/>
      <c r="J152" s="421"/>
      <c r="K152" s="421"/>
      <c r="L152" s="346"/>
      <c r="M152" s="346"/>
      <c r="N152" s="368"/>
      <c r="O152" s="421"/>
      <c r="P152" s="346"/>
      <c r="Q152" s="346"/>
      <c r="R152" s="421"/>
      <c r="S152" s="421"/>
      <c r="T152" s="421"/>
      <c r="U152" s="105"/>
      <c r="V152" s="421"/>
      <c r="W152" s="105"/>
      <c r="X152" s="170"/>
      <c r="Y152" s="170"/>
      <c r="Z152" s="170"/>
      <c r="AA152" s="170"/>
      <c r="AB152" s="635">
        <v>351</v>
      </c>
    </row>
    <row r="153" spans="1:34" ht="12.6" customHeight="1">
      <c r="A153" s="22"/>
      <c r="B153" s="713" t="s">
        <v>193</v>
      </c>
      <c r="C153" s="714"/>
      <c r="D153" s="714"/>
      <c r="E153" s="714"/>
      <c r="F153" s="397"/>
      <c r="G153" s="688"/>
      <c r="H153" s="661"/>
      <c r="I153" s="661"/>
      <c r="J153" s="661"/>
      <c r="K153" s="661"/>
      <c r="L153" s="343"/>
      <c r="M153" s="343"/>
      <c r="N153" s="112"/>
      <c r="O153" s="661"/>
      <c r="P153" s="343"/>
      <c r="Q153" s="343"/>
      <c r="R153" s="661"/>
      <c r="S153" s="661"/>
      <c r="T153" s="112"/>
      <c r="U153" s="668"/>
      <c r="V153" s="112"/>
      <c r="W153" s="668"/>
      <c r="X153" s="170"/>
      <c r="Y153" s="170"/>
      <c r="Z153" s="170"/>
      <c r="AA153" s="170"/>
      <c r="AB153" s="635">
        <v>352</v>
      </c>
    </row>
    <row r="154" spans="1:34" ht="12.6" customHeight="1">
      <c r="A154" s="22"/>
      <c r="B154" s="702" t="s">
        <v>446</v>
      </c>
      <c r="C154" s="703"/>
      <c r="D154" s="703"/>
      <c r="E154" s="704"/>
      <c r="F154" s="542">
        <f>0.879*X2</f>
        <v>758.577</v>
      </c>
      <c r="G154" s="337">
        <f t="shared" ref="G154" si="241">+F154*$X$1</f>
        <v>758.577</v>
      </c>
      <c r="H154" s="667"/>
      <c r="I154" s="381"/>
      <c r="J154" s="421"/>
      <c r="K154" s="381"/>
      <c r="L154" s="421">
        <f>F154+57</f>
        <v>815.577</v>
      </c>
      <c r="M154" s="381">
        <f t="shared" ref="M154" si="242">+L154*$X$1</f>
        <v>815.577</v>
      </c>
      <c r="N154" s="421">
        <f>F154+31</f>
        <v>789.577</v>
      </c>
      <c r="O154" s="381">
        <f t="shared" ref="O154" si="243">+N154*$X$1</f>
        <v>789.577</v>
      </c>
      <c r="P154" s="421">
        <f>F154+27</f>
        <v>785.577</v>
      </c>
      <c r="Q154" s="381">
        <f t="shared" ref="Q154" si="244">+P154*$X$1</f>
        <v>785.577</v>
      </c>
      <c r="R154" s="421">
        <f>F154+20</f>
        <v>778.577</v>
      </c>
      <c r="S154" s="381">
        <f t="shared" ref="S154" si="245">+R154*$X$1</f>
        <v>778.577</v>
      </c>
      <c r="T154" s="113">
        <f>F154+16</f>
        <v>774.577</v>
      </c>
      <c r="U154" s="337">
        <f t="shared" ref="U154" si="246">+T154*$X$1</f>
        <v>774.577</v>
      </c>
      <c r="V154" s="113">
        <f>F154+13</f>
        <v>771.577</v>
      </c>
      <c r="W154" s="337">
        <f t="shared" ref="W154" si="247">+V154*$X$1</f>
        <v>771.577</v>
      </c>
      <c r="X154" s="734"/>
      <c r="Y154" s="961"/>
      <c r="Z154" s="961"/>
      <c r="AA154" s="962"/>
      <c r="AB154" s="635">
        <v>370</v>
      </c>
    </row>
    <row r="155" spans="1:34" ht="12.75" customHeight="1">
      <c r="A155" s="20"/>
      <c r="B155" s="3"/>
      <c r="C155" s="3"/>
      <c r="D155" s="3"/>
      <c r="E155" s="3"/>
      <c r="F155" s="147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"/>
      <c r="W155" s="8"/>
      <c r="Y155" s="4"/>
      <c r="Z155" s="4"/>
      <c r="AA155" s="4"/>
      <c r="AB155" s="4"/>
      <c r="AC155" s="4"/>
      <c r="AD155" s="4"/>
    </row>
    <row r="156" spans="1:34" ht="12.75" customHeight="1">
      <c r="A156" s="20"/>
      <c r="B156" s="3"/>
      <c r="C156" s="3"/>
      <c r="D156" s="3"/>
      <c r="E156" s="72"/>
      <c r="F156" s="147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thickBot="1">
      <c r="A157" s="20"/>
      <c r="B157" s="3"/>
      <c r="C157" s="3"/>
      <c r="D157" s="3"/>
      <c r="E157" s="3"/>
      <c r="F157" s="10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4.25" customHeight="1">
      <c r="A158" s="20"/>
      <c r="B158" s="739" t="s">
        <v>11</v>
      </c>
      <c r="C158" s="965" t="s">
        <v>12</v>
      </c>
      <c r="D158" s="966"/>
      <c r="E158" s="966"/>
      <c r="F158" s="787" t="s">
        <v>13</v>
      </c>
      <c r="G158" s="787" t="s">
        <v>13</v>
      </c>
      <c r="H158" s="1019" t="s">
        <v>14</v>
      </c>
      <c r="I158" s="1019"/>
      <c r="J158" s="1020"/>
      <c r="K158" s="1020"/>
      <c r="L158" s="1020"/>
      <c r="M158" s="1020"/>
      <c r="N158" s="1020"/>
      <c r="O158" s="1020"/>
      <c r="P158" s="1020"/>
      <c r="Q158" s="1020"/>
      <c r="R158" s="1020"/>
      <c r="S158" s="1020"/>
      <c r="T158" s="1020"/>
      <c r="U158" s="1020"/>
      <c r="V158" s="1020"/>
      <c r="W158" s="1021"/>
      <c r="X158" s="777" t="s">
        <v>15</v>
      </c>
      <c r="Y158" s="778"/>
      <c r="Z158" s="778"/>
      <c r="AA158" s="997"/>
      <c r="AB158" s="831" t="s">
        <v>16</v>
      </c>
      <c r="AF158" s="815" t="s">
        <v>3</v>
      </c>
      <c r="AG158" s="816"/>
      <c r="AH158" s="816"/>
    </row>
    <row r="159" spans="1:34" ht="12.6" customHeight="1" thickBot="1">
      <c r="A159" s="20"/>
      <c r="B159" s="740"/>
      <c r="C159" s="967"/>
      <c r="D159" s="967"/>
      <c r="E159" s="967"/>
      <c r="F159" s="788"/>
      <c r="G159" s="788"/>
      <c r="H159" s="330"/>
      <c r="I159" s="326" t="s">
        <v>318</v>
      </c>
      <c r="J159" s="330"/>
      <c r="K159" s="326" t="s">
        <v>18</v>
      </c>
      <c r="L159" s="331"/>
      <c r="M159" s="331" t="s">
        <v>19</v>
      </c>
      <c r="N159" s="331"/>
      <c r="O159" s="326" t="s">
        <v>20</v>
      </c>
      <c r="P159" s="331"/>
      <c r="Q159" s="331" t="s">
        <v>320</v>
      </c>
      <c r="R159" s="331"/>
      <c r="S159" s="331" t="s">
        <v>21</v>
      </c>
      <c r="T159" s="331"/>
      <c r="U159" s="331" t="s">
        <v>22</v>
      </c>
      <c r="V159" s="331"/>
      <c r="W159" s="333" t="s">
        <v>23</v>
      </c>
      <c r="X159" s="779"/>
      <c r="Y159" s="780"/>
      <c r="Z159" s="780"/>
      <c r="AA159" s="998"/>
      <c r="AB159" s="832"/>
      <c r="AG159" s="36"/>
    </row>
    <row r="160" spans="1:34" ht="12.6" customHeight="1">
      <c r="A160" s="22"/>
      <c r="B160" s="699" t="s">
        <v>682</v>
      </c>
      <c r="C160" s="724"/>
      <c r="D160" s="724"/>
      <c r="E160" s="725"/>
      <c r="F160" s="438">
        <v>1154</v>
      </c>
      <c r="G160" s="409">
        <f t="shared" ref="G160:G164" si="248">+F160*$X$1</f>
        <v>1154</v>
      </c>
      <c r="H160" s="665"/>
      <c r="I160" s="382"/>
      <c r="J160" s="665">
        <f>F160+80</f>
        <v>1234</v>
      </c>
      <c r="K160" s="382">
        <f t="shared" ref="K160" si="249">+J160*$X$1</f>
        <v>1234</v>
      </c>
      <c r="L160" s="665">
        <f>F160+57</f>
        <v>1211</v>
      </c>
      <c r="M160" s="382">
        <f t="shared" ref="M160" si="250">+L160*$X$1</f>
        <v>1211</v>
      </c>
      <c r="N160" s="665">
        <f>F160+31</f>
        <v>1185</v>
      </c>
      <c r="O160" s="382">
        <f t="shared" ref="O160" si="251">+N160*$X$1</f>
        <v>1185</v>
      </c>
      <c r="P160" s="665">
        <f>F160+27</f>
        <v>1181</v>
      </c>
      <c r="Q160" s="382">
        <f t="shared" ref="Q160" si="252">+P160*$X$1</f>
        <v>1181</v>
      </c>
      <c r="R160" s="665">
        <f>F160+20</f>
        <v>1174</v>
      </c>
      <c r="S160" s="382">
        <f t="shared" ref="S160" si="253">+R160*$X$1</f>
        <v>1174</v>
      </c>
      <c r="T160" s="112">
        <f>F160+16</f>
        <v>1170</v>
      </c>
      <c r="U160" s="409">
        <f t="shared" ref="U160" si="254">+T160*$X$1</f>
        <v>1170</v>
      </c>
      <c r="V160" s="112">
        <f>F160+13</f>
        <v>1167</v>
      </c>
      <c r="W160" s="409">
        <f t="shared" ref="W160" si="255">+V160*$X$1</f>
        <v>1167</v>
      </c>
      <c r="X160" s="734"/>
      <c r="Y160" s="961"/>
      <c r="Z160" s="961"/>
      <c r="AA160" s="962"/>
      <c r="AB160" s="635">
        <v>373</v>
      </c>
    </row>
    <row r="161" spans="1:28" ht="12.6" customHeight="1">
      <c r="A161" s="22"/>
      <c r="B161" s="702" t="s">
        <v>194</v>
      </c>
      <c r="C161" s="703"/>
      <c r="D161" s="703"/>
      <c r="E161" s="704"/>
      <c r="F161" s="536">
        <f>1.48*X2</f>
        <v>1277.24</v>
      </c>
      <c r="G161" s="337">
        <f t="shared" si="248"/>
        <v>1277.24</v>
      </c>
      <c r="H161" s="425"/>
      <c r="I161" s="464"/>
      <c r="J161" s="421">
        <f>F161+80</f>
        <v>1357.24</v>
      </c>
      <c r="K161" s="381">
        <f t="shared" ref="K161" si="256">+J161*$X$1</f>
        <v>1357.24</v>
      </c>
      <c r="L161" s="421">
        <f>F161+57</f>
        <v>1334.24</v>
      </c>
      <c r="M161" s="381">
        <f t="shared" ref="M161" si="257">+L161*$X$1</f>
        <v>1334.24</v>
      </c>
      <c r="N161" s="421">
        <f>F161+31</f>
        <v>1308.24</v>
      </c>
      <c r="O161" s="381">
        <f t="shared" ref="O161" si="258">+N161*$X$1</f>
        <v>1308.24</v>
      </c>
      <c r="P161" s="421">
        <f>F161+27</f>
        <v>1304.24</v>
      </c>
      <c r="Q161" s="381">
        <f t="shared" ref="Q161" si="259">+P161*$X$1</f>
        <v>1304.24</v>
      </c>
      <c r="R161" s="421">
        <f>F161+20</f>
        <v>1297.24</v>
      </c>
      <c r="S161" s="381">
        <f t="shared" ref="S161" si="260">+R161*$X$1</f>
        <v>1297.24</v>
      </c>
      <c r="T161" s="113">
        <f>F161+16</f>
        <v>1293.24</v>
      </c>
      <c r="U161" s="337">
        <f t="shared" ref="U161" si="261">+T161*$X$1</f>
        <v>1293.24</v>
      </c>
      <c r="V161" s="113">
        <f>F161+13</f>
        <v>1290.24</v>
      </c>
      <c r="W161" s="337">
        <f t="shared" ref="W161" si="262">+V161*$X$1</f>
        <v>1290.24</v>
      </c>
      <c r="X161" s="734"/>
      <c r="Y161" s="961"/>
      <c r="Z161" s="961"/>
      <c r="AA161" s="962"/>
      <c r="AB161" s="635">
        <v>375</v>
      </c>
    </row>
    <row r="162" spans="1:28" ht="12.6" customHeight="1">
      <c r="A162" s="22"/>
      <c r="B162" s="699" t="s">
        <v>195</v>
      </c>
      <c r="C162" s="724"/>
      <c r="D162" s="724"/>
      <c r="E162" s="725"/>
      <c r="F162" s="537">
        <f>5.11*X2</f>
        <v>4409.93</v>
      </c>
      <c r="G162" s="409">
        <f t="shared" si="248"/>
        <v>4409.93</v>
      </c>
      <c r="H162" s="665">
        <f>F162+190</f>
        <v>4599.93</v>
      </c>
      <c r="I162" s="382">
        <f>+H162*$X$1</f>
        <v>4599.93</v>
      </c>
      <c r="J162" s="665">
        <f>F162+65</f>
        <v>4474.93</v>
      </c>
      <c r="K162" s="382">
        <f t="shared" ref="K162:K163" si="263">+J162*$X$1</f>
        <v>4474.93</v>
      </c>
      <c r="L162" s="665">
        <f>F162+50</f>
        <v>4459.93</v>
      </c>
      <c r="M162" s="382">
        <f t="shared" ref="M162:M163" si="264">+L162*$X$1</f>
        <v>4459.93</v>
      </c>
      <c r="N162" s="665">
        <f>F162+36</f>
        <v>4445.93</v>
      </c>
      <c r="O162" s="382">
        <f t="shared" ref="O162:O163" si="265">+N162*$X$1</f>
        <v>4445.93</v>
      </c>
      <c r="P162" s="665">
        <f>F162+33</f>
        <v>4442.93</v>
      </c>
      <c r="Q162" s="382">
        <f t="shared" ref="Q162:Q163" si="266">+P162*$X$1</f>
        <v>4442.93</v>
      </c>
      <c r="R162" s="665">
        <f>F162+30</f>
        <v>4439.93</v>
      </c>
      <c r="S162" s="382">
        <f t="shared" ref="S162:S163" si="267">+R162*$X$1</f>
        <v>4439.93</v>
      </c>
      <c r="T162" s="665">
        <f>F162+26</f>
        <v>4435.93</v>
      </c>
      <c r="U162" s="382">
        <f t="shared" ref="U162:U163" si="268">+T162*$X$1</f>
        <v>4435.93</v>
      </c>
      <c r="V162" s="665">
        <f>F162+22</f>
        <v>4431.93</v>
      </c>
      <c r="W162" s="382">
        <f t="shared" ref="W162:W163" si="269">+V162*$X$1</f>
        <v>4431.93</v>
      </c>
      <c r="X162" s="749"/>
      <c r="Y162" s="951"/>
      <c r="Z162" s="951"/>
      <c r="AA162" s="751"/>
      <c r="AB162" s="635">
        <v>376</v>
      </c>
    </row>
    <row r="163" spans="1:28" ht="12.6" customHeight="1">
      <c r="A163" s="22"/>
      <c r="B163" s="702" t="s">
        <v>196</v>
      </c>
      <c r="C163" s="703"/>
      <c r="D163" s="703"/>
      <c r="E163" s="704"/>
      <c r="F163" s="536">
        <f>3.54*X2</f>
        <v>3055.02</v>
      </c>
      <c r="G163" s="337">
        <f t="shared" si="248"/>
        <v>3055.02</v>
      </c>
      <c r="H163" s="425"/>
      <c r="I163" s="464"/>
      <c r="J163" s="421">
        <f>F163+80</f>
        <v>3135.02</v>
      </c>
      <c r="K163" s="381">
        <f t="shared" si="263"/>
        <v>3135.02</v>
      </c>
      <c r="L163" s="421">
        <f>F163+57</f>
        <v>3112.02</v>
      </c>
      <c r="M163" s="381">
        <f t="shared" si="264"/>
        <v>3112.02</v>
      </c>
      <c r="N163" s="421">
        <f>F163+31</f>
        <v>3086.02</v>
      </c>
      <c r="O163" s="381">
        <f t="shared" si="265"/>
        <v>3086.02</v>
      </c>
      <c r="P163" s="421">
        <f>F163+27</f>
        <v>3082.02</v>
      </c>
      <c r="Q163" s="381">
        <f t="shared" si="266"/>
        <v>3082.02</v>
      </c>
      <c r="R163" s="421">
        <f>F163+20</f>
        <v>3075.02</v>
      </c>
      <c r="S163" s="381">
        <f t="shared" si="267"/>
        <v>3075.02</v>
      </c>
      <c r="T163" s="113">
        <f>F163+16</f>
        <v>3071.02</v>
      </c>
      <c r="U163" s="337">
        <f t="shared" si="268"/>
        <v>3071.02</v>
      </c>
      <c r="V163" s="113">
        <f>F163+13</f>
        <v>3068.02</v>
      </c>
      <c r="W163" s="337">
        <f t="shared" si="269"/>
        <v>3068.02</v>
      </c>
      <c r="X163" s="734"/>
      <c r="Y163" s="961"/>
      <c r="Z163" s="961"/>
      <c r="AA163" s="962"/>
      <c r="AB163" s="635">
        <v>379</v>
      </c>
    </row>
    <row r="164" spans="1:28" ht="12.6" customHeight="1">
      <c r="A164" s="116"/>
      <c r="B164" s="699" t="s">
        <v>471</v>
      </c>
      <c r="C164" s="724"/>
      <c r="D164" s="724"/>
      <c r="E164" s="725"/>
      <c r="F164" s="537">
        <f>1.843*X2</f>
        <v>1590.509</v>
      </c>
      <c r="G164" s="409">
        <f t="shared" si="248"/>
        <v>1590.509</v>
      </c>
      <c r="H164" s="380"/>
      <c r="I164" s="465"/>
      <c r="J164" s="98">
        <f>F164+80</f>
        <v>1670.509</v>
      </c>
      <c r="K164" s="382">
        <f>+J164*$X$1</f>
        <v>1670.509</v>
      </c>
      <c r="L164" s="665">
        <f>F164+57</f>
        <v>1647.509</v>
      </c>
      <c r="M164" s="382">
        <f>+L164*$X$1</f>
        <v>1647.509</v>
      </c>
      <c r="N164" s="665"/>
      <c r="O164" s="382"/>
      <c r="P164" s="665"/>
      <c r="Q164" s="382"/>
      <c r="R164" s="665"/>
      <c r="S164" s="382"/>
      <c r="T164" s="665"/>
      <c r="U164" s="382"/>
      <c r="V164" s="665"/>
      <c r="W164" s="382"/>
      <c r="X164" s="734"/>
      <c r="Y164" s="961"/>
      <c r="Z164" s="961"/>
      <c r="AA164" s="962"/>
      <c r="AB164" s="635">
        <v>382</v>
      </c>
    </row>
    <row r="165" spans="1:28" ht="12.6" customHeight="1">
      <c r="A165" s="22"/>
      <c r="B165" s="766" t="s">
        <v>733</v>
      </c>
      <c r="C165" s="767"/>
      <c r="D165" s="767"/>
      <c r="E165" s="768"/>
      <c r="F165" s="536">
        <f>17.8*X2</f>
        <v>15361.400000000001</v>
      </c>
      <c r="G165" s="337">
        <f t="shared" ref="G165:G166" si="270">+F165*$X$1</f>
        <v>15361.400000000001</v>
      </c>
      <c r="H165" s="421">
        <f>F165+200</f>
        <v>15561.400000000001</v>
      </c>
      <c r="I165" s="381">
        <f>+H165*$X$1</f>
        <v>15561.400000000001</v>
      </c>
      <c r="J165" s="421">
        <f>F165+80</f>
        <v>15441.400000000001</v>
      </c>
      <c r="K165" s="381">
        <f t="shared" ref="K165:K166" si="271">+J165*$X$1</f>
        <v>15441.400000000001</v>
      </c>
      <c r="L165" s="421">
        <f>F165+57</f>
        <v>15418.400000000001</v>
      </c>
      <c r="M165" s="381">
        <f t="shared" ref="M165:M166" si="272">+L165*$X$1</f>
        <v>15418.400000000001</v>
      </c>
      <c r="N165" s="421">
        <f>F165+31</f>
        <v>15392.400000000001</v>
      </c>
      <c r="O165" s="381">
        <f t="shared" ref="O165:O166" si="273">+N165*$X$1</f>
        <v>15392.400000000001</v>
      </c>
      <c r="P165" s="421">
        <f>F165+27</f>
        <v>15388.400000000001</v>
      </c>
      <c r="Q165" s="381">
        <f t="shared" ref="Q165:Q166" si="274">+P165*$X$1</f>
        <v>15388.400000000001</v>
      </c>
      <c r="R165" s="421">
        <f>F165+20</f>
        <v>15381.400000000001</v>
      </c>
      <c r="S165" s="381">
        <f t="shared" ref="S165:S166" si="275">+R165*$X$1</f>
        <v>15381.400000000001</v>
      </c>
      <c r="T165" s="113">
        <f>F165+16</f>
        <v>15377.400000000001</v>
      </c>
      <c r="U165" s="337">
        <f t="shared" ref="U165:U166" si="276">+T165*$X$1</f>
        <v>15377.400000000001</v>
      </c>
      <c r="V165" s="113"/>
      <c r="W165" s="337"/>
      <c r="X165" s="734"/>
      <c r="Y165" s="961"/>
      <c r="Z165" s="961"/>
      <c r="AA165" s="962"/>
      <c r="AB165" s="221">
        <v>395</v>
      </c>
    </row>
    <row r="166" spans="1:28" ht="12.6" customHeight="1">
      <c r="A166" s="22"/>
      <c r="B166" s="699" t="s">
        <v>734</v>
      </c>
      <c r="C166" s="724"/>
      <c r="D166" s="724"/>
      <c r="E166" s="725"/>
      <c r="F166" s="537">
        <f>32.42*X2</f>
        <v>27978.460000000003</v>
      </c>
      <c r="G166" s="409">
        <f t="shared" si="270"/>
        <v>27978.460000000003</v>
      </c>
      <c r="H166" s="549">
        <f>F166+210</f>
        <v>28188.460000000003</v>
      </c>
      <c r="I166" s="382">
        <f t="shared" ref="I166" si="277">+H166*$X$1</f>
        <v>28188.460000000003</v>
      </c>
      <c r="J166" s="98">
        <f t="shared" ref="J166" si="278">F166+80</f>
        <v>28058.460000000003</v>
      </c>
      <c r="K166" s="382">
        <f t="shared" si="271"/>
        <v>28058.460000000003</v>
      </c>
      <c r="L166" s="549">
        <f t="shared" ref="L166" si="279">F166+58</f>
        <v>28036.460000000003</v>
      </c>
      <c r="M166" s="382">
        <f t="shared" si="272"/>
        <v>28036.460000000003</v>
      </c>
      <c r="N166" s="549">
        <f t="shared" ref="N166" si="280">F166+49</f>
        <v>28027.460000000003</v>
      </c>
      <c r="O166" s="382">
        <f t="shared" si="273"/>
        <v>28027.460000000003</v>
      </c>
      <c r="P166" s="549">
        <f t="shared" ref="P166" si="281">F166+46</f>
        <v>28024.460000000003</v>
      </c>
      <c r="Q166" s="382">
        <f t="shared" si="274"/>
        <v>28024.460000000003</v>
      </c>
      <c r="R166" s="549">
        <f t="shared" ref="R166" si="282">F166+43</f>
        <v>28021.460000000003</v>
      </c>
      <c r="S166" s="382">
        <f t="shared" si="275"/>
        <v>28021.460000000003</v>
      </c>
      <c r="T166" s="549">
        <f t="shared" ref="T166" si="283">F166+38</f>
        <v>28016.460000000003</v>
      </c>
      <c r="U166" s="382">
        <f t="shared" si="276"/>
        <v>28016.460000000003</v>
      </c>
      <c r="V166" s="549"/>
      <c r="W166" s="382"/>
      <c r="X166" s="734"/>
      <c r="Y166" s="961"/>
      <c r="Z166" s="961"/>
      <c r="AA166" s="962"/>
      <c r="AB166" s="635">
        <v>397</v>
      </c>
    </row>
    <row r="167" spans="1:28" ht="12.6" customHeight="1">
      <c r="A167" s="22"/>
      <c r="B167" s="702" t="s">
        <v>735</v>
      </c>
      <c r="C167" s="703"/>
      <c r="D167" s="703"/>
      <c r="E167" s="704"/>
      <c r="F167" s="536">
        <f>22.04*X2</f>
        <v>19020.52</v>
      </c>
      <c r="G167" s="337">
        <f t="shared" ref="G167" si="284">+F167*$X$1</f>
        <v>19020.52</v>
      </c>
      <c r="H167" s="421">
        <f>F167+190</f>
        <v>19210.52</v>
      </c>
      <c r="I167" s="381">
        <f>+H167*$X$1</f>
        <v>19210.52</v>
      </c>
      <c r="J167" s="421">
        <f>F167+65</f>
        <v>19085.52</v>
      </c>
      <c r="K167" s="381">
        <f t="shared" ref="K167" si="285">+J167*$X$1</f>
        <v>19085.52</v>
      </c>
      <c r="L167" s="421">
        <f>F167+50</f>
        <v>19070.52</v>
      </c>
      <c r="M167" s="381">
        <f t="shared" ref="M167" si="286">+L167*$X$1</f>
        <v>19070.52</v>
      </c>
      <c r="N167" s="421">
        <f>F167+36</f>
        <v>19056.52</v>
      </c>
      <c r="O167" s="381">
        <f t="shared" ref="O167" si="287">+N167*$X$1</f>
        <v>19056.52</v>
      </c>
      <c r="P167" s="421">
        <f>F167+33</f>
        <v>19053.52</v>
      </c>
      <c r="Q167" s="381">
        <f t="shared" ref="Q167" si="288">+P167*$X$1</f>
        <v>19053.52</v>
      </c>
      <c r="R167" s="421">
        <f>F167+30</f>
        <v>19050.52</v>
      </c>
      <c r="S167" s="381">
        <f t="shared" ref="S167" si="289">+R167*$X$1</f>
        <v>19050.52</v>
      </c>
      <c r="T167" s="421">
        <f>F167+26</f>
        <v>19046.52</v>
      </c>
      <c r="U167" s="381">
        <f t="shared" ref="U167" si="290">+T167*$X$1</f>
        <v>19046.52</v>
      </c>
      <c r="V167" s="421"/>
      <c r="W167" s="381"/>
      <c r="X167" s="734"/>
      <c r="Y167" s="961"/>
      <c r="Z167" s="961"/>
      <c r="AA167" s="962"/>
      <c r="AB167" s="635">
        <v>398</v>
      </c>
    </row>
    <row r="168" spans="1:28" ht="12.6" customHeight="1">
      <c r="A168" s="22"/>
      <c r="B168" s="711" t="s">
        <v>397</v>
      </c>
      <c r="C168" s="720"/>
      <c r="D168" s="720"/>
      <c r="E168" s="720"/>
      <c r="F168" s="537"/>
      <c r="G168" s="409"/>
      <c r="H168" s="549"/>
      <c r="I168" s="382"/>
      <c r="J168" s="549"/>
      <c r="K168" s="382"/>
      <c r="L168" s="549"/>
      <c r="M168" s="382"/>
      <c r="N168" s="549"/>
      <c r="O168" s="382"/>
      <c r="P168" s="549"/>
      <c r="Q168" s="382"/>
      <c r="R168" s="549"/>
      <c r="S168" s="382"/>
      <c r="T168" s="549"/>
      <c r="U168" s="382"/>
      <c r="V168" s="98"/>
      <c r="W168" s="98"/>
      <c r="X168" s="750"/>
      <c r="Y168" s="951"/>
      <c r="Z168" s="951"/>
      <c r="AA168" s="751"/>
      <c r="AB168" s="635" t="s">
        <v>197</v>
      </c>
    </row>
    <row r="169" spans="1:28" ht="12.6" customHeight="1">
      <c r="A169" s="22"/>
      <c r="B169" s="715" t="s">
        <v>787</v>
      </c>
      <c r="C169" s="716"/>
      <c r="D169" s="716"/>
      <c r="E169" s="716"/>
      <c r="F169" s="536">
        <f>13.317*X2</f>
        <v>11492.571</v>
      </c>
      <c r="G169" s="337">
        <f t="shared" ref="G169" si="291">+F169*$X$1</f>
        <v>11492.571</v>
      </c>
      <c r="H169" s="421">
        <f>F169+190</f>
        <v>11682.571</v>
      </c>
      <c r="I169" s="381">
        <f>+H169*$X$1</f>
        <v>11682.571</v>
      </c>
      <c r="J169" s="421">
        <f>F169+65</f>
        <v>11557.571</v>
      </c>
      <c r="K169" s="381">
        <f t="shared" ref="K169" si="292">+J169*$X$1</f>
        <v>11557.571</v>
      </c>
      <c r="L169" s="421">
        <f>F169+50</f>
        <v>11542.571</v>
      </c>
      <c r="M169" s="381">
        <f t="shared" ref="M169" si="293">+L169*$X$1</f>
        <v>11542.571</v>
      </c>
      <c r="N169" s="421">
        <f>F169+36</f>
        <v>11528.571</v>
      </c>
      <c r="O169" s="381">
        <f t="shared" ref="O169" si="294">+N169*$X$1</f>
        <v>11528.571</v>
      </c>
      <c r="P169" s="421">
        <f>F169+33</f>
        <v>11525.571</v>
      </c>
      <c r="Q169" s="381">
        <f t="shared" ref="Q169" si="295">+P169*$X$1</f>
        <v>11525.571</v>
      </c>
      <c r="R169" s="421">
        <f>F169+30</f>
        <v>11522.571</v>
      </c>
      <c r="S169" s="381">
        <f t="shared" ref="S169" si="296">+R169*$X$1</f>
        <v>11522.571</v>
      </c>
      <c r="T169" s="421">
        <f>F169+26</f>
        <v>11518.571</v>
      </c>
      <c r="U169" s="381">
        <f t="shared" ref="U169" si="297">+T169*$X$1</f>
        <v>11518.571</v>
      </c>
      <c r="V169" s="78"/>
      <c r="W169" s="78"/>
      <c r="X169" s="750"/>
      <c r="Y169" s="951"/>
      <c r="Z169" s="951"/>
      <c r="AA169" s="751"/>
      <c r="AB169" s="635" t="s">
        <v>788</v>
      </c>
    </row>
    <row r="170" spans="1:28" ht="12.6" customHeight="1">
      <c r="A170" s="22"/>
      <c r="B170" s="709" t="s">
        <v>796</v>
      </c>
      <c r="C170" s="710"/>
      <c r="D170" s="710"/>
      <c r="E170" s="710"/>
      <c r="F170" s="537">
        <f>17.78*X2</f>
        <v>15344.140000000001</v>
      </c>
      <c r="G170" s="409">
        <f t="shared" ref="G170" si="298">+F170*$X$1</f>
        <v>15344.140000000001</v>
      </c>
      <c r="H170" s="549">
        <f>F170+190</f>
        <v>15534.140000000001</v>
      </c>
      <c r="I170" s="382">
        <f>+H170*$X$1</f>
        <v>15534.140000000001</v>
      </c>
      <c r="J170" s="549">
        <f>F170+65</f>
        <v>15409.140000000001</v>
      </c>
      <c r="K170" s="382">
        <f t="shared" ref="K170" si="299">+J170*$X$1</f>
        <v>15409.140000000001</v>
      </c>
      <c r="L170" s="549">
        <f>F170+50</f>
        <v>15394.140000000001</v>
      </c>
      <c r="M170" s="382">
        <f t="shared" ref="M170" si="300">+L170*$X$1</f>
        <v>15394.140000000001</v>
      </c>
      <c r="N170" s="549">
        <f>F170+36</f>
        <v>15380.140000000001</v>
      </c>
      <c r="O170" s="382">
        <f t="shared" ref="O170" si="301">+N170*$X$1</f>
        <v>15380.140000000001</v>
      </c>
      <c r="P170" s="549">
        <f>F170+33</f>
        <v>15377.140000000001</v>
      </c>
      <c r="Q170" s="382">
        <f t="shared" ref="Q170" si="302">+P170*$X$1</f>
        <v>15377.140000000001</v>
      </c>
      <c r="R170" s="549">
        <f>F170+30</f>
        <v>15374.140000000001</v>
      </c>
      <c r="S170" s="382">
        <f t="shared" ref="S170" si="303">+R170*$X$1</f>
        <v>15374.140000000001</v>
      </c>
      <c r="T170" s="549">
        <f>F170+26</f>
        <v>15370.140000000001</v>
      </c>
      <c r="U170" s="382">
        <f t="shared" ref="U170" si="304">+T170*$X$1</f>
        <v>15370.140000000001</v>
      </c>
      <c r="V170" s="98"/>
      <c r="W170" s="98"/>
      <c r="X170" s="206"/>
      <c r="Y170" s="208"/>
      <c r="Z170" s="208"/>
      <c r="AA170" s="206"/>
      <c r="AB170" s="635" t="s">
        <v>795</v>
      </c>
    </row>
    <row r="171" spans="1:28" ht="12.6" customHeight="1">
      <c r="A171" s="22"/>
      <c r="B171" s="715" t="s">
        <v>790</v>
      </c>
      <c r="C171" s="716"/>
      <c r="D171" s="716"/>
      <c r="E171" s="716"/>
      <c r="F171" s="536">
        <f>12.84*X2</f>
        <v>11080.92</v>
      </c>
      <c r="G171" s="337">
        <f t="shared" ref="G171" si="305">+F171*$X$1</f>
        <v>11080.92</v>
      </c>
      <c r="H171" s="421">
        <f>F171+230</f>
        <v>11310.92</v>
      </c>
      <c r="I171" s="381">
        <f>+H171*$X$1</f>
        <v>11310.92</v>
      </c>
      <c r="J171" s="421">
        <f>F171+100</f>
        <v>11180.92</v>
      </c>
      <c r="K171" s="381">
        <f t="shared" ref="K171:K173" si="306">+J171*$X$1</f>
        <v>11180.92</v>
      </c>
      <c r="L171" s="421">
        <f>F171+80</f>
        <v>11160.92</v>
      </c>
      <c r="M171" s="381">
        <f t="shared" ref="M171:M173" si="307">+L171*$X$1</f>
        <v>11160.92</v>
      </c>
      <c r="N171" s="421">
        <f>F171+50</f>
        <v>11130.92</v>
      </c>
      <c r="O171" s="381">
        <f t="shared" ref="O171:O173" si="308">+N171*$X$1</f>
        <v>11130.92</v>
      </c>
      <c r="P171" s="421">
        <f>F171+40</f>
        <v>11120.92</v>
      </c>
      <c r="Q171" s="381">
        <f t="shared" ref="Q171:Q173" si="309">+P171*$X$1</f>
        <v>11120.92</v>
      </c>
      <c r="R171" s="421">
        <f>F171+35</f>
        <v>11115.92</v>
      </c>
      <c r="S171" s="381">
        <f t="shared" ref="S171:S173" si="310">+R171*$X$1</f>
        <v>11115.92</v>
      </c>
      <c r="T171" s="113">
        <f>F171+30</f>
        <v>11110.92</v>
      </c>
      <c r="U171" s="337">
        <f t="shared" ref="U171:U173" si="311">+T171*$X$1</f>
        <v>11110.92</v>
      </c>
      <c r="V171" s="78"/>
      <c r="W171" s="78"/>
      <c r="X171" s="734"/>
      <c r="Y171" s="961"/>
      <c r="Z171" s="961"/>
      <c r="AA171" s="962"/>
      <c r="AB171" s="635" t="s">
        <v>789</v>
      </c>
    </row>
    <row r="172" spans="1:28" ht="12.6" customHeight="1">
      <c r="A172" s="22"/>
      <c r="B172" s="711" t="s">
        <v>410</v>
      </c>
      <c r="C172" s="720"/>
      <c r="D172" s="720"/>
      <c r="E172" s="720"/>
      <c r="F172" s="537">
        <f>15.93*X2</f>
        <v>13747.59</v>
      </c>
      <c r="G172" s="409">
        <f t="shared" ref="G172:G173" si="312">+F172*$X$1</f>
        <v>13747.59</v>
      </c>
      <c r="H172" s="130"/>
      <c r="I172" s="511"/>
      <c r="J172" s="549">
        <f>F172+80</f>
        <v>13827.59</v>
      </c>
      <c r="K172" s="382">
        <f t="shared" si="306"/>
        <v>13827.59</v>
      </c>
      <c r="L172" s="549">
        <f>F172+57</f>
        <v>13804.59</v>
      </c>
      <c r="M172" s="382">
        <f t="shared" si="307"/>
        <v>13804.59</v>
      </c>
      <c r="N172" s="549">
        <f>F172+31</f>
        <v>13778.59</v>
      </c>
      <c r="O172" s="382">
        <f t="shared" si="308"/>
        <v>13778.59</v>
      </c>
      <c r="P172" s="549">
        <f>F172+27</f>
        <v>13774.59</v>
      </c>
      <c r="Q172" s="382">
        <f t="shared" si="309"/>
        <v>13774.59</v>
      </c>
      <c r="R172" s="549">
        <f>F172+20</f>
        <v>13767.59</v>
      </c>
      <c r="S172" s="382">
        <f t="shared" si="310"/>
        <v>13767.59</v>
      </c>
      <c r="T172" s="112">
        <f>F172+16</f>
        <v>13763.59</v>
      </c>
      <c r="U172" s="409">
        <f t="shared" si="311"/>
        <v>13763.59</v>
      </c>
      <c r="V172" s="98"/>
      <c r="W172" s="98"/>
      <c r="X172" s="734"/>
      <c r="Y172" s="961"/>
      <c r="Z172" s="961"/>
      <c r="AA172" s="962"/>
      <c r="AB172" s="635">
        <v>405</v>
      </c>
    </row>
    <row r="173" spans="1:28" ht="12.6" customHeight="1">
      <c r="A173" s="22"/>
      <c r="B173" s="715" t="s">
        <v>794</v>
      </c>
      <c r="C173" s="716"/>
      <c r="D173" s="716"/>
      <c r="E173" s="716"/>
      <c r="F173" s="536">
        <f>15.6*X2</f>
        <v>13462.8</v>
      </c>
      <c r="G173" s="337">
        <f t="shared" si="312"/>
        <v>13462.8</v>
      </c>
      <c r="H173" s="421">
        <f>F173+190</f>
        <v>13652.8</v>
      </c>
      <c r="I173" s="381">
        <f>+H173*$X$1</f>
        <v>13652.8</v>
      </c>
      <c r="J173" s="421">
        <f>F173+65</f>
        <v>13527.8</v>
      </c>
      <c r="K173" s="381">
        <f t="shared" si="306"/>
        <v>13527.8</v>
      </c>
      <c r="L173" s="421">
        <f>F173+50</f>
        <v>13512.8</v>
      </c>
      <c r="M173" s="381">
        <f t="shared" si="307"/>
        <v>13512.8</v>
      </c>
      <c r="N173" s="421">
        <f>F173+36</f>
        <v>13498.8</v>
      </c>
      <c r="O173" s="381">
        <f t="shared" si="308"/>
        <v>13498.8</v>
      </c>
      <c r="P173" s="421">
        <f>F173+33</f>
        <v>13495.8</v>
      </c>
      <c r="Q173" s="381">
        <f t="shared" si="309"/>
        <v>13495.8</v>
      </c>
      <c r="R173" s="421">
        <f>F173+30</f>
        <v>13492.8</v>
      </c>
      <c r="S173" s="381">
        <f t="shared" si="310"/>
        <v>13492.8</v>
      </c>
      <c r="T173" s="421">
        <f>F173+26</f>
        <v>13488.8</v>
      </c>
      <c r="U173" s="381">
        <f t="shared" si="311"/>
        <v>13488.8</v>
      </c>
      <c r="V173" s="78"/>
      <c r="W173" s="78"/>
      <c r="X173" s="750"/>
      <c r="Y173" s="951"/>
      <c r="Z173" s="951"/>
      <c r="AA173" s="751"/>
      <c r="AB173" s="635" t="s">
        <v>793</v>
      </c>
    </row>
    <row r="174" spans="1:28" ht="12.6" customHeight="1">
      <c r="A174" s="22"/>
      <c r="B174" s="944" t="s">
        <v>792</v>
      </c>
      <c r="C174" s="945"/>
      <c r="D174" s="945"/>
      <c r="E174" s="945"/>
      <c r="F174" s="537">
        <f>16.54*X2</f>
        <v>14274.019999999999</v>
      </c>
      <c r="G174" s="409">
        <f t="shared" ref="G174" si="313">+F174*$X$1</f>
        <v>14274.019999999999</v>
      </c>
      <c r="H174" s="549">
        <f>F174+210</f>
        <v>14484.019999999999</v>
      </c>
      <c r="I174" s="382">
        <f t="shared" ref="I174" si="314">+H174*$X$1</f>
        <v>14484.019999999999</v>
      </c>
      <c r="J174" s="98">
        <f t="shared" ref="J174" si="315">F174+80</f>
        <v>14354.019999999999</v>
      </c>
      <c r="K174" s="382">
        <f t="shared" ref="K174" si="316">+J174*$X$1</f>
        <v>14354.019999999999</v>
      </c>
      <c r="L174" s="549">
        <f t="shared" ref="L174" si="317">F174+58</f>
        <v>14332.019999999999</v>
      </c>
      <c r="M174" s="382">
        <f t="shared" ref="M174" si="318">+L174*$X$1</f>
        <v>14332.019999999999</v>
      </c>
      <c r="N174" s="549">
        <f t="shared" ref="N174" si="319">F174+49</f>
        <v>14323.019999999999</v>
      </c>
      <c r="O174" s="382">
        <f t="shared" ref="O174" si="320">+N174*$X$1</f>
        <v>14323.019999999999</v>
      </c>
      <c r="P174" s="549">
        <f t="shared" ref="P174" si="321">F174+46</f>
        <v>14320.019999999999</v>
      </c>
      <c r="Q174" s="382">
        <f t="shared" ref="Q174" si="322">+P174*$X$1</f>
        <v>14320.019999999999</v>
      </c>
      <c r="R174" s="549">
        <f t="shared" ref="R174" si="323">F174+43</f>
        <v>14317.019999999999</v>
      </c>
      <c r="S174" s="382">
        <f t="shared" ref="S174" si="324">+R174*$X$1</f>
        <v>14317.019999999999</v>
      </c>
      <c r="T174" s="549">
        <f t="shared" ref="T174" si="325">F174+38</f>
        <v>14312.019999999999</v>
      </c>
      <c r="U174" s="382">
        <f t="shared" ref="U174" si="326">+T174*$X$1</f>
        <v>14312.019999999999</v>
      </c>
      <c r="V174" s="98"/>
      <c r="W174" s="98"/>
      <c r="X174" s="734"/>
      <c r="Y174" s="961"/>
      <c r="Z174" s="961"/>
      <c r="AA174" s="962"/>
      <c r="AB174" s="635" t="s">
        <v>791</v>
      </c>
    </row>
    <row r="175" spans="1:28" ht="12.6" customHeight="1">
      <c r="A175" s="27"/>
      <c r="B175" s="835" t="s">
        <v>828</v>
      </c>
      <c r="C175" s="791"/>
      <c r="D175" s="791"/>
      <c r="E175" s="791"/>
      <c r="F175" s="410">
        <v>80</v>
      </c>
      <c r="G175" s="337">
        <f t="shared" ref="G175:G178" si="327">+F175*$X$1</f>
        <v>80</v>
      </c>
      <c r="H175" s="508"/>
      <c r="I175" s="1005" t="s">
        <v>748</v>
      </c>
      <c r="J175" s="1006"/>
      <c r="K175" s="1006"/>
      <c r="L175" s="1006"/>
      <c r="M175" s="1007"/>
      <c r="N175" s="421">
        <f>F175+90</f>
        <v>170</v>
      </c>
      <c r="O175" s="381">
        <f t="shared" ref="O175" si="328">+N175*$X$1</f>
        <v>170</v>
      </c>
      <c r="P175" s="421">
        <f>F175+80</f>
        <v>160</v>
      </c>
      <c r="Q175" s="381">
        <f t="shared" ref="Q175" si="329">+P175*$X$1</f>
        <v>160</v>
      </c>
      <c r="R175" s="421">
        <f>F175+65</f>
        <v>145</v>
      </c>
      <c r="S175" s="381">
        <f t="shared" ref="S175" si="330">+R175*$X$1</f>
        <v>145</v>
      </c>
      <c r="T175" s="421">
        <f>F175+55</f>
        <v>135</v>
      </c>
      <c r="U175" s="381">
        <f t="shared" ref="U175" si="331">+T175*$X$1</f>
        <v>135</v>
      </c>
      <c r="V175" s="421">
        <f>F175+51</f>
        <v>131</v>
      </c>
      <c r="W175" s="381">
        <f t="shared" ref="W175" si="332">+V175*$X$1</f>
        <v>131</v>
      </c>
      <c r="X175" s="180"/>
      <c r="Y175" s="170"/>
      <c r="Z175" s="170"/>
      <c r="AA175" s="170"/>
      <c r="AB175" s="635">
        <v>415</v>
      </c>
    </row>
    <row r="176" spans="1:28" ht="12.6" customHeight="1">
      <c r="A176" s="27"/>
      <c r="B176" s="713" t="s">
        <v>660</v>
      </c>
      <c r="C176" s="714"/>
      <c r="D176" s="714"/>
      <c r="E176" s="714"/>
      <c r="F176" s="426">
        <v>90</v>
      </c>
      <c r="G176" s="409">
        <f t="shared" si="327"/>
        <v>90</v>
      </c>
      <c r="H176" s="509"/>
      <c r="I176" s="1008"/>
      <c r="J176" s="1008"/>
      <c r="K176" s="1008"/>
      <c r="L176" s="1008"/>
      <c r="M176" s="1009"/>
      <c r="N176" s="528">
        <f>F176+90</f>
        <v>180</v>
      </c>
      <c r="O176" s="382">
        <f t="shared" ref="O176:O178" si="333">+N176*$X$1</f>
        <v>180</v>
      </c>
      <c r="P176" s="528">
        <f>F176+80</f>
        <v>170</v>
      </c>
      <c r="Q176" s="382">
        <f t="shared" ref="Q176:Q178" si="334">+P176*$X$1</f>
        <v>170</v>
      </c>
      <c r="R176" s="528">
        <f>F176+65</f>
        <v>155</v>
      </c>
      <c r="S176" s="382">
        <f t="shared" ref="S176:S178" si="335">+R176*$X$1</f>
        <v>155</v>
      </c>
      <c r="T176" s="528">
        <f>F176+55</f>
        <v>145</v>
      </c>
      <c r="U176" s="382">
        <f t="shared" ref="U176:U178" si="336">+T176*$X$1</f>
        <v>145</v>
      </c>
      <c r="V176" s="528">
        <f>F176+51</f>
        <v>141</v>
      </c>
      <c r="W176" s="382">
        <f t="shared" ref="W176:W178" si="337">+V176*$X$1</f>
        <v>141</v>
      </c>
      <c r="X176" s="180"/>
      <c r="Y176" s="170"/>
      <c r="Z176" s="170"/>
      <c r="AA176" s="170"/>
      <c r="AB176" s="635">
        <v>416</v>
      </c>
    </row>
    <row r="177" spans="1:28" ht="12.6" customHeight="1">
      <c r="A177" s="27"/>
      <c r="B177" s="697" t="s">
        <v>661</v>
      </c>
      <c r="C177" s="698"/>
      <c r="D177" s="698"/>
      <c r="E177" s="698"/>
      <c r="F177" s="410">
        <v>84</v>
      </c>
      <c r="G177" s="337">
        <f t="shared" si="327"/>
        <v>84</v>
      </c>
      <c r="H177" s="509"/>
      <c r="I177" s="1008"/>
      <c r="J177" s="1008"/>
      <c r="K177" s="1008"/>
      <c r="L177" s="1008"/>
      <c r="M177" s="1009"/>
      <c r="N177" s="421">
        <f>F177+90</f>
        <v>174</v>
      </c>
      <c r="O177" s="381">
        <f t="shared" si="333"/>
        <v>174</v>
      </c>
      <c r="P177" s="421">
        <f>F177+80</f>
        <v>164</v>
      </c>
      <c r="Q177" s="381">
        <f t="shared" si="334"/>
        <v>164</v>
      </c>
      <c r="R177" s="421">
        <f>F177+65</f>
        <v>149</v>
      </c>
      <c r="S177" s="381">
        <f t="shared" si="335"/>
        <v>149</v>
      </c>
      <c r="T177" s="421">
        <f>F177+55</f>
        <v>139</v>
      </c>
      <c r="U177" s="381">
        <f t="shared" si="336"/>
        <v>139</v>
      </c>
      <c r="V177" s="421">
        <f>F177+51</f>
        <v>135</v>
      </c>
      <c r="W177" s="381">
        <f t="shared" si="337"/>
        <v>135</v>
      </c>
      <c r="X177" s="180"/>
      <c r="Y177" s="170"/>
      <c r="Z177" s="170"/>
      <c r="AA177" s="170"/>
      <c r="AB177" s="635">
        <v>417</v>
      </c>
    </row>
    <row r="178" spans="1:28" ht="12.6" customHeight="1">
      <c r="A178" s="27"/>
      <c r="B178" s="713" t="s">
        <v>662</v>
      </c>
      <c r="C178" s="714"/>
      <c r="D178" s="714"/>
      <c r="E178" s="714"/>
      <c r="F178" s="426">
        <v>84</v>
      </c>
      <c r="G178" s="409">
        <f t="shared" si="327"/>
        <v>84</v>
      </c>
      <c r="H178" s="510"/>
      <c r="I178" s="1010"/>
      <c r="J178" s="1010"/>
      <c r="K178" s="1010"/>
      <c r="L178" s="1010"/>
      <c r="M178" s="1011"/>
      <c r="N178" s="528">
        <f>F178+90</f>
        <v>174</v>
      </c>
      <c r="O178" s="382">
        <f t="shared" si="333"/>
        <v>174</v>
      </c>
      <c r="P178" s="528">
        <f>F178+80</f>
        <v>164</v>
      </c>
      <c r="Q178" s="382">
        <f t="shared" si="334"/>
        <v>164</v>
      </c>
      <c r="R178" s="528">
        <f>F178+65</f>
        <v>149</v>
      </c>
      <c r="S178" s="382">
        <f t="shared" si="335"/>
        <v>149</v>
      </c>
      <c r="T178" s="528">
        <f>F178+55</f>
        <v>139</v>
      </c>
      <c r="U178" s="382">
        <f t="shared" si="336"/>
        <v>139</v>
      </c>
      <c r="V178" s="528">
        <f>F178+51</f>
        <v>135</v>
      </c>
      <c r="W178" s="382">
        <f t="shared" si="337"/>
        <v>135</v>
      </c>
      <c r="X178" s="180"/>
      <c r="Y178" s="170"/>
      <c r="Z178" s="170"/>
      <c r="AA178" s="170"/>
      <c r="AB178" s="635">
        <v>418</v>
      </c>
    </row>
    <row r="179" spans="1:28" ht="12.6" customHeight="1">
      <c r="A179" s="27"/>
      <c r="B179" s="697" t="s">
        <v>198</v>
      </c>
      <c r="C179" s="698"/>
      <c r="D179" s="698"/>
      <c r="E179" s="698"/>
      <c r="F179" s="542">
        <v>833</v>
      </c>
      <c r="G179" s="410">
        <f t="shared" ref="G179:G189" si="338">+F179*$X$1</f>
        <v>833</v>
      </c>
      <c r="H179" s="425"/>
      <c r="I179" s="474"/>
      <c r="J179" s="136"/>
      <c r="K179" s="515"/>
      <c r="L179" s="113">
        <f t="shared" ref="L179:L189" si="339">F179+55</f>
        <v>888</v>
      </c>
      <c r="M179" s="337">
        <f t="shared" ref="M179:M186" si="340">+L179*$X$1</f>
        <v>888</v>
      </c>
      <c r="N179" s="113">
        <f>F179+40</f>
        <v>873</v>
      </c>
      <c r="O179" s="410">
        <f>+N179*$X$1</f>
        <v>873</v>
      </c>
      <c r="P179" s="113">
        <f>F179+36</f>
        <v>869</v>
      </c>
      <c r="Q179" s="410">
        <f>+P179*$X$1</f>
        <v>869</v>
      </c>
      <c r="R179" s="421">
        <f>F179+33</f>
        <v>866</v>
      </c>
      <c r="S179" s="381">
        <f>+R179*$X$1</f>
        <v>866</v>
      </c>
      <c r="T179" s="421">
        <f>F179+28</f>
        <v>861</v>
      </c>
      <c r="U179" s="381">
        <f>+T179*$X$1</f>
        <v>861</v>
      </c>
      <c r="V179" s="421">
        <f>F179+24</f>
        <v>857</v>
      </c>
      <c r="W179" s="381">
        <f>+V179*$X$1</f>
        <v>857</v>
      </c>
      <c r="X179" s="948"/>
      <c r="Y179" s="949"/>
      <c r="Z179" s="949"/>
      <c r="AA179" s="950"/>
      <c r="AB179" s="633">
        <v>421</v>
      </c>
    </row>
    <row r="180" spans="1:28" ht="12.6" customHeight="1">
      <c r="A180" s="27"/>
      <c r="B180" s="944" t="s">
        <v>754</v>
      </c>
      <c r="C180" s="945"/>
      <c r="D180" s="945"/>
      <c r="E180" s="945"/>
      <c r="F180" s="541">
        <v>750</v>
      </c>
      <c r="G180" s="426">
        <f t="shared" si="338"/>
        <v>750</v>
      </c>
      <c r="H180" s="952" t="s">
        <v>803</v>
      </c>
      <c r="I180" s="953"/>
      <c r="J180" s="953"/>
      <c r="K180" s="954"/>
      <c r="L180" s="528">
        <f t="shared" si="339"/>
        <v>805</v>
      </c>
      <c r="M180" s="382">
        <f t="shared" si="340"/>
        <v>805</v>
      </c>
      <c r="N180" s="528">
        <f t="shared" ref="N180:N189" si="341">F180+36</f>
        <v>786</v>
      </c>
      <c r="O180" s="382">
        <f t="shared" ref="O180:O185" si="342">+N180*$X$1</f>
        <v>786</v>
      </c>
      <c r="P180" s="528">
        <f t="shared" ref="P180:P189" si="343">F180+32</f>
        <v>782</v>
      </c>
      <c r="Q180" s="382">
        <f t="shared" ref="Q180:Q185" si="344">+P180*$X$1</f>
        <v>782</v>
      </c>
      <c r="R180" s="528">
        <f t="shared" ref="R180:R189" si="345">F180+24</f>
        <v>774</v>
      </c>
      <c r="S180" s="382">
        <f t="shared" ref="S180:S185" si="346">+R180*$X$1</f>
        <v>774</v>
      </c>
      <c r="T180" s="528">
        <f t="shared" ref="T180:T189" si="347">F180+21</f>
        <v>771</v>
      </c>
      <c r="U180" s="382">
        <f t="shared" ref="U180:U185" si="348">+T180*$X$1</f>
        <v>771</v>
      </c>
      <c r="V180" s="528">
        <f t="shared" ref="V180:V189" si="349">F180+18</f>
        <v>768</v>
      </c>
      <c r="W180" s="382">
        <f t="shared" ref="W180:W185" si="350">+V180*$X$1</f>
        <v>768</v>
      </c>
      <c r="X180" s="948"/>
      <c r="Y180" s="949"/>
      <c r="Z180" s="949"/>
      <c r="AA180" s="950"/>
      <c r="AB180" s="37"/>
    </row>
    <row r="181" spans="1:28" ht="12.6" customHeight="1">
      <c r="A181" s="27"/>
      <c r="B181" s="944" t="s">
        <v>750</v>
      </c>
      <c r="C181" s="945"/>
      <c r="D181" s="945"/>
      <c r="E181" s="945"/>
      <c r="F181" s="542">
        <v>750</v>
      </c>
      <c r="G181" s="410">
        <f t="shared" si="338"/>
        <v>750</v>
      </c>
      <c r="H181" s="955"/>
      <c r="I181" s="956"/>
      <c r="J181" s="956"/>
      <c r="K181" s="957"/>
      <c r="L181" s="528">
        <f t="shared" si="339"/>
        <v>805</v>
      </c>
      <c r="M181" s="381">
        <f t="shared" si="340"/>
        <v>805</v>
      </c>
      <c r="N181" s="421">
        <f t="shared" si="341"/>
        <v>786</v>
      </c>
      <c r="O181" s="381">
        <f t="shared" si="342"/>
        <v>786</v>
      </c>
      <c r="P181" s="421">
        <f t="shared" si="343"/>
        <v>782</v>
      </c>
      <c r="Q181" s="381">
        <f t="shared" si="344"/>
        <v>782</v>
      </c>
      <c r="R181" s="421">
        <f t="shared" si="345"/>
        <v>774</v>
      </c>
      <c r="S181" s="381">
        <f t="shared" si="346"/>
        <v>774</v>
      </c>
      <c r="T181" s="421">
        <f t="shared" si="347"/>
        <v>771</v>
      </c>
      <c r="U181" s="381">
        <f t="shared" si="348"/>
        <v>771</v>
      </c>
      <c r="V181" s="421">
        <f t="shared" si="349"/>
        <v>768</v>
      </c>
      <c r="W181" s="381">
        <f t="shared" si="350"/>
        <v>768</v>
      </c>
      <c r="X181" s="948"/>
      <c r="Y181" s="949"/>
      <c r="Z181" s="949"/>
      <c r="AA181" s="950"/>
      <c r="AB181" s="37"/>
    </row>
    <row r="182" spans="1:28" ht="12.6" customHeight="1">
      <c r="A182" s="27"/>
      <c r="B182" s="944" t="s">
        <v>749</v>
      </c>
      <c r="C182" s="945"/>
      <c r="D182" s="945"/>
      <c r="E182" s="945"/>
      <c r="F182" s="541">
        <v>750</v>
      </c>
      <c r="G182" s="426">
        <f t="shared" si="338"/>
        <v>750</v>
      </c>
      <c r="H182" s="955"/>
      <c r="I182" s="956"/>
      <c r="J182" s="956"/>
      <c r="K182" s="957"/>
      <c r="L182" s="528">
        <f t="shared" si="339"/>
        <v>805</v>
      </c>
      <c r="M182" s="382">
        <f t="shared" si="340"/>
        <v>805</v>
      </c>
      <c r="N182" s="528">
        <f t="shared" si="341"/>
        <v>786</v>
      </c>
      <c r="O182" s="382">
        <f t="shared" si="342"/>
        <v>786</v>
      </c>
      <c r="P182" s="528">
        <f t="shared" si="343"/>
        <v>782</v>
      </c>
      <c r="Q182" s="382">
        <f t="shared" si="344"/>
        <v>782</v>
      </c>
      <c r="R182" s="528">
        <f t="shared" si="345"/>
        <v>774</v>
      </c>
      <c r="S182" s="382">
        <f t="shared" si="346"/>
        <v>774</v>
      </c>
      <c r="T182" s="528">
        <f t="shared" si="347"/>
        <v>771</v>
      </c>
      <c r="U182" s="382">
        <f t="shared" si="348"/>
        <v>771</v>
      </c>
      <c r="V182" s="528">
        <f t="shared" si="349"/>
        <v>768</v>
      </c>
      <c r="W182" s="382">
        <f t="shared" si="350"/>
        <v>768</v>
      </c>
      <c r="X182" s="948"/>
      <c r="Y182" s="949"/>
      <c r="Z182" s="949"/>
      <c r="AA182" s="950"/>
      <c r="AB182" s="37"/>
    </row>
    <row r="183" spans="1:28" ht="12.6" customHeight="1">
      <c r="A183" s="27"/>
      <c r="B183" s="944" t="s">
        <v>752</v>
      </c>
      <c r="C183" s="945"/>
      <c r="D183" s="945"/>
      <c r="E183" s="945"/>
      <c r="F183" s="542">
        <v>750</v>
      </c>
      <c r="G183" s="410">
        <f t="shared" si="338"/>
        <v>750</v>
      </c>
      <c r="H183" s="955"/>
      <c r="I183" s="956"/>
      <c r="J183" s="956"/>
      <c r="K183" s="957"/>
      <c r="L183" s="528">
        <f t="shared" si="339"/>
        <v>805</v>
      </c>
      <c r="M183" s="381">
        <f t="shared" si="340"/>
        <v>805</v>
      </c>
      <c r="N183" s="421">
        <f t="shared" si="341"/>
        <v>786</v>
      </c>
      <c r="O183" s="381">
        <f t="shared" si="342"/>
        <v>786</v>
      </c>
      <c r="P183" s="421">
        <f t="shared" si="343"/>
        <v>782</v>
      </c>
      <c r="Q183" s="381">
        <f t="shared" si="344"/>
        <v>782</v>
      </c>
      <c r="R183" s="421">
        <f t="shared" si="345"/>
        <v>774</v>
      </c>
      <c r="S183" s="381">
        <f t="shared" si="346"/>
        <v>774</v>
      </c>
      <c r="T183" s="421">
        <f t="shared" si="347"/>
        <v>771</v>
      </c>
      <c r="U183" s="381">
        <f t="shared" si="348"/>
        <v>771</v>
      </c>
      <c r="V183" s="421">
        <f t="shared" si="349"/>
        <v>768</v>
      </c>
      <c r="W183" s="381">
        <f t="shared" si="350"/>
        <v>768</v>
      </c>
      <c r="X183" s="983"/>
      <c r="Y183" s="984"/>
      <c r="Z183" s="984"/>
      <c r="AA183" s="985"/>
      <c r="AB183" s="37"/>
    </row>
    <row r="184" spans="1:28" ht="12.6" customHeight="1">
      <c r="A184" s="27"/>
      <c r="B184" s="944" t="s">
        <v>753</v>
      </c>
      <c r="C184" s="945"/>
      <c r="D184" s="945"/>
      <c r="E184" s="945"/>
      <c r="F184" s="541">
        <v>750</v>
      </c>
      <c r="G184" s="426">
        <f t="shared" ref="G184" si="351">+F184*$X$1</f>
        <v>750</v>
      </c>
      <c r="H184" s="955"/>
      <c r="I184" s="956"/>
      <c r="J184" s="956"/>
      <c r="K184" s="957"/>
      <c r="L184" s="528">
        <f t="shared" ref="L184" si="352">F184+55</f>
        <v>805</v>
      </c>
      <c r="M184" s="382">
        <f t="shared" ref="M184" si="353">+L184*$X$1</f>
        <v>805</v>
      </c>
      <c r="N184" s="528">
        <f t="shared" ref="N184" si="354">F184+36</f>
        <v>786</v>
      </c>
      <c r="O184" s="382">
        <f t="shared" ref="O184" si="355">+N184*$X$1</f>
        <v>786</v>
      </c>
      <c r="P184" s="528">
        <f t="shared" ref="P184" si="356">F184+32</f>
        <v>782</v>
      </c>
      <c r="Q184" s="382">
        <f t="shared" ref="Q184" si="357">+P184*$X$1</f>
        <v>782</v>
      </c>
      <c r="R184" s="528">
        <f t="shared" ref="R184" si="358">F184+24</f>
        <v>774</v>
      </c>
      <c r="S184" s="382">
        <f t="shared" ref="S184" si="359">+R184*$X$1</f>
        <v>774</v>
      </c>
      <c r="T184" s="528">
        <f t="shared" ref="T184" si="360">F184+21</f>
        <v>771</v>
      </c>
      <c r="U184" s="382">
        <f t="shared" ref="U184" si="361">+T184*$X$1</f>
        <v>771</v>
      </c>
      <c r="V184" s="528">
        <f t="shared" ref="V184" si="362">F184+18</f>
        <v>768</v>
      </c>
      <c r="W184" s="382">
        <f t="shared" ref="W184" si="363">+V184*$X$1</f>
        <v>768</v>
      </c>
      <c r="X184" s="948"/>
      <c r="Y184" s="949"/>
      <c r="Z184" s="949"/>
      <c r="AA184" s="950"/>
      <c r="AB184" s="37"/>
    </row>
    <row r="185" spans="1:28" ht="12.6" customHeight="1">
      <c r="A185" s="27"/>
      <c r="B185" s="944" t="s">
        <v>751</v>
      </c>
      <c r="C185" s="945"/>
      <c r="D185" s="945"/>
      <c r="E185" s="945"/>
      <c r="F185" s="542">
        <v>833</v>
      </c>
      <c r="G185" s="410">
        <f t="shared" si="338"/>
        <v>833</v>
      </c>
      <c r="H185" s="958"/>
      <c r="I185" s="959"/>
      <c r="J185" s="959"/>
      <c r="K185" s="960"/>
      <c r="L185" s="421">
        <f t="shared" si="339"/>
        <v>888</v>
      </c>
      <c r="M185" s="381">
        <f t="shared" si="340"/>
        <v>888</v>
      </c>
      <c r="N185" s="421">
        <f t="shared" si="341"/>
        <v>869</v>
      </c>
      <c r="O185" s="381">
        <f t="shared" si="342"/>
        <v>869</v>
      </c>
      <c r="P185" s="421">
        <f t="shared" si="343"/>
        <v>865</v>
      </c>
      <c r="Q185" s="381">
        <f t="shared" si="344"/>
        <v>865</v>
      </c>
      <c r="R185" s="421">
        <f t="shared" si="345"/>
        <v>857</v>
      </c>
      <c r="S185" s="381">
        <f t="shared" si="346"/>
        <v>857</v>
      </c>
      <c r="T185" s="421">
        <f t="shared" si="347"/>
        <v>854</v>
      </c>
      <c r="U185" s="381">
        <f t="shared" si="348"/>
        <v>854</v>
      </c>
      <c r="V185" s="421">
        <f t="shared" si="349"/>
        <v>851</v>
      </c>
      <c r="W185" s="381">
        <f t="shared" si="350"/>
        <v>851</v>
      </c>
      <c r="X185" s="948"/>
      <c r="Y185" s="949"/>
      <c r="Z185" s="949"/>
      <c r="AA185" s="950"/>
      <c r="AB185" s="37"/>
    </row>
    <row r="186" spans="1:28" ht="12.6" customHeight="1">
      <c r="A186" s="116"/>
      <c r="B186" s="807" t="s">
        <v>465</v>
      </c>
      <c r="C186" s="808"/>
      <c r="D186" s="808"/>
      <c r="E186" s="808"/>
      <c r="F186" s="545">
        <f>1.17*X2</f>
        <v>1009.7099999999999</v>
      </c>
      <c r="G186" s="472">
        <f t="shared" si="338"/>
        <v>1009.7099999999999</v>
      </c>
      <c r="H186" s="380"/>
      <c r="I186" s="514"/>
      <c r="J186" s="112"/>
      <c r="K186" s="426"/>
      <c r="L186" s="528">
        <f t="shared" si="339"/>
        <v>1064.71</v>
      </c>
      <c r="M186" s="382">
        <f t="shared" si="340"/>
        <v>1064.71</v>
      </c>
      <c r="N186" s="528">
        <f t="shared" si="341"/>
        <v>1045.71</v>
      </c>
      <c r="O186" s="382">
        <f t="shared" ref="O186" si="364">+N186*$X$1</f>
        <v>1045.71</v>
      </c>
      <c r="P186" s="528">
        <f t="shared" si="343"/>
        <v>1041.71</v>
      </c>
      <c r="Q186" s="382">
        <f t="shared" ref="Q186" si="365">+P186*$X$1</f>
        <v>1041.71</v>
      </c>
      <c r="R186" s="528">
        <f t="shared" si="345"/>
        <v>1033.71</v>
      </c>
      <c r="S186" s="382">
        <f t="shared" ref="S186" si="366">+R186*$X$1</f>
        <v>1033.71</v>
      </c>
      <c r="T186" s="528">
        <f t="shared" si="347"/>
        <v>1030.71</v>
      </c>
      <c r="U186" s="382">
        <f t="shared" ref="U186" si="367">+T186*$X$1</f>
        <v>1030.71</v>
      </c>
      <c r="V186" s="528">
        <f t="shared" si="349"/>
        <v>1027.71</v>
      </c>
      <c r="W186" s="382">
        <f t="shared" ref="W186" si="368">+V186*$X$1</f>
        <v>1027.71</v>
      </c>
      <c r="X186" s="170"/>
      <c r="Y186" s="179"/>
      <c r="Z186" s="170"/>
      <c r="AA186" s="170"/>
      <c r="AB186" s="635">
        <v>425</v>
      </c>
    </row>
    <row r="187" spans="1:28" ht="12.6" customHeight="1">
      <c r="A187" s="116"/>
      <c r="B187" s="697" t="s">
        <v>618</v>
      </c>
      <c r="C187" s="698"/>
      <c r="D187" s="698"/>
      <c r="E187" s="698"/>
      <c r="F187" s="536">
        <f>1.01*X2</f>
        <v>871.63</v>
      </c>
      <c r="G187" s="381">
        <f t="shared" si="338"/>
        <v>871.63</v>
      </c>
      <c r="H187" s="425"/>
      <c r="I187" s="464"/>
      <c r="J187" s="421"/>
      <c r="K187" s="381"/>
      <c r="L187" s="421">
        <f t="shared" si="339"/>
        <v>926.63</v>
      </c>
      <c r="M187" s="381">
        <f t="shared" ref="M187" si="369">+L187*$X$1</f>
        <v>926.63</v>
      </c>
      <c r="N187" s="421">
        <f t="shared" si="341"/>
        <v>907.63</v>
      </c>
      <c r="O187" s="381">
        <f t="shared" ref="O187" si="370">+N187*$X$1</f>
        <v>907.63</v>
      </c>
      <c r="P187" s="421">
        <f t="shared" si="343"/>
        <v>903.63</v>
      </c>
      <c r="Q187" s="381">
        <f t="shared" ref="Q187" si="371">+P187*$X$1</f>
        <v>903.63</v>
      </c>
      <c r="R187" s="421">
        <f t="shared" si="345"/>
        <v>895.63</v>
      </c>
      <c r="S187" s="381">
        <f t="shared" ref="S187" si="372">+R187*$X$1</f>
        <v>895.63</v>
      </c>
      <c r="T187" s="421">
        <f t="shared" si="347"/>
        <v>892.63</v>
      </c>
      <c r="U187" s="381">
        <f t="shared" ref="U187" si="373">+T187*$X$1</f>
        <v>892.63</v>
      </c>
      <c r="V187" s="421">
        <f t="shared" si="349"/>
        <v>889.63</v>
      </c>
      <c r="W187" s="381">
        <f t="shared" ref="W187" si="374">+V187*$X$1</f>
        <v>889.63</v>
      </c>
      <c r="X187" s="170"/>
      <c r="Y187" s="179"/>
      <c r="Z187" s="170"/>
      <c r="AA187" s="170"/>
      <c r="AB187" s="635" t="s">
        <v>681</v>
      </c>
    </row>
    <row r="188" spans="1:28" ht="12.6" customHeight="1">
      <c r="A188" s="116"/>
      <c r="B188" s="713" t="s">
        <v>601</v>
      </c>
      <c r="C188" s="714"/>
      <c r="D188" s="714"/>
      <c r="E188" s="714"/>
      <c r="F188" s="537">
        <f>1.222*X2</f>
        <v>1054.586</v>
      </c>
      <c r="G188" s="382">
        <f t="shared" ref="G188" si="375">+F188*$X$1</f>
        <v>1054.586</v>
      </c>
      <c r="H188" s="380"/>
      <c r="I188" s="465"/>
      <c r="J188" s="507"/>
      <c r="K188" s="382"/>
      <c r="L188" s="528">
        <f t="shared" si="339"/>
        <v>1109.586</v>
      </c>
      <c r="M188" s="382">
        <f t="shared" ref="M188" si="376">+L188*$X$1</f>
        <v>1109.586</v>
      </c>
      <c r="N188" s="528">
        <f t="shared" si="341"/>
        <v>1090.586</v>
      </c>
      <c r="O188" s="382">
        <f t="shared" ref="O188" si="377">+N188*$X$1</f>
        <v>1090.586</v>
      </c>
      <c r="P188" s="528">
        <f t="shared" si="343"/>
        <v>1086.586</v>
      </c>
      <c r="Q188" s="382">
        <f t="shared" ref="Q188" si="378">+P188*$X$1</f>
        <v>1086.586</v>
      </c>
      <c r="R188" s="528">
        <f t="shared" si="345"/>
        <v>1078.586</v>
      </c>
      <c r="S188" s="382">
        <f t="shared" ref="S188" si="379">+R188*$X$1</f>
        <v>1078.586</v>
      </c>
      <c r="T188" s="528">
        <f t="shared" si="347"/>
        <v>1075.586</v>
      </c>
      <c r="U188" s="382">
        <f t="shared" ref="U188" si="380">+T188*$X$1</f>
        <v>1075.586</v>
      </c>
      <c r="V188" s="528">
        <f t="shared" si="349"/>
        <v>1072.586</v>
      </c>
      <c r="W188" s="382">
        <f t="shared" ref="W188" si="381">+V188*$X$1</f>
        <v>1072.586</v>
      </c>
      <c r="X188" s="170"/>
      <c r="Y188" s="179"/>
      <c r="Z188" s="170"/>
      <c r="AA188" s="170"/>
      <c r="AB188" s="635">
        <v>428</v>
      </c>
    </row>
    <row r="189" spans="1:28" ht="12.6" customHeight="1">
      <c r="A189" s="20"/>
      <c r="B189" s="697" t="s">
        <v>199</v>
      </c>
      <c r="C189" s="698"/>
      <c r="D189" s="698"/>
      <c r="E189" s="698"/>
      <c r="F189" s="536">
        <f>1.667*X2</f>
        <v>1438.6210000000001</v>
      </c>
      <c r="G189" s="381">
        <f t="shared" si="338"/>
        <v>1438.6210000000001</v>
      </c>
      <c r="H189" s="421">
        <f>F189+200</f>
        <v>1638.6210000000001</v>
      </c>
      <c r="I189" s="381">
        <f>+H189*$X$1</f>
        <v>1638.6210000000001</v>
      </c>
      <c r="J189" s="78">
        <f>F189+75</f>
        <v>1513.6210000000001</v>
      </c>
      <c r="K189" s="381">
        <f>+J189*$X$1</f>
        <v>1513.6210000000001</v>
      </c>
      <c r="L189" s="421">
        <f t="shared" si="339"/>
        <v>1493.6210000000001</v>
      </c>
      <c r="M189" s="381">
        <f t="shared" ref="M189" si="382">+L189*$X$1</f>
        <v>1493.6210000000001</v>
      </c>
      <c r="N189" s="421">
        <f t="shared" si="341"/>
        <v>1474.6210000000001</v>
      </c>
      <c r="O189" s="381">
        <f t="shared" ref="O189" si="383">+N189*$X$1</f>
        <v>1474.6210000000001</v>
      </c>
      <c r="P189" s="421">
        <f t="shared" si="343"/>
        <v>1470.6210000000001</v>
      </c>
      <c r="Q189" s="381">
        <f t="shared" ref="Q189" si="384">+P189*$X$1</f>
        <v>1470.6210000000001</v>
      </c>
      <c r="R189" s="421">
        <f t="shared" si="345"/>
        <v>1462.6210000000001</v>
      </c>
      <c r="S189" s="381">
        <f t="shared" ref="S189" si="385">+R189*$X$1</f>
        <v>1462.6210000000001</v>
      </c>
      <c r="T189" s="421">
        <f t="shared" si="347"/>
        <v>1459.6210000000001</v>
      </c>
      <c r="U189" s="381">
        <f t="shared" ref="U189" si="386">+T189*$X$1</f>
        <v>1459.6210000000001</v>
      </c>
      <c r="V189" s="421">
        <f t="shared" si="349"/>
        <v>1456.6210000000001</v>
      </c>
      <c r="W189" s="381">
        <f t="shared" ref="W189" si="387">+V189*$X$1</f>
        <v>1456.6210000000001</v>
      </c>
      <c r="X189" s="170"/>
      <c r="Y189" s="179"/>
      <c r="Z189" s="170"/>
      <c r="AA189" s="170"/>
      <c r="AB189" s="635">
        <v>442</v>
      </c>
    </row>
    <row r="190" spans="1:28" ht="12.6" customHeight="1">
      <c r="A190" s="20"/>
      <c r="B190" s="730" t="s">
        <v>200</v>
      </c>
      <c r="C190" s="731"/>
      <c r="D190" s="731"/>
      <c r="E190" s="731"/>
      <c r="F190" s="513"/>
      <c r="G190" s="970" t="s">
        <v>449</v>
      </c>
      <c r="H190" s="971"/>
      <c r="I190" s="971"/>
      <c r="J190" s="971"/>
      <c r="K190" s="971"/>
      <c r="L190" s="971"/>
      <c r="M190" s="971"/>
      <c r="N190" s="971"/>
      <c r="O190" s="971"/>
      <c r="P190" s="972"/>
      <c r="Q190" s="972"/>
      <c r="R190" s="972"/>
      <c r="S190" s="973"/>
      <c r="T190" s="78"/>
      <c r="U190" s="382"/>
      <c r="V190" s="112"/>
      <c r="W190" s="409"/>
      <c r="X190" s="180"/>
      <c r="Y190" s="179"/>
      <c r="Z190" s="170"/>
      <c r="AA190" s="170"/>
      <c r="AB190" s="635">
        <v>450</v>
      </c>
    </row>
    <row r="191" spans="1:28" ht="12.6" customHeight="1">
      <c r="A191" s="20"/>
      <c r="B191" s="697" t="s">
        <v>201</v>
      </c>
      <c r="C191" s="698"/>
      <c r="D191" s="698"/>
      <c r="E191" s="698"/>
      <c r="F191" s="146"/>
      <c r="G191" s="974"/>
      <c r="H191" s="975"/>
      <c r="I191" s="975"/>
      <c r="J191" s="975"/>
      <c r="K191" s="975"/>
      <c r="L191" s="975"/>
      <c r="M191" s="975"/>
      <c r="N191" s="975"/>
      <c r="O191" s="975"/>
      <c r="P191" s="976"/>
      <c r="Q191" s="977"/>
      <c r="R191" s="976"/>
      <c r="S191" s="978"/>
      <c r="T191" s="78"/>
      <c r="U191" s="381"/>
      <c r="V191" s="113"/>
      <c r="W191" s="337"/>
      <c r="X191" s="180"/>
      <c r="Y191" s="179"/>
      <c r="Z191" s="170"/>
      <c r="AA191" s="170"/>
      <c r="AB191" s="635">
        <v>451</v>
      </c>
    </row>
    <row r="192" spans="1:28" ht="12.6" customHeight="1">
      <c r="A192" s="20"/>
      <c r="B192" s="713" t="s">
        <v>202</v>
      </c>
      <c r="C192" s="714"/>
      <c r="D192" s="714"/>
      <c r="E192" s="714"/>
      <c r="F192" s="100"/>
      <c r="G192" s="974"/>
      <c r="H192" s="975"/>
      <c r="I192" s="975"/>
      <c r="J192" s="975"/>
      <c r="K192" s="975"/>
      <c r="L192" s="975"/>
      <c r="M192" s="975"/>
      <c r="N192" s="975"/>
      <c r="O192" s="975"/>
      <c r="P192" s="976"/>
      <c r="Q192" s="977"/>
      <c r="R192" s="976"/>
      <c r="S192" s="978"/>
      <c r="T192" s="78"/>
      <c r="U192" s="382"/>
      <c r="V192" s="112"/>
      <c r="W192" s="409"/>
      <c r="X192" s="180"/>
      <c r="Y192" s="179"/>
      <c r="Z192" s="170"/>
      <c r="AA192" s="170"/>
      <c r="AB192" s="635">
        <v>452</v>
      </c>
    </row>
    <row r="193" spans="1:28" ht="12.6" customHeight="1">
      <c r="A193" s="20"/>
      <c r="B193" s="697" t="s">
        <v>203</v>
      </c>
      <c r="C193" s="698"/>
      <c r="D193" s="698"/>
      <c r="E193" s="698"/>
      <c r="F193" s="146"/>
      <c r="G193" s="974"/>
      <c r="H193" s="975"/>
      <c r="I193" s="975"/>
      <c r="J193" s="975"/>
      <c r="K193" s="975"/>
      <c r="L193" s="975"/>
      <c r="M193" s="975"/>
      <c r="N193" s="975"/>
      <c r="O193" s="975"/>
      <c r="P193" s="976"/>
      <c r="Q193" s="977"/>
      <c r="R193" s="976"/>
      <c r="S193" s="978"/>
      <c r="T193" s="78"/>
      <c r="U193" s="381"/>
      <c r="V193" s="113"/>
      <c r="W193" s="337"/>
      <c r="X193" s="180"/>
      <c r="Y193" s="179"/>
      <c r="Z193" s="170"/>
      <c r="AA193" s="170"/>
      <c r="AB193" s="635">
        <v>453</v>
      </c>
    </row>
    <row r="194" spans="1:28" ht="12.6" customHeight="1">
      <c r="A194" s="20"/>
      <c r="B194" s="713" t="s">
        <v>204</v>
      </c>
      <c r="C194" s="714"/>
      <c r="D194" s="714"/>
      <c r="E194" s="714"/>
      <c r="F194" s="100"/>
      <c r="G194" s="974"/>
      <c r="H194" s="975"/>
      <c r="I194" s="975"/>
      <c r="J194" s="975"/>
      <c r="K194" s="975"/>
      <c r="L194" s="975"/>
      <c r="M194" s="975"/>
      <c r="N194" s="975"/>
      <c r="O194" s="975"/>
      <c r="P194" s="976"/>
      <c r="Q194" s="977"/>
      <c r="R194" s="976"/>
      <c r="S194" s="978"/>
      <c r="T194" s="78"/>
      <c r="U194" s="382"/>
      <c r="V194" s="112"/>
      <c r="W194" s="409"/>
      <c r="X194" s="180"/>
      <c r="Y194" s="179"/>
      <c r="Z194" s="170"/>
      <c r="AA194" s="170"/>
      <c r="AB194" s="635">
        <v>454</v>
      </c>
    </row>
    <row r="195" spans="1:28" ht="12.6" customHeight="1">
      <c r="A195" s="20"/>
      <c r="B195" s="697" t="s">
        <v>205</v>
      </c>
      <c r="C195" s="698"/>
      <c r="D195" s="698"/>
      <c r="E195" s="698"/>
      <c r="F195" s="512"/>
      <c r="G195" s="979"/>
      <c r="H195" s="980"/>
      <c r="I195" s="980"/>
      <c r="J195" s="980"/>
      <c r="K195" s="980"/>
      <c r="L195" s="980"/>
      <c r="M195" s="980"/>
      <c r="N195" s="980"/>
      <c r="O195" s="980"/>
      <c r="P195" s="981"/>
      <c r="Q195" s="981"/>
      <c r="R195" s="981"/>
      <c r="S195" s="982"/>
      <c r="T195" s="78"/>
      <c r="U195" s="381"/>
      <c r="V195" s="113"/>
      <c r="W195" s="337"/>
      <c r="X195" s="180"/>
      <c r="Y195" s="179"/>
      <c r="Z195" s="170"/>
      <c r="AA195" s="170"/>
      <c r="AB195" s="635">
        <v>460</v>
      </c>
    </row>
    <row r="196" spans="1:28" ht="12.6" customHeight="1">
      <c r="A196" s="20"/>
      <c r="B196" s="713" t="s">
        <v>438</v>
      </c>
      <c r="C196" s="760"/>
      <c r="D196" s="760"/>
      <c r="E196" s="760"/>
      <c r="F196" s="537">
        <f>2.179*X2</f>
        <v>1880.4769999999999</v>
      </c>
      <c r="G196" s="456">
        <f t="shared" ref="G196:G197" si="388">+F196*$X$1</f>
        <v>1880.4769999999999</v>
      </c>
      <c r="H196" s="370"/>
      <c r="I196" s="370"/>
      <c r="J196" s="98">
        <f>F196+75</f>
        <v>1955.4769999999999</v>
      </c>
      <c r="K196" s="382">
        <f>+J196*$X$1</f>
        <v>1955.4769999999999</v>
      </c>
      <c r="L196" s="528">
        <f>F196+55</f>
        <v>1935.4769999999999</v>
      </c>
      <c r="M196" s="382">
        <f t="shared" ref="M196:M198" si="389">+L196*$X$1</f>
        <v>1935.4769999999999</v>
      </c>
      <c r="N196" s="528">
        <f t="shared" ref="N196:N204" si="390">F196+36</f>
        <v>1916.4769999999999</v>
      </c>
      <c r="O196" s="382">
        <f t="shared" ref="O196:O198" si="391">+N196*$X$1</f>
        <v>1916.4769999999999</v>
      </c>
      <c r="P196" s="528">
        <f t="shared" ref="P196:P204" si="392">F196+32</f>
        <v>1912.4769999999999</v>
      </c>
      <c r="Q196" s="382">
        <f t="shared" ref="Q196:Q198" si="393">+P196*$X$1</f>
        <v>1912.4769999999999</v>
      </c>
      <c r="R196" s="528">
        <f t="shared" ref="R196:R204" si="394">F196+24</f>
        <v>1904.4769999999999</v>
      </c>
      <c r="S196" s="382">
        <f t="shared" ref="S196:S198" si="395">+R196*$X$1</f>
        <v>1904.4769999999999</v>
      </c>
      <c r="T196" s="528">
        <f t="shared" ref="T196:T204" si="396">F196+21</f>
        <v>1901.4769999999999</v>
      </c>
      <c r="U196" s="382">
        <f t="shared" ref="U196:U198" si="397">+T196*$X$1</f>
        <v>1901.4769999999999</v>
      </c>
      <c r="V196" s="528">
        <f t="shared" ref="V196:V204" si="398">F196+18</f>
        <v>1898.4769999999999</v>
      </c>
      <c r="W196" s="382">
        <f t="shared" ref="W196:W198" si="399">+V196*$X$1</f>
        <v>1898.4769999999999</v>
      </c>
      <c r="X196" s="170"/>
      <c r="Y196" s="179"/>
      <c r="Z196" s="170"/>
      <c r="AA196" s="170"/>
      <c r="AB196" s="635">
        <v>465</v>
      </c>
    </row>
    <row r="197" spans="1:28" ht="12.6" customHeight="1">
      <c r="A197" s="20"/>
      <c r="B197" s="946" t="s">
        <v>812</v>
      </c>
      <c r="C197" s="947"/>
      <c r="D197" s="947"/>
      <c r="E197" s="947"/>
      <c r="F197" s="542">
        <f>1.137*X2</f>
        <v>981.23099999999999</v>
      </c>
      <c r="G197" s="411">
        <f t="shared" si="388"/>
        <v>981.23099999999999</v>
      </c>
      <c r="H197" s="371"/>
      <c r="I197" s="371"/>
      <c r="J197" s="78">
        <f t="shared" ref="J197" si="400">F197+75</f>
        <v>1056.231</v>
      </c>
      <c r="K197" s="381">
        <f t="shared" ref="K197" si="401">+J197*$X$1</f>
        <v>1056.231</v>
      </c>
      <c r="L197" s="421">
        <f t="shared" ref="L197" si="402">F197+55</f>
        <v>1036.231</v>
      </c>
      <c r="M197" s="381">
        <f t="shared" ref="M197" si="403">+L197*$X$1</f>
        <v>1036.231</v>
      </c>
      <c r="N197" s="421">
        <f t="shared" ref="N197" si="404">F197+36</f>
        <v>1017.231</v>
      </c>
      <c r="O197" s="381">
        <f t="shared" ref="O197" si="405">+N197*$X$1</f>
        <v>1017.231</v>
      </c>
      <c r="P197" s="421">
        <f t="shared" ref="P197" si="406">F197+32</f>
        <v>1013.231</v>
      </c>
      <c r="Q197" s="381">
        <f t="shared" ref="Q197" si="407">+P197*$X$1</f>
        <v>1013.231</v>
      </c>
      <c r="R197" s="421">
        <f t="shared" ref="R197" si="408">F197+24</f>
        <v>1005.231</v>
      </c>
      <c r="S197" s="381">
        <f t="shared" ref="S197" si="409">+R197*$X$1</f>
        <v>1005.231</v>
      </c>
      <c r="T197" s="421">
        <f t="shared" ref="T197" si="410">F197+21</f>
        <v>1002.231</v>
      </c>
      <c r="U197" s="381">
        <f t="shared" ref="U197" si="411">+T197*$X$1</f>
        <v>1002.231</v>
      </c>
      <c r="V197" s="421">
        <f t="shared" ref="V197" si="412">F197+18</f>
        <v>999.23099999999999</v>
      </c>
      <c r="W197" s="381">
        <f t="shared" ref="W197" si="413">+V197*$X$1</f>
        <v>999.23099999999999</v>
      </c>
      <c r="X197" s="170"/>
      <c r="Y197" s="170"/>
      <c r="Z197" s="170"/>
      <c r="AA197" s="170"/>
      <c r="AB197" s="635">
        <v>528</v>
      </c>
    </row>
    <row r="198" spans="1:28" ht="12.6" customHeight="1">
      <c r="A198" s="20"/>
      <c r="B198" s="699" t="s">
        <v>439</v>
      </c>
      <c r="C198" s="717"/>
      <c r="D198" s="717"/>
      <c r="E198" s="718"/>
      <c r="F198" s="426">
        <v>2340</v>
      </c>
      <c r="G198" s="416">
        <f t="shared" ref="G198:G202" si="414">+F198*$X$1</f>
        <v>2340</v>
      </c>
      <c r="H198" s="370"/>
      <c r="I198" s="370"/>
      <c r="J198" s="98">
        <f>F198+75</f>
        <v>2415</v>
      </c>
      <c r="K198" s="382">
        <f>+J198*$X$1</f>
        <v>2415</v>
      </c>
      <c r="L198" s="571">
        <f>F198+55</f>
        <v>2395</v>
      </c>
      <c r="M198" s="382">
        <f t="shared" si="389"/>
        <v>2395</v>
      </c>
      <c r="N198" s="571">
        <f t="shared" si="390"/>
        <v>2376</v>
      </c>
      <c r="O198" s="382">
        <f t="shared" si="391"/>
        <v>2376</v>
      </c>
      <c r="P198" s="571">
        <f t="shared" si="392"/>
        <v>2372</v>
      </c>
      <c r="Q198" s="382">
        <f t="shared" si="393"/>
        <v>2372</v>
      </c>
      <c r="R198" s="571">
        <f t="shared" si="394"/>
        <v>2364</v>
      </c>
      <c r="S198" s="382">
        <f t="shared" si="395"/>
        <v>2364</v>
      </c>
      <c r="T198" s="571">
        <f t="shared" si="396"/>
        <v>2361</v>
      </c>
      <c r="U198" s="382">
        <f t="shared" si="397"/>
        <v>2361</v>
      </c>
      <c r="V198" s="571">
        <f t="shared" si="398"/>
        <v>2358</v>
      </c>
      <c r="W198" s="382">
        <f t="shared" si="399"/>
        <v>2358</v>
      </c>
      <c r="X198" s="170"/>
      <c r="Y198" s="170"/>
      <c r="Z198" s="170"/>
      <c r="AA198" s="170"/>
      <c r="AB198" s="635"/>
    </row>
    <row r="199" spans="1:28" ht="12.6" customHeight="1">
      <c r="A199" s="20"/>
      <c r="B199" s="835" t="s">
        <v>810</v>
      </c>
      <c r="C199" s="836"/>
      <c r="D199" s="836"/>
      <c r="E199" s="836"/>
      <c r="F199" s="542"/>
      <c r="G199" s="411"/>
      <c r="H199" s="371"/>
      <c r="I199" s="371"/>
      <c r="J199" s="78"/>
      <c r="K199" s="381"/>
      <c r="L199" s="421"/>
      <c r="M199" s="381"/>
      <c r="N199" s="421"/>
      <c r="O199" s="381"/>
      <c r="P199" s="421"/>
      <c r="Q199" s="381"/>
      <c r="R199" s="421"/>
      <c r="S199" s="381"/>
      <c r="T199" s="421"/>
      <c r="U199" s="381"/>
      <c r="V199" s="421"/>
      <c r="W199" s="381"/>
      <c r="X199" s="170"/>
      <c r="Y199" s="170"/>
      <c r="Z199" s="170"/>
      <c r="AA199" s="170"/>
      <c r="AB199" s="635">
        <v>534</v>
      </c>
    </row>
    <row r="200" spans="1:28" ht="12.6" customHeight="1">
      <c r="A200" s="20"/>
      <c r="B200" s="699" t="s">
        <v>440</v>
      </c>
      <c r="C200" s="724"/>
      <c r="D200" s="724"/>
      <c r="E200" s="725"/>
      <c r="F200" s="426">
        <v>1112</v>
      </c>
      <c r="G200" s="416">
        <f t="shared" si="414"/>
        <v>1112</v>
      </c>
      <c r="H200" s="370"/>
      <c r="I200" s="370"/>
      <c r="J200" s="98">
        <f>F200+75</f>
        <v>1187</v>
      </c>
      <c r="K200" s="382">
        <f>+J200*$X$1</f>
        <v>1187</v>
      </c>
      <c r="L200" s="571">
        <f>F200+55</f>
        <v>1167</v>
      </c>
      <c r="M200" s="382">
        <f t="shared" ref="M200" si="415">+L200*$X$1</f>
        <v>1167</v>
      </c>
      <c r="N200" s="571">
        <f t="shared" si="390"/>
        <v>1148</v>
      </c>
      <c r="O200" s="382">
        <f t="shared" ref="O200:O201" si="416">+N200*$X$1</f>
        <v>1148</v>
      </c>
      <c r="P200" s="571">
        <f t="shared" si="392"/>
        <v>1144</v>
      </c>
      <c r="Q200" s="382">
        <f t="shared" ref="Q200:Q201" si="417">+P200*$X$1</f>
        <v>1144</v>
      </c>
      <c r="R200" s="571">
        <f t="shared" si="394"/>
        <v>1136</v>
      </c>
      <c r="S200" s="382">
        <f t="shared" ref="S200:S201" si="418">+R200*$X$1</f>
        <v>1136</v>
      </c>
      <c r="T200" s="571">
        <f t="shared" si="396"/>
        <v>1133</v>
      </c>
      <c r="U200" s="382">
        <f t="shared" ref="U200:U201" si="419">+T200*$X$1</f>
        <v>1133</v>
      </c>
      <c r="V200" s="571">
        <f t="shared" si="398"/>
        <v>1130</v>
      </c>
      <c r="W200" s="382">
        <f t="shared" ref="W200:W201" si="420">+V200*$X$1</f>
        <v>1130</v>
      </c>
      <c r="X200" s="170"/>
      <c r="Y200" s="170"/>
      <c r="Z200" s="170"/>
      <c r="AA200" s="170"/>
      <c r="AB200" s="32"/>
    </row>
    <row r="201" spans="1:28" ht="12.6" customHeight="1">
      <c r="A201" s="20"/>
      <c r="B201" s="835" t="s">
        <v>206</v>
      </c>
      <c r="C201" s="791"/>
      <c r="D201" s="791"/>
      <c r="E201" s="791"/>
      <c r="F201" s="410">
        <v>175</v>
      </c>
      <c r="G201" s="476">
        <f>+F201*$X$1</f>
        <v>175</v>
      </c>
      <c r="H201" s="988" t="s">
        <v>428</v>
      </c>
      <c r="I201" s="988"/>
      <c r="J201" s="989"/>
      <c r="K201" s="989"/>
      <c r="L201" s="989"/>
      <c r="M201" s="990"/>
      <c r="N201" s="421">
        <f t="shared" si="390"/>
        <v>211</v>
      </c>
      <c r="O201" s="381">
        <f t="shared" si="416"/>
        <v>211</v>
      </c>
      <c r="P201" s="421">
        <f t="shared" si="392"/>
        <v>207</v>
      </c>
      <c r="Q201" s="381">
        <f t="shared" si="417"/>
        <v>207</v>
      </c>
      <c r="R201" s="421">
        <f t="shared" si="394"/>
        <v>199</v>
      </c>
      <c r="S201" s="381">
        <f t="shared" si="418"/>
        <v>199</v>
      </c>
      <c r="T201" s="421">
        <f t="shared" si="396"/>
        <v>196</v>
      </c>
      <c r="U201" s="381">
        <f t="shared" si="419"/>
        <v>196</v>
      </c>
      <c r="V201" s="421">
        <f t="shared" si="398"/>
        <v>193</v>
      </c>
      <c r="W201" s="381">
        <f t="shared" si="420"/>
        <v>193</v>
      </c>
      <c r="X201" s="170"/>
      <c r="Y201" s="170"/>
      <c r="Z201" s="170"/>
      <c r="AA201" s="170"/>
      <c r="AB201" s="635">
        <v>539</v>
      </c>
    </row>
    <row r="202" spans="1:28" ht="12.6" customHeight="1">
      <c r="A202" s="20"/>
      <c r="B202" s="730" t="s">
        <v>592</v>
      </c>
      <c r="C202" s="824"/>
      <c r="D202" s="824"/>
      <c r="E202" s="824"/>
      <c r="F202" s="426">
        <v>369</v>
      </c>
      <c r="G202" s="455">
        <f t="shared" si="414"/>
        <v>369</v>
      </c>
      <c r="H202" s="370"/>
      <c r="I202" s="370"/>
      <c r="J202" s="98"/>
      <c r="K202" s="382"/>
      <c r="L202" s="571"/>
      <c r="M202" s="382"/>
      <c r="N202" s="571">
        <f t="shared" si="390"/>
        <v>405</v>
      </c>
      <c r="O202" s="382">
        <f t="shared" ref="O202:O204" si="421">+N202*$X$1</f>
        <v>405</v>
      </c>
      <c r="P202" s="571">
        <f t="shared" si="392"/>
        <v>401</v>
      </c>
      <c r="Q202" s="382">
        <f t="shared" ref="Q202:Q204" si="422">+P202*$X$1</f>
        <v>401</v>
      </c>
      <c r="R202" s="571">
        <f t="shared" si="394"/>
        <v>393</v>
      </c>
      <c r="S202" s="382">
        <f t="shared" ref="S202:S204" si="423">+R202*$X$1</f>
        <v>393</v>
      </c>
      <c r="T202" s="571">
        <f t="shared" si="396"/>
        <v>390</v>
      </c>
      <c r="U202" s="382">
        <f t="shared" ref="U202:U204" si="424">+T202*$X$1</f>
        <v>390</v>
      </c>
      <c r="V202" s="571">
        <f t="shared" si="398"/>
        <v>387</v>
      </c>
      <c r="W202" s="382">
        <f t="shared" ref="W202:W204" si="425">+V202*$X$1</f>
        <v>387</v>
      </c>
      <c r="X202" s="170"/>
      <c r="Y202" s="170"/>
      <c r="Z202" s="170"/>
      <c r="AA202" s="170"/>
      <c r="AB202" s="635">
        <v>540</v>
      </c>
    </row>
    <row r="203" spans="1:28" ht="12.6" customHeight="1">
      <c r="A203" s="20"/>
      <c r="B203" s="835" t="s">
        <v>594</v>
      </c>
      <c r="C203" s="836"/>
      <c r="D203" s="836"/>
      <c r="E203" s="836"/>
      <c r="F203" s="410">
        <v>776</v>
      </c>
      <c r="G203" s="411">
        <f t="shared" ref="G203" si="426">+F203*$X$1</f>
        <v>776</v>
      </c>
      <c r="H203" s="371"/>
      <c r="I203" s="371"/>
      <c r="J203" s="78"/>
      <c r="K203" s="381"/>
      <c r="L203" s="421"/>
      <c r="M203" s="381"/>
      <c r="N203" s="421">
        <f t="shared" si="390"/>
        <v>812</v>
      </c>
      <c r="O203" s="381">
        <f t="shared" si="421"/>
        <v>812</v>
      </c>
      <c r="P203" s="421">
        <f t="shared" si="392"/>
        <v>808</v>
      </c>
      <c r="Q203" s="381">
        <f t="shared" si="422"/>
        <v>808</v>
      </c>
      <c r="R203" s="421">
        <f t="shared" si="394"/>
        <v>800</v>
      </c>
      <c r="S203" s="381">
        <f t="shared" si="423"/>
        <v>800</v>
      </c>
      <c r="T203" s="421">
        <f t="shared" si="396"/>
        <v>797</v>
      </c>
      <c r="U203" s="381">
        <f t="shared" si="424"/>
        <v>797</v>
      </c>
      <c r="V203" s="421">
        <f t="shared" si="398"/>
        <v>794</v>
      </c>
      <c r="W203" s="381">
        <f t="shared" si="425"/>
        <v>794</v>
      </c>
      <c r="X203" s="170"/>
      <c r="Y203" s="170"/>
      <c r="Z203" s="170"/>
      <c r="AA203" s="170"/>
      <c r="AB203" s="635" t="s">
        <v>705</v>
      </c>
    </row>
    <row r="204" spans="1:28" ht="12.6" customHeight="1">
      <c r="A204" s="20"/>
      <c r="B204" s="699" t="s">
        <v>535</v>
      </c>
      <c r="C204" s="724"/>
      <c r="D204" s="724"/>
      <c r="E204" s="725"/>
      <c r="F204" s="541">
        <f>18.74*X2</f>
        <v>16172.619999999999</v>
      </c>
      <c r="G204" s="455">
        <f t="shared" ref="G204" si="427">+F204*$X$1</f>
        <v>16172.619999999999</v>
      </c>
      <c r="H204" s="571">
        <f>F204+200</f>
        <v>16372.619999999999</v>
      </c>
      <c r="I204" s="382">
        <f>+H204*$X$1</f>
        <v>16372.619999999999</v>
      </c>
      <c r="J204" s="98">
        <f>F204+75</f>
        <v>16247.619999999999</v>
      </c>
      <c r="K204" s="382">
        <f>+J204*$X$1</f>
        <v>16247.619999999999</v>
      </c>
      <c r="L204" s="571">
        <f>F204+55</f>
        <v>16227.619999999999</v>
      </c>
      <c r="M204" s="382">
        <f t="shared" ref="M204" si="428">+L204*$X$1</f>
        <v>16227.619999999999</v>
      </c>
      <c r="N204" s="571">
        <f t="shared" si="390"/>
        <v>16208.619999999999</v>
      </c>
      <c r="O204" s="382">
        <f t="shared" si="421"/>
        <v>16208.619999999999</v>
      </c>
      <c r="P204" s="571">
        <f t="shared" si="392"/>
        <v>16204.619999999999</v>
      </c>
      <c r="Q204" s="382">
        <f t="shared" si="422"/>
        <v>16204.619999999999</v>
      </c>
      <c r="R204" s="571">
        <f t="shared" si="394"/>
        <v>16196.619999999999</v>
      </c>
      <c r="S204" s="382">
        <f t="shared" si="423"/>
        <v>16196.619999999999</v>
      </c>
      <c r="T204" s="571">
        <f t="shared" si="396"/>
        <v>16193.619999999999</v>
      </c>
      <c r="U204" s="382">
        <f t="shared" si="424"/>
        <v>16193.619999999999</v>
      </c>
      <c r="V204" s="571">
        <f t="shared" si="398"/>
        <v>16190.619999999999</v>
      </c>
      <c r="W204" s="382">
        <f t="shared" si="425"/>
        <v>16190.619999999999</v>
      </c>
      <c r="X204" s="170"/>
      <c r="Y204" s="170"/>
      <c r="Z204" s="170"/>
      <c r="AA204" s="170"/>
      <c r="AB204" s="635">
        <v>542</v>
      </c>
    </row>
    <row r="205" spans="1:28" ht="12.6" customHeight="1">
      <c r="A205" s="20"/>
      <c r="B205" s="697" t="s">
        <v>593</v>
      </c>
      <c r="C205" s="698"/>
      <c r="D205" s="698"/>
      <c r="E205" s="698"/>
      <c r="F205" s="381"/>
      <c r="G205" s="381"/>
      <c r="H205" s="421"/>
      <c r="I205" s="421"/>
      <c r="J205" s="421"/>
      <c r="K205" s="381"/>
      <c r="L205" s="421"/>
      <c r="M205" s="381"/>
      <c r="N205" s="421"/>
      <c r="O205" s="381"/>
      <c r="P205" s="421"/>
      <c r="Q205" s="381"/>
      <c r="R205" s="421"/>
      <c r="S205" s="381"/>
      <c r="T205" s="421"/>
      <c r="U205" s="381"/>
      <c r="V205" s="78"/>
      <c r="W205" s="467"/>
      <c r="X205" s="170"/>
      <c r="Y205" s="170"/>
      <c r="Z205" s="170"/>
      <c r="AA205" s="170"/>
      <c r="AB205" s="635">
        <v>544</v>
      </c>
    </row>
    <row r="206" spans="1:28" ht="12.6" customHeight="1">
      <c r="A206" s="20"/>
      <c r="B206" s="930" t="s">
        <v>207</v>
      </c>
      <c r="C206" s="1294"/>
      <c r="D206" s="1294"/>
      <c r="E206" s="1294"/>
      <c r="F206" s="451">
        <v>350</v>
      </c>
      <c r="G206" s="450">
        <f t="shared" ref="G206:G211" si="429">+F206*$X$1</f>
        <v>350</v>
      </c>
      <c r="H206" s="344"/>
      <c r="I206" s="344"/>
      <c r="J206" s="114">
        <f t="shared" ref="J206" si="430">F206+70</f>
        <v>420</v>
      </c>
      <c r="K206" s="450">
        <f t="shared" ref="K206" si="431">+J206*$X$1</f>
        <v>420</v>
      </c>
      <c r="L206" s="126">
        <f t="shared" ref="L206" si="432">F206+50</f>
        <v>400</v>
      </c>
      <c r="M206" s="450">
        <f t="shared" ref="M206:M212" si="433">+L206*$X$1</f>
        <v>400</v>
      </c>
      <c r="N206" s="126">
        <f t="shared" ref="N206" si="434">F206+30</f>
        <v>380</v>
      </c>
      <c r="O206" s="450">
        <f t="shared" ref="O206:O212" si="435">+N206*$X$1</f>
        <v>380</v>
      </c>
      <c r="P206" s="114"/>
      <c r="Q206" s="935" t="s">
        <v>155</v>
      </c>
      <c r="R206" s="936"/>
      <c r="S206" s="936"/>
      <c r="T206" s="936"/>
      <c r="U206" s="936"/>
      <c r="V206" s="936"/>
      <c r="W206" s="937"/>
      <c r="X206" s="150"/>
      <c r="Y206" s="150"/>
      <c r="Z206" s="150"/>
      <c r="AA206" s="150"/>
      <c r="AB206" s="635">
        <v>547</v>
      </c>
    </row>
    <row r="207" spans="1:28" ht="12.6" customHeight="1">
      <c r="A207" s="20"/>
      <c r="B207" s="702" t="s">
        <v>441</v>
      </c>
      <c r="C207" s="920"/>
      <c r="D207" s="920"/>
      <c r="E207" s="921"/>
      <c r="F207" s="381">
        <v>3608</v>
      </c>
      <c r="G207" s="381">
        <f t="shared" si="429"/>
        <v>3608</v>
      </c>
      <c r="H207" s="371"/>
      <c r="I207" s="371"/>
      <c r="J207" s="78">
        <f t="shared" ref="J207:J212" si="436">F207+75</f>
        <v>3683</v>
      </c>
      <c r="K207" s="381">
        <f t="shared" ref="K207:K212" si="437">+J207*$X$1</f>
        <v>3683</v>
      </c>
      <c r="L207" s="421">
        <f t="shared" ref="L207:L212" si="438">F207+55</f>
        <v>3663</v>
      </c>
      <c r="M207" s="381">
        <f t="shared" si="433"/>
        <v>3663</v>
      </c>
      <c r="N207" s="421">
        <f t="shared" ref="N207:N212" si="439">F207+36</f>
        <v>3644</v>
      </c>
      <c r="O207" s="381">
        <f t="shared" si="435"/>
        <v>3644</v>
      </c>
      <c r="P207" s="421">
        <f t="shared" ref="P207:P212" si="440">F207+32</f>
        <v>3640</v>
      </c>
      <c r="Q207" s="381">
        <f t="shared" ref="Q207:Q212" si="441">+P207*$X$1</f>
        <v>3640</v>
      </c>
      <c r="R207" s="421">
        <f t="shared" ref="R207:R212" si="442">F207+24</f>
        <v>3632</v>
      </c>
      <c r="S207" s="381">
        <f t="shared" ref="S207:S212" si="443">+R207*$X$1</f>
        <v>3632</v>
      </c>
      <c r="T207" s="421">
        <f t="shared" ref="T207:T212" si="444">F207+21</f>
        <v>3629</v>
      </c>
      <c r="U207" s="381">
        <f t="shared" ref="U207:U212" si="445">+T207*$X$1</f>
        <v>3629</v>
      </c>
      <c r="V207" s="421">
        <f t="shared" ref="V207:V212" si="446">F207+18</f>
        <v>3626</v>
      </c>
      <c r="W207" s="381">
        <f t="shared" ref="W207:W212" si="447">+V207*$X$1</f>
        <v>3626</v>
      </c>
      <c r="X207" s="150"/>
      <c r="Y207" s="150"/>
      <c r="Z207" s="150"/>
      <c r="AA207" s="150"/>
      <c r="AB207" s="638"/>
    </row>
    <row r="208" spans="1:28" ht="12.6" customHeight="1">
      <c r="A208" s="20"/>
      <c r="B208" s="699" t="s">
        <v>616</v>
      </c>
      <c r="C208" s="724"/>
      <c r="D208" s="724"/>
      <c r="E208" s="725"/>
      <c r="F208" s="426">
        <v>1014</v>
      </c>
      <c r="G208" s="382">
        <f t="shared" si="429"/>
        <v>1014</v>
      </c>
      <c r="H208" s="370"/>
      <c r="I208" s="370"/>
      <c r="J208" s="98">
        <f t="shared" si="436"/>
        <v>1089</v>
      </c>
      <c r="K208" s="382">
        <f t="shared" si="437"/>
        <v>1089</v>
      </c>
      <c r="L208" s="528">
        <f t="shared" si="438"/>
        <v>1069</v>
      </c>
      <c r="M208" s="382">
        <f t="shared" si="433"/>
        <v>1069</v>
      </c>
      <c r="N208" s="528">
        <f t="shared" si="439"/>
        <v>1050</v>
      </c>
      <c r="O208" s="382">
        <f t="shared" si="435"/>
        <v>1050</v>
      </c>
      <c r="P208" s="528">
        <f t="shared" si="440"/>
        <v>1046</v>
      </c>
      <c r="Q208" s="382">
        <f t="shared" si="441"/>
        <v>1046</v>
      </c>
      <c r="R208" s="528">
        <f t="shared" si="442"/>
        <v>1038</v>
      </c>
      <c r="S208" s="382">
        <f t="shared" si="443"/>
        <v>1038</v>
      </c>
      <c r="T208" s="528">
        <f t="shared" si="444"/>
        <v>1035</v>
      </c>
      <c r="U208" s="382">
        <f t="shared" si="445"/>
        <v>1035</v>
      </c>
      <c r="V208" s="528">
        <f t="shared" si="446"/>
        <v>1032</v>
      </c>
      <c r="W208" s="382">
        <f t="shared" si="447"/>
        <v>1032</v>
      </c>
      <c r="X208" s="170"/>
      <c r="Y208" s="170"/>
      <c r="Z208" s="170"/>
      <c r="AA208" s="170"/>
      <c r="AB208" s="635"/>
    </row>
    <row r="209" spans="1:28" ht="12.6" customHeight="1">
      <c r="A209" s="20"/>
      <c r="B209" s="702" t="s">
        <v>562</v>
      </c>
      <c r="C209" s="920"/>
      <c r="D209" s="920"/>
      <c r="E209" s="921"/>
      <c r="F209" s="381">
        <v>3491</v>
      </c>
      <c r="G209" s="381">
        <f t="shared" si="429"/>
        <v>3491</v>
      </c>
      <c r="H209" s="371"/>
      <c r="I209" s="371"/>
      <c r="J209" s="78">
        <f t="shared" si="436"/>
        <v>3566</v>
      </c>
      <c r="K209" s="381">
        <f t="shared" si="437"/>
        <v>3566</v>
      </c>
      <c r="L209" s="421">
        <f t="shared" si="438"/>
        <v>3546</v>
      </c>
      <c r="M209" s="381">
        <f t="shared" si="433"/>
        <v>3546</v>
      </c>
      <c r="N209" s="421">
        <f t="shared" si="439"/>
        <v>3527</v>
      </c>
      <c r="O209" s="381">
        <f t="shared" si="435"/>
        <v>3527</v>
      </c>
      <c r="P209" s="421">
        <f t="shared" si="440"/>
        <v>3523</v>
      </c>
      <c r="Q209" s="381">
        <f t="shared" si="441"/>
        <v>3523</v>
      </c>
      <c r="R209" s="421">
        <f t="shared" si="442"/>
        <v>3515</v>
      </c>
      <c r="S209" s="381">
        <f t="shared" si="443"/>
        <v>3515</v>
      </c>
      <c r="T209" s="421">
        <f t="shared" si="444"/>
        <v>3512</v>
      </c>
      <c r="U209" s="381">
        <f t="shared" si="445"/>
        <v>3512</v>
      </c>
      <c r="V209" s="421">
        <f t="shared" si="446"/>
        <v>3509</v>
      </c>
      <c r="W209" s="381">
        <f t="shared" si="447"/>
        <v>3509</v>
      </c>
      <c r="X209" s="150"/>
      <c r="Y209" s="150"/>
      <c r="Z209" s="150"/>
      <c r="AA209" s="150"/>
      <c r="AB209" s="635">
        <v>551</v>
      </c>
    </row>
    <row r="210" spans="1:28" ht="12.6" customHeight="1">
      <c r="A210" s="20"/>
      <c r="B210" s="1295" t="s">
        <v>560</v>
      </c>
      <c r="C210" s="1296"/>
      <c r="D210" s="1296"/>
      <c r="E210" s="1297"/>
      <c r="F210" s="426">
        <v>3900</v>
      </c>
      <c r="G210" s="382">
        <f t="shared" si="429"/>
        <v>3900</v>
      </c>
      <c r="H210" s="370"/>
      <c r="I210" s="370"/>
      <c r="J210" s="98">
        <f t="shared" si="436"/>
        <v>3975</v>
      </c>
      <c r="K210" s="382">
        <f t="shared" si="437"/>
        <v>3975</v>
      </c>
      <c r="L210" s="528">
        <f t="shared" si="438"/>
        <v>3955</v>
      </c>
      <c r="M210" s="382">
        <f t="shared" si="433"/>
        <v>3955</v>
      </c>
      <c r="N210" s="528">
        <f t="shared" si="439"/>
        <v>3936</v>
      </c>
      <c r="O210" s="382">
        <f t="shared" si="435"/>
        <v>3936</v>
      </c>
      <c r="P210" s="528">
        <f t="shared" si="440"/>
        <v>3932</v>
      </c>
      <c r="Q210" s="382">
        <f t="shared" si="441"/>
        <v>3932</v>
      </c>
      <c r="R210" s="528">
        <f t="shared" si="442"/>
        <v>3924</v>
      </c>
      <c r="S210" s="382">
        <f t="shared" si="443"/>
        <v>3924</v>
      </c>
      <c r="T210" s="528">
        <f t="shared" si="444"/>
        <v>3921</v>
      </c>
      <c r="U210" s="382">
        <f t="shared" si="445"/>
        <v>3921</v>
      </c>
      <c r="V210" s="528">
        <f t="shared" si="446"/>
        <v>3918</v>
      </c>
      <c r="W210" s="382">
        <f t="shared" si="447"/>
        <v>3918</v>
      </c>
      <c r="X210" s="150"/>
      <c r="Y210" s="150"/>
      <c r="Z210" s="150"/>
      <c r="AA210" s="150"/>
      <c r="AB210" s="635" t="s">
        <v>559</v>
      </c>
    </row>
    <row r="211" spans="1:28" ht="12.6" customHeight="1">
      <c r="A211" s="20"/>
      <c r="B211" s="991" t="s">
        <v>561</v>
      </c>
      <c r="C211" s="992"/>
      <c r="D211" s="992"/>
      <c r="E211" s="993"/>
      <c r="F211" s="410">
        <v>4193</v>
      </c>
      <c r="G211" s="381">
        <f t="shared" si="429"/>
        <v>4193</v>
      </c>
      <c r="H211" s="371"/>
      <c r="I211" s="371"/>
      <c r="J211" s="78">
        <f t="shared" si="436"/>
        <v>4268</v>
      </c>
      <c r="K211" s="381">
        <f t="shared" si="437"/>
        <v>4268</v>
      </c>
      <c r="L211" s="421">
        <f t="shared" si="438"/>
        <v>4248</v>
      </c>
      <c r="M211" s="381">
        <f t="shared" si="433"/>
        <v>4248</v>
      </c>
      <c r="N211" s="421">
        <f t="shared" si="439"/>
        <v>4229</v>
      </c>
      <c r="O211" s="381">
        <f t="shared" si="435"/>
        <v>4229</v>
      </c>
      <c r="P211" s="421">
        <f t="shared" si="440"/>
        <v>4225</v>
      </c>
      <c r="Q211" s="381">
        <f t="shared" si="441"/>
        <v>4225</v>
      </c>
      <c r="R211" s="421">
        <f t="shared" si="442"/>
        <v>4217</v>
      </c>
      <c r="S211" s="381">
        <f t="shared" si="443"/>
        <v>4217</v>
      </c>
      <c r="T211" s="421">
        <f t="shared" si="444"/>
        <v>4214</v>
      </c>
      <c r="U211" s="381">
        <f t="shared" si="445"/>
        <v>4214</v>
      </c>
      <c r="V211" s="421">
        <f t="shared" si="446"/>
        <v>4211</v>
      </c>
      <c r="W211" s="381">
        <f t="shared" si="447"/>
        <v>4211</v>
      </c>
      <c r="X211" s="150"/>
      <c r="Y211" s="150"/>
      <c r="Z211" s="150"/>
      <c r="AA211" s="150"/>
      <c r="AB211" s="635" t="s">
        <v>563</v>
      </c>
    </row>
    <row r="212" spans="1:28" ht="12.6" customHeight="1">
      <c r="A212" s="20"/>
      <c r="B212" s="713" t="s">
        <v>496</v>
      </c>
      <c r="C212" s="760"/>
      <c r="D212" s="760"/>
      <c r="E212" s="760"/>
      <c r="F212" s="382">
        <v>3744</v>
      </c>
      <c r="G212" s="382">
        <f t="shared" ref="G212" si="448">+F212*$X$1</f>
        <v>3744</v>
      </c>
      <c r="H212" s="370"/>
      <c r="I212" s="370"/>
      <c r="J212" s="98">
        <f t="shared" si="436"/>
        <v>3819</v>
      </c>
      <c r="K212" s="382">
        <f t="shared" si="437"/>
        <v>3819</v>
      </c>
      <c r="L212" s="528">
        <f t="shared" si="438"/>
        <v>3799</v>
      </c>
      <c r="M212" s="382">
        <f t="shared" si="433"/>
        <v>3799</v>
      </c>
      <c r="N212" s="528">
        <f t="shared" si="439"/>
        <v>3780</v>
      </c>
      <c r="O212" s="382">
        <f t="shared" si="435"/>
        <v>3780</v>
      </c>
      <c r="P212" s="528">
        <f t="shared" si="440"/>
        <v>3776</v>
      </c>
      <c r="Q212" s="382">
        <f t="shared" si="441"/>
        <v>3776</v>
      </c>
      <c r="R212" s="528">
        <f t="shared" si="442"/>
        <v>3768</v>
      </c>
      <c r="S212" s="382">
        <f t="shared" si="443"/>
        <v>3768</v>
      </c>
      <c r="T212" s="528">
        <f t="shared" si="444"/>
        <v>3765</v>
      </c>
      <c r="U212" s="382">
        <f t="shared" si="445"/>
        <v>3765</v>
      </c>
      <c r="V212" s="528">
        <f t="shared" si="446"/>
        <v>3762</v>
      </c>
      <c r="W212" s="382">
        <f t="shared" si="447"/>
        <v>3762</v>
      </c>
      <c r="X212" s="150"/>
      <c r="Y212" s="150"/>
      <c r="Z212" s="150"/>
      <c r="AA212" s="150"/>
      <c r="AB212" s="635">
        <v>553</v>
      </c>
    </row>
    <row r="213" spans="1:28" ht="12.6" customHeight="1">
      <c r="A213" s="20"/>
      <c r="B213" s="702" t="s">
        <v>544</v>
      </c>
      <c r="C213" s="703"/>
      <c r="D213" s="703"/>
      <c r="E213" s="704"/>
      <c r="F213" s="421"/>
      <c r="G213" s="421"/>
      <c r="H213" s="421"/>
      <c r="I213" s="421"/>
      <c r="J213" s="421"/>
      <c r="K213" s="421"/>
      <c r="L213" s="421"/>
      <c r="M213" s="421"/>
      <c r="N213" s="421"/>
      <c r="O213" s="421"/>
      <c r="P213" s="421"/>
      <c r="Q213" s="421"/>
      <c r="R213" s="78"/>
      <c r="S213" s="78"/>
      <c r="T213" s="78"/>
      <c r="U213" s="78"/>
      <c r="V213" s="78"/>
      <c r="W213" s="78"/>
      <c r="X213" s="173"/>
      <c r="Y213" s="155"/>
      <c r="Z213" s="150"/>
      <c r="AA213" s="150"/>
      <c r="AB213" s="635">
        <v>563</v>
      </c>
    </row>
    <row r="214" spans="1:28" ht="12.6" customHeight="1">
      <c r="A214" s="20"/>
      <c r="B214" s="713" t="s">
        <v>208</v>
      </c>
      <c r="C214" s="760"/>
      <c r="D214" s="760"/>
      <c r="E214" s="760"/>
      <c r="F214" s="112"/>
      <c r="G214" s="103"/>
      <c r="H214" s="112"/>
      <c r="I214" s="103"/>
      <c r="J214" s="112"/>
      <c r="K214" s="103"/>
      <c r="L214" s="112"/>
      <c r="M214" s="103"/>
      <c r="N214" s="112"/>
      <c r="O214" s="103"/>
      <c r="P214" s="112"/>
      <c r="Q214" s="103"/>
      <c r="R214" s="99"/>
      <c r="S214" s="97"/>
      <c r="T214" s="99"/>
      <c r="U214" s="97"/>
      <c r="V214" s="99"/>
      <c r="W214" s="445"/>
      <c r="X214" s="813"/>
      <c r="Y214" s="814"/>
      <c r="Z214" s="814"/>
      <c r="AA214" s="814"/>
      <c r="AB214" s="635">
        <v>572</v>
      </c>
    </row>
    <row r="215" spans="1:28" ht="12.6" customHeight="1">
      <c r="A215" s="20"/>
      <c r="B215" s="946" t="s">
        <v>811</v>
      </c>
      <c r="C215" s="947"/>
      <c r="D215" s="947"/>
      <c r="E215" s="947"/>
      <c r="F215" s="542">
        <f>7.36*X2</f>
        <v>6351.68</v>
      </c>
      <c r="G215" s="411">
        <f t="shared" ref="G215" si="449">+F215*$X$1</f>
        <v>6351.68</v>
      </c>
      <c r="H215" s="371"/>
      <c r="I215" s="371"/>
      <c r="J215" s="78">
        <f t="shared" ref="J215" si="450">F215+75</f>
        <v>6426.68</v>
      </c>
      <c r="K215" s="381">
        <f t="shared" ref="K215" si="451">+J215*$X$1</f>
        <v>6426.68</v>
      </c>
      <c r="L215" s="421">
        <f t="shared" ref="L215" si="452">F215+55</f>
        <v>6406.68</v>
      </c>
      <c r="M215" s="381">
        <f t="shared" ref="M215" si="453">+L215*$X$1</f>
        <v>6406.68</v>
      </c>
      <c r="N215" s="421">
        <f t="shared" ref="N215" si="454">F215+36</f>
        <v>6387.68</v>
      </c>
      <c r="O215" s="381">
        <f t="shared" ref="O215" si="455">+N215*$X$1</f>
        <v>6387.68</v>
      </c>
      <c r="P215" s="421">
        <f t="shared" ref="P215" si="456">F215+32</f>
        <v>6383.68</v>
      </c>
      <c r="Q215" s="381">
        <f t="shared" ref="Q215" si="457">+P215*$X$1</f>
        <v>6383.68</v>
      </c>
      <c r="R215" s="421">
        <f t="shared" ref="R215" si="458">F215+24</f>
        <v>6375.68</v>
      </c>
      <c r="S215" s="381">
        <f t="shared" ref="S215" si="459">+R215*$X$1</f>
        <v>6375.68</v>
      </c>
      <c r="T215" s="421">
        <f t="shared" ref="T215" si="460">F215+21</f>
        <v>6372.68</v>
      </c>
      <c r="U215" s="381">
        <f t="shared" ref="U215" si="461">+T215*$X$1</f>
        <v>6372.68</v>
      </c>
      <c r="V215" s="421">
        <f t="shared" ref="V215" si="462">F215+18</f>
        <v>6369.68</v>
      </c>
      <c r="W215" s="381">
        <f t="shared" ref="W215" si="463">+V215*$X$1</f>
        <v>6369.68</v>
      </c>
      <c r="X215" s="170"/>
      <c r="Y215" s="170"/>
      <c r="Z215" s="170"/>
      <c r="AA215" s="170"/>
      <c r="AB215" s="635">
        <v>616</v>
      </c>
    </row>
    <row r="216" spans="1:28" ht="12.6" customHeight="1">
      <c r="A216" s="20"/>
      <c r="B216" s="986" t="s">
        <v>433</v>
      </c>
      <c r="C216" s="987"/>
      <c r="D216" s="987"/>
      <c r="E216" s="987"/>
      <c r="F216" s="602">
        <v>160</v>
      </c>
      <c r="G216" s="450">
        <f t="shared" ref="G216:G219" si="464">+F216*$X$1</f>
        <v>160</v>
      </c>
      <c r="H216" s="378"/>
      <c r="I216" s="463"/>
      <c r="J216" s="114">
        <f>F216+75</f>
        <v>235</v>
      </c>
      <c r="K216" s="450">
        <f>+J216*$X$1</f>
        <v>235</v>
      </c>
      <c r="L216" s="527">
        <f t="shared" ref="L216:L223" si="465">F216+55</f>
        <v>215</v>
      </c>
      <c r="M216" s="450">
        <f t="shared" ref="M216:M225" si="466">+L216*$X$1</f>
        <v>215</v>
      </c>
      <c r="N216" s="527">
        <f t="shared" ref="N216:N223" si="467">F216+36</f>
        <v>196</v>
      </c>
      <c r="O216" s="450">
        <f t="shared" ref="O216" si="468">+N216*$X$1</f>
        <v>196</v>
      </c>
      <c r="P216" s="126"/>
      <c r="Q216" s="126"/>
      <c r="R216" s="126"/>
      <c r="S216" s="126"/>
      <c r="T216" s="126"/>
      <c r="U216" s="126"/>
      <c r="V216" s="114"/>
      <c r="W216" s="114"/>
      <c r="X216" s="170"/>
      <c r="Y216" s="170"/>
      <c r="Z216" s="170"/>
      <c r="AA216" s="170"/>
      <c r="AB216" s="635">
        <v>618</v>
      </c>
    </row>
    <row r="217" spans="1:28" ht="12.6" customHeight="1">
      <c r="A217" s="116"/>
      <c r="B217" s="752" t="s">
        <v>607</v>
      </c>
      <c r="C217" s="753"/>
      <c r="D217" s="753"/>
      <c r="E217" s="753"/>
      <c r="F217" s="602">
        <v>250</v>
      </c>
      <c r="G217" s="450">
        <f t="shared" si="464"/>
        <v>250</v>
      </c>
      <c r="H217" s="126"/>
      <c r="I217" s="450"/>
      <c r="J217" s="378"/>
      <c r="K217" s="463"/>
      <c r="L217" s="527">
        <f t="shared" si="465"/>
        <v>305</v>
      </c>
      <c r="M217" s="450">
        <f t="shared" si="466"/>
        <v>305</v>
      </c>
      <c r="N217" s="527">
        <f t="shared" si="467"/>
        <v>286</v>
      </c>
      <c r="O217" s="450">
        <f>+N217*$X$1</f>
        <v>286</v>
      </c>
      <c r="P217" s="126">
        <f>F217+5.1</f>
        <v>255.1</v>
      </c>
      <c r="Q217" s="1012" t="s">
        <v>155</v>
      </c>
      <c r="R217" s="1013"/>
      <c r="S217" s="1013"/>
      <c r="T217" s="1013"/>
      <c r="U217" s="1013"/>
      <c r="V217" s="1013"/>
      <c r="W217" s="1013"/>
      <c r="X217" s="151"/>
      <c r="Y217" s="170"/>
      <c r="Z217" s="170"/>
      <c r="AA217" s="170"/>
      <c r="AB217" s="635">
        <v>621</v>
      </c>
    </row>
    <row r="218" spans="1:28" ht="12.6" customHeight="1">
      <c r="A218" s="23"/>
      <c r="B218" s="697" t="s">
        <v>209</v>
      </c>
      <c r="C218" s="719"/>
      <c r="D218" s="719"/>
      <c r="E218" s="719"/>
      <c r="F218" s="536">
        <f>3.207*X2</f>
        <v>2767.6410000000001</v>
      </c>
      <c r="G218" s="381">
        <f>+F218*$X$1</f>
        <v>2767.6410000000001</v>
      </c>
      <c r="H218" s="425"/>
      <c r="I218" s="464"/>
      <c r="J218" s="78">
        <f t="shared" ref="J218:J223" si="469">F218+75</f>
        <v>2842.6410000000001</v>
      </c>
      <c r="K218" s="381">
        <f t="shared" ref="K218:K223" si="470">+J218*$X$1</f>
        <v>2842.6410000000001</v>
      </c>
      <c r="L218" s="421">
        <f t="shared" si="465"/>
        <v>2822.6410000000001</v>
      </c>
      <c r="M218" s="381">
        <f t="shared" si="466"/>
        <v>2822.6410000000001</v>
      </c>
      <c r="N218" s="421">
        <f t="shared" si="467"/>
        <v>2803.6410000000001</v>
      </c>
      <c r="O218" s="381">
        <f t="shared" ref="O218:O223" si="471">+N218*$X$1</f>
        <v>2803.6410000000001</v>
      </c>
      <c r="P218" s="421">
        <f t="shared" ref="P218:P223" si="472">F218+32</f>
        <v>2799.6410000000001</v>
      </c>
      <c r="Q218" s="381">
        <f t="shared" ref="Q218:Q223" si="473">+P218*$X$1</f>
        <v>2799.6410000000001</v>
      </c>
      <c r="R218" s="421">
        <f t="shared" ref="R218:R223" si="474">F218+24</f>
        <v>2791.6410000000001</v>
      </c>
      <c r="S218" s="381">
        <f t="shared" ref="S218:S223" si="475">+R218*$X$1</f>
        <v>2791.6410000000001</v>
      </c>
      <c r="T218" s="421">
        <f t="shared" ref="T218:T223" si="476">F218+21</f>
        <v>2788.6410000000001</v>
      </c>
      <c r="U218" s="381">
        <f t="shared" ref="U218:U223" si="477">+T218*$X$1</f>
        <v>2788.6410000000001</v>
      </c>
      <c r="V218" s="421">
        <f t="shared" ref="V218:V223" si="478">F218+18</f>
        <v>2785.6410000000001</v>
      </c>
      <c r="W218" s="381">
        <f t="shared" ref="W218:W223" si="479">+V218*$X$1</f>
        <v>2785.6410000000001</v>
      </c>
      <c r="X218" s="170"/>
      <c r="Y218" s="179"/>
      <c r="Z218" s="170"/>
      <c r="AA218" s="170"/>
      <c r="AB218" s="635">
        <v>624</v>
      </c>
    </row>
    <row r="219" spans="1:28" ht="12.6" customHeight="1">
      <c r="A219" s="23"/>
      <c r="B219" s="807" t="s">
        <v>210</v>
      </c>
      <c r="C219" s="931"/>
      <c r="D219" s="931"/>
      <c r="E219" s="931"/>
      <c r="F219" s="537">
        <f>5.529*X2</f>
        <v>4771.527</v>
      </c>
      <c r="G219" s="382">
        <f t="shared" si="464"/>
        <v>4771.527</v>
      </c>
      <c r="H219" s="380"/>
      <c r="I219" s="465"/>
      <c r="J219" s="98">
        <f t="shared" si="469"/>
        <v>4846.527</v>
      </c>
      <c r="K219" s="382">
        <f t="shared" si="470"/>
        <v>4846.527</v>
      </c>
      <c r="L219" s="528">
        <f t="shared" si="465"/>
        <v>4826.527</v>
      </c>
      <c r="M219" s="382">
        <f t="shared" si="466"/>
        <v>4826.527</v>
      </c>
      <c r="N219" s="528">
        <f t="shared" si="467"/>
        <v>4807.527</v>
      </c>
      <c r="O219" s="382">
        <f t="shared" si="471"/>
        <v>4807.527</v>
      </c>
      <c r="P219" s="528">
        <f t="shared" si="472"/>
        <v>4803.527</v>
      </c>
      <c r="Q219" s="382">
        <f t="shared" si="473"/>
        <v>4803.527</v>
      </c>
      <c r="R219" s="528">
        <f t="shared" si="474"/>
        <v>4795.527</v>
      </c>
      <c r="S219" s="382">
        <f t="shared" si="475"/>
        <v>4795.527</v>
      </c>
      <c r="T219" s="528">
        <f t="shared" si="476"/>
        <v>4792.527</v>
      </c>
      <c r="U219" s="382">
        <f t="shared" si="477"/>
        <v>4792.527</v>
      </c>
      <c r="V219" s="528">
        <f t="shared" si="478"/>
        <v>4789.527</v>
      </c>
      <c r="W219" s="382">
        <f t="shared" si="479"/>
        <v>4789.527</v>
      </c>
      <c r="X219" s="170"/>
      <c r="Y219" s="179"/>
      <c r="Z219" s="170"/>
      <c r="AA219" s="170"/>
      <c r="AB219" s="635" t="s">
        <v>211</v>
      </c>
    </row>
    <row r="220" spans="1:28" ht="12.6" customHeight="1">
      <c r="A220" s="23"/>
      <c r="B220" s="702" t="s">
        <v>212</v>
      </c>
      <c r="C220" s="703"/>
      <c r="D220" s="703"/>
      <c r="E220" s="704"/>
      <c r="F220" s="536">
        <f>6.12*X2</f>
        <v>5281.56</v>
      </c>
      <c r="G220" s="381">
        <f t="shared" ref="G220:G225" si="480">+F220*$X$1</f>
        <v>5281.56</v>
      </c>
      <c r="H220" s="425"/>
      <c r="I220" s="464"/>
      <c r="J220" s="78">
        <f t="shared" si="469"/>
        <v>5356.56</v>
      </c>
      <c r="K220" s="381">
        <f t="shared" si="470"/>
        <v>5356.56</v>
      </c>
      <c r="L220" s="421">
        <f t="shared" si="465"/>
        <v>5336.56</v>
      </c>
      <c r="M220" s="381">
        <f t="shared" si="466"/>
        <v>5336.56</v>
      </c>
      <c r="N220" s="421">
        <f t="shared" si="467"/>
        <v>5317.56</v>
      </c>
      <c r="O220" s="381">
        <f t="shared" si="471"/>
        <v>5317.56</v>
      </c>
      <c r="P220" s="421">
        <f t="shared" si="472"/>
        <v>5313.56</v>
      </c>
      <c r="Q220" s="381">
        <f t="shared" si="473"/>
        <v>5313.56</v>
      </c>
      <c r="R220" s="421">
        <f t="shared" si="474"/>
        <v>5305.56</v>
      </c>
      <c r="S220" s="381">
        <f t="shared" si="475"/>
        <v>5305.56</v>
      </c>
      <c r="T220" s="421">
        <f t="shared" si="476"/>
        <v>5302.56</v>
      </c>
      <c r="U220" s="381">
        <f t="shared" si="477"/>
        <v>5302.56</v>
      </c>
      <c r="V220" s="421">
        <f t="shared" si="478"/>
        <v>5299.56</v>
      </c>
      <c r="W220" s="381">
        <f t="shared" si="479"/>
        <v>5299.56</v>
      </c>
      <c r="X220" s="170"/>
      <c r="Y220" s="179"/>
      <c r="Z220" s="170"/>
      <c r="AA220" s="170"/>
      <c r="AB220" s="635">
        <v>629</v>
      </c>
    </row>
    <row r="221" spans="1:28" ht="12.6" customHeight="1">
      <c r="A221" s="23"/>
      <c r="B221" s="699" t="s">
        <v>508</v>
      </c>
      <c r="C221" s="724"/>
      <c r="D221" s="724"/>
      <c r="E221" s="725"/>
      <c r="F221" s="537">
        <f>10.631*X2</f>
        <v>9174.5529999999999</v>
      </c>
      <c r="G221" s="382">
        <f t="shared" si="480"/>
        <v>9174.5529999999999</v>
      </c>
      <c r="H221" s="380"/>
      <c r="I221" s="465"/>
      <c r="J221" s="98">
        <f t="shared" si="469"/>
        <v>9249.5529999999999</v>
      </c>
      <c r="K221" s="382">
        <f t="shared" si="470"/>
        <v>9249.5529999999999</v>
      </c>
      <c r="L221" s="528">
        <f t="shared" si="465"/>
        <v>9229.5529999999999</v>
      </c>
      <c r="M221" s="382">
        <f t="shared" si="466"/>
        <v>9229.5529999999999</v>
      </c>
      <c r="N221" s="528">
        <f t="shared" si="467"/>
        <v>9210.5529999999999</v>
      </c>
      <c r="O221" s="382">
        <f t="shared" si="471"/>
        <v>9210.5529999999999</v>
      </c>
      <c r="P221" s="528">
        <f t="shared" si="472"/>
        <v>9206.5529999999999</v>
      </c>
      <c r="Q221" s="382">
        <f t="shared" si="473"/>
        <v>9206.5529999999999</v>
      </c>
      <c r="R221" s="528">
        <f t="shared" si="474"/>
        <v>9198.5529999999999</v>
      </c>
      <c r="S221" s="382">
        <f t="shared" si="475"/>
        <v>9198.5529999999999</v>
      </c>
      <c r="T221" s="528">
        <f t="shared" si="476"/>
        <v>9195.5529999999999</v>
      </c>
      <c r="U221" s="382">
        <f t="shared" si="477"/>
        <v>9195.5529999999999</v>
      </c>
      <c r="V221" s="528">
        <f t="shared" si="478"/>
        <v>9192.5529999999999</v>
      </c>
      <c r="W221" s="382">
        <f t="shared" si="479"/>
        <v>9192.5529999999999</v>
      </c>
      <c r="X221" s="170"/>
      <c r="Y221" s="179"/>
      <c r="Z221" s="170"/>
      <c r="AA221" s="170"/>
      <c r="AB221" s="635">
        <v>630</v>
      </c>
    </row>
    <row r="222" spans="1:28" ht="12.6" customHeight="1">
      <c r="A222" s="23"/>
      <c r="B222" s="702" t="s">
        <v>677</v>
      </c>
      <c r="C222" s="703"/>
      <c r="D222" s="703"/>
      <c r="E222" s="704"/>
      <c r="F222" s="536">
        <f>1.326*X2</f>
        <v>1144.338</v>
      </c>
      <c r="G222" s="383">
        <f t="shared" ref="G222" si="481">+F222*$X$1</f>
        <v>1144.338</v>
      </c>
      <c r="H222" s="425"/>
      <c r="I222" s="474"/>
      <c r="J222" s="78">
        <f t="shared" si="469"/>
        <v>1219.338</v>
      </c>
      <c r="K222" s="381">
        <f t="shared" si="470"/>
        <v>1219.338</v>
      </c>
      <c r="L222" s="421">
        <f t="shared" si="465"/>
        <v>1199.338</v>
      </c>
      <c r="M222" s="381">
        <f t="shared" si="466"/>
        <v>1199.338</v>
      </c>
      <c r="N222" s="421">
        <f t="shared" si="467"/>
        <v>1180.338</v>
      </c>
      <c r="O222" s="381">
        <f t="shared" si="471"/>
        <v>1180.338</v>
      </c>
      <c r="P222" s="421">
        <f t="shared" si="472"/>
        <v>1176.338</v>
      </c>
      <c r="Q222" s="381">
        <f t="shared" si="473"/>
        <v>1176.338</v>
      </c>
      <c r="R222" s="421">
        <f t="shared" si="474"/>
        <v>1168.338</v>
      </c>
      <c r="S222" s="381">
        <f t="shared" si="475"/>
        <v>1168.338</v>
      </c>
      <c r="T222" s="421">
        <f t="shared" si="476"/>
        <v>1165.338</v>
      </c>
      <c r="U222" s="381">
        <f t="shared" si="477"/>
        <v>1165.338</v>
      </c>
      <c r="V222" s="421">
        <f t="shared" si="478"/>
        <v>1162.338</v>
      </c>
      <c r="W222" s="381">
        <f t="shared" si="479"/>
        <v>1162.338</v>
      </c>
      <c r="X222" s="170"/>
      <c r="Y222" s="179"/>
      <c r="Z222" s="170"/>
      <c r="AA222" s="170"/>
      <c r="AB222" s="635">
        <v>631</v>
      </c>
    </row>
    <row r="223" spans="1:28" ht="12.6" customHeight="1">
      <c r="A223" s="23"/>
      <c r="B223" s="699" t="s">
        <v>633</v>
      </c>
      <c r="C223" s="724"/>
      <c r="D223" s="724"/>
      <c r="E223" s="725"/>
      <c r="F223" s="537">
        <f>1.474*X2</f>
        <v>1272.0619999999999</v>
      </c>
      <c r="G223" s="384">
        <f t="shared" si="480"/>
        <v>1272.0619999999999</v>
      </c>
      <c r="H223" s="380"/>
      <c r="I223" s="475"/>
      <c r="J223" s="98">
        <f t="shared" si="469"/>
        <v>1347.0619999999999</v>
      </c>
      <c r="K223" s="382">
        <f t="shared" si="470"/>
        <v>1347.0619999999999</v>
      </c>
      <c r="L223" s="528">
        <f t="shared" si="465"/>
        <v>1327.0619999999999</v>
      </c>
      <c r="M223" s="382">
        <f t="shared" si="466"/>
        <v>1327.0619999999999</v>
      </c>
      <c r="N223" s="528">
        <f t="shared" si="467"/>
        <v>1308.0619999999999</v>
      </c>
      <c r="O223" s="382">
        <f t="shared" si="471"/>
        <v>1308.0619999999999</v>
      </c>
      <c r="P223" s="528">
        <f t="shared" si="472"/>
        <v>1304.0619999999999</v>
      </c>
      <c r="Q223" s="382">
        <f t="shared" si="473"/>
        <v>1304.0619999999999</v>
      </c>
      <c r="R223" s="528">
        <f t="shared" si="474"/>
        <v>1296.0619999999999</v>
      </c>
      <c r="S223" s="382">
        <f t="shared" si="475"/>
        <v>1296.0619999999999</v>
      </c>
      <c r="T223" s="528">
        <f t="shared" si="476"/>
        <v>1293.0619999999999</v>
      </c>
      <c r="U223" s="382">
        <f t="shared" si="477"/>
        <v>1293.0619999999999</v>
      </c>
      <c r="V223" s="528">
        <f t="shared" si="478"/>
        <v>1290.0619999999999</v>
      </c>
      <c r="W223" s="382">
        <f t="shared" si="479"/>
        <v>1290.0619999999999</v>
      </c>
      <c r="X223" s="170"/>
      <c r="Y223" s="179"/>
      <c r="Z223" s="170"/>
      <c r="AA223" s="170"/>
      <c r="AB223" s="635">
        <v>640</v>
      </c>
    </row>
    <row r="224" spans="1:28" ht="12.6" customHeight="1">
      <c r="A224" s="23"/>
      <c r="B224" s="702" t="s">
        <v>655</v>
      </c>
      <c r="C224" s="703"/>
      <c r="D224" s="703"/>
      <c r="E224" s="704"/>
      <c r="F224" s="536">
        <f>21.95*X2</f>
        <v>18942.849999999999</v>
      </c>
      <c r="G224" s="383">
        <f t="shared" si="480"/>
        <v>18942.849999999999</v>
      </c>
      <c r="H224" s="78">
        <f t="shared" ref="H224" si="482">F224+190</f>
        <v>19132.849999999999</v>
      </c>
      <c r="I224" s="381">
        <f t="shared" ref="I224" si="483">+H224*$X$1</f>
        <v>19132.849999999999</v>
      </c>
      <c r="J224" s="421">
        <f t="shared" ref="J224" si="484">F224+70</f>
        <v>19012.849999999999</v>
      </c>
      <c r="K224" s="381">
        <f t="shared" ref="K224:K225" si="485">+J224*$X$1</f>
        <v>19012.849999999999</v>
      </c>
      <c r="L224" s="421">
        <f t="shared" ref="L224" si="486">F224+60</f>
        <v>19002.849999999999</v>
      </c>
      <c r="M224" s="381">
        <f t="shared" si="466"/>
        <v>19002.849999999999</v>
      </c>
      <c r="N224" s="421">
        <f t="shared" ref="N224" si="487">F224+50</f>
        <v>18992.849999999999</v>
      </c>
      <c r="O224" s="381">
        <f t="shared" ref="O224:O229" si="488">+N224*$X$1</f>
        <v>18992.849999999999</v>
      </c>
      <c r="P224" s="421">
        <f t="shared" ref="P224" si="489">F224+48</f>
        <v>18990.849999999999</v>
      </c>
      <c r="Q224" s="381">
        <f t="shared" ref="Q224:Q229" si="490">+P224*$X$1</f>
        <v>18990.849999999999</v>
      </c>
      <c r="R224" s="421">
        <f t="shared" ref="R224" si="491">F224+45</f>
        <v>18987.849999999999</v>
      </c>
      <c r="S224" s="381">
        <f t="shared" ref="S224:S229" si="492">+R224*$X$1</f>
        <v>18987.849999999999</v>
      </c>
      <c r="T224" s="421"/>
      <c r="U224" s="381"/>
      <c r="V224" s="421"/>
      <c r="W224" s="381"/>
      <c r="X224" s="170"/>
      <c r="Y224" s="179"/>
      <c r="Z224" s="170"/>
      <c r="AA224" s="170"/>
      <c r="AB224" s="635">
        <v>672</v>
      </c>
    </row>
    <row r="225" spans="1:34" ht="12.6" customHeight="1">
      <c r="A225" s="20"/>
      <c r="B225" s="713" t="s">
        <v>213</v>
      </c>
      <c r="C225" s="714"/>
      <c r="D225" s="714"/>
      <c r="E225" s="714"/>
      <c r="F225" s="537">
        <f>6.848*X2</f>
        <v>5909.8239999999996</v>
      </c>
      <c r="G225" s="382">
        <f t="shared" si="480"/>
        <v>5909.8239999999996</v>
      </c>
      <c r="H225" s="528">
        <f>F225+190</f>
        <v>6099.8239999999996</v>
      </c>
      <c r="I225" s="382">
        <f>+H225*$X$1</f>
        <v>6099.8239999999996</v>
      </c>
      <c r="J225" s="528">
        <f>F225+65</f>
        <v>5974.8239999999996</v>
      </c>
      <c r="K225" s="382">
        <f t="shared" si="485"/>
        <v>5974.8239999999996</v>
      </c>
      <c r="L225" s="528">
        <f>F225+50</f>
        <v>5959.8239999999996</v>
      </c>
      <c r="M225" s="382">
        <f t="shared" si="466"/>
        <v>5959.8239999999996</v>
      </c>
      <c r="N225" s="528">
        <f>F225+36</f>
        <v>5945.8239999999996</v>
      </c>
      <c r="O225" s="382">
        <f t="shared" si="488"/>
        <v>5945.8239999999996</v>
      </c>
      <c r="P225" s="528">
        <f>F225+33</f>
        <v>5942.8239999999996</v>
      </c>
      <c r="Q225" s="382">
        <f t="shared" si="490"/>
        <v>5942.8239999999996</v>
      </c>
      <c r="R225" s="528">
        <f>F225+30</f>
        <v>5939.8239999999996</v>
      </c>
      <c r="S225" s="382">
        <f t="shared" si="492"/>
        <v>5939.8239999999996</v>
      </c>
      <c r="T225" s="528">
        <f>F225+26</f>
        <v>5935.8239999999996</v>
      </c>
      <c r="U225" s="382">
        <f t="shared" ref="U225:U229" si="493">+T225*$X$1</f>
        <v>5935.8239999999996</v>
      </c>
      <c r="V225" s="528">
        <f>F225+22</f>
        <v>5931.8239999999996</v>
      </c>
      <c r="W225" s="382">
        <f t="shared" ref="W225" si="494">+V225*$X$1</f>
        <v>5931.8239999999996</v>
      </c>
      <c r="X225" s="750"/>
      <c r="Y225" s="951"/>
      <c r="Z225" s="951"/>
      <c r="AA225" s="751"/>
      <c r="AB225" s="635">
        <v>705</v>
      </c>
    </row>
    <row r="226" spans="1:34" ht="12.6" customHeight="1">
      <c r="A226" s="20"/>
      <c r="B226" s="697" t="s">
        <v>649</v>
      </c>
      <c r="C226" s="698"/>
      <c r="D226" s="698"/>
      <c r="E226" s="698"/>
      <c r="F226" s="381">
        <v>8450</v>
      </c>
      <c r="G226" s="381">
        <f t="shared" ref="G226" si="495">+F226*$X$1</f>
        <v>8450</v>
      </c>
      <c r="H226" s="421">
        <f>F226+200</f>
        <v>8650</v>
      </c>
      <c r="I226" s="381">
        <f>+H226*$X$1</f>
        <v>8650</v>
      </c>
      <c r="J226" s="78">
        <f>F226+75</f>
        <v>8525</v>
      </c>
      <c r="K226" s="381">
        <f>+J226*$X$1</f>
        <v>8525</v>
      </c>
      <c r="L226" s="421">
        <f>F226+55</f>
        <v>8505</v>
      </c>
      <c r="M226" s="381">
        <f t="shared" ref="M226:M229" si="496">+L226*$X$1</f>
        <v>8505</v>
      </c>
      <c r="N226" s="421">
        <f>F226+36</f>
        <v>8486</v>
      </c>
      <c r="O226" s="381">
        <f t="shared" si="488"/>
        <v>8486</v>
      </c>
      <c r="P226" s="421">
        <f>F226+32</f>
        <v>8482</v>
      </c>
      <c r="Q226" s="381">
        <f t="shared" si="490"/>
        <v>8482</v>
      </c>
      <c r="R226" s="421">
        <f>F226+24</f>
        <v>8474</v>
      </c>
      <c r="S226" s="381">
        <f t="shared" si="492"/>
        <v>8474</v>
      </c>
      <c r="T226" s="421">
        <f>F226+21</f>
        <v>8471</v>
      </c>
      <c r="U226" s="381">
        <f t="shared" si="493"/>
        <v>8471</v>
      </c>
      <c r="V226" s="421">
        <f>F226+18</f>
        <v>8468</v>
      </c>
      <c r="W226" s="381">
        <f t="shared" ref="W226:W229" si="497">+V226*$X$1</f>
        <v>8468</v>
      </c>
      <c r="X226" s="694"/>
      <c r="Y226" s="695"/>
      <c r="Z226" s="695"/>
      <c r="AA226" s="696"/>
      <c r="AB226" s="635">
        <v>815</v>
      </c>
    </row>
    <row r="227" spans="1:34" ht="12.6" customHeight="1">
      <c r="A227" s="20"/>
      <c r="B227" s="944" t="s">
        <v>648</v>
      </c>
      <c r="C227" s="945"/>
      <c r="D227" s="945"/>
      <c r="E227" s="945"/>
      <c r="F227" s="382">
        <v>15890</v>
      </c>
      <c r="G227" s="382">
        <f t="shared" ref="G227" si="498">+F227*$X$1</f>
        <v>15890</v>
      </c>
      <c r="H227" s="574">
        <f>F227+200</f>
        <v>16090</v>
      </c>
      <c r="I227" s="382">
        <f>+H227*$X$1</f>
        <v>16090</v>
      </c>
      <c r="J227" s="98">
        <f>F227+75</f>
        <v>15965</v>
      </c>
      <c r="K227" s="382">
        <f>+J227*$X$1</f>
        <v>15965</v>
      </c>
      <c r="L227" s="574">
        <f>F227+55</f>
        <v>15945</v>
      </c>
      <c r="M227" s="382">
        <f t="shared" si="496"/>
        <v>15945</v>
      </c>
      <c r="N227" s="574">
        <f>F227+36</f>
        <v>15926</v>
      </c>
      <c r="O227" s="382">
        <f t="shared" si="488"/>
        <v>15926</v>
      </c>
      <c r="P227" s="574">
        <f>F227+32</f>
        <v>15922</v>
      </c>
      <c r="Q227" s="382">
        <f t="shared" si="490"/>
        <v>15922</v>
      </c>
      <c r="R227" s="574">
        <f>F227+24</f>
        <v>15914</v>
      </c>
      <c r="S227" s="382">
        <f t="shared" si="492"/>
        <v>15914</v>
      </c>
      <c r="T227" s="574">
        <f>F227+21</f>
        <v>15911</v>
      </c>
      <c r="U227" s="382">
        <f t="shared" si="493"/>
        <v>15911</v>
      </c>
      <c r="V227" s="574">
        <f>F227+18</f>
        <v>15908</v>
      </c>
      <c r="W227" s="382">
        <f t="shared" si="497"/>
        <v>15908</v>
      </c>
      <c r="X227" s="694"/>
      <c r="Y227" s="695"/>
      <c r="Z227" s="695"/>
      <c r="AA227" s="696"/>
      <c r="AB227" s="635">
        <v>819</v>
      </c>
    </row>
    <row r="228" spans="1:34" ht="12.6" customHeight="1">
      <c r="A228" s="20"/>
      <c r="B228" s="944" t="s">
        <v>642</v>
      </c>
      <c r="C228" s="945"/>
      <c r="D228" s="945"/>
      <c r="E228" s="945"/>
      <c r="F228" s="381">
        <v>10923</v>
      </c>
      <c r="G228" s="381">
        <f t="shared" ref="G228:G229" si="499">+F228*$X$1</f>
        <v>10923</v>
      </c>
      <c r="H228" s="421">
        <f>F228+200</f>
        <v>11123</v>
      </c>
      <c r="I228" s="381">
        <f>+H228*$X$1</f>
        <v>11123</v>
      </c>
      <c r="J228" s="78">
        <f>F228+75</f>
        <v>10998</v>
      </c>
      <c r="K228" s="381">
        <f>+J228*$X$1</f>
        <v>10998</v>
      </c>
      <c r="L228" s="421">
        <f>F228+55</f>
        <v>10978</v>
      </c>
      <c r="M228" s="381">
        <f t="shared" si="496"/>
        <v>10978</v>
      </c>
      <c r="N228" s="421">
        <f>F228+36</f>
        <v>10959</v>
      </c>
      <c r="O228" s="381">
        <f t="shared" si="488"/>
        <v>10959</v>
      </c>
      <c r="P228" s="421">
        <f>F228+32</f>
        <v>10955</v>
      </c>
      <c r="Q228" s="381">
        <f t="shared" si="490"/>
        <v>10955</v>
      </c>
      <c r="R228" s="421">
        <f>F228+24</f>
        <v>10947</v>
      </c>
      <c r="S228" s="381">
        <f t="shared" si="492"/>
        <v>10947</v>
      </c>
      <c r="T228" s="421">
        <f>F228+21</f>
        <v>10944</v>
      </c>
      <c r="U228" s="381">
        <f t="shared" si="493"/>
        <v>10944</v>
      </c>
      <c r="V228" s="421">
        <f>F228+18</f>
        <v>10941</v>
      </c>
      <c r="W228" s="381">
        <f t="shared" si="497"/>
        <v>10941</v>
      </c>
      <c r="X228" s="694"/>
      <c r="Y228" s="695"/>
      <c r="Z228" s="695"/>
      <c r="AA228" s="696"/>
      <c r="AB228" s="635">
        <v>823</v>
      </c>
    </row>
    <row r="229" spans="1:34" ht="12.6" customHeight="1">
      <c r="A229" s="20"/>
      <c r="B229" s="944" t="s">
        <v>806</v>
      </c>
      <c r="C229" s="945"/>
      <c r="D229" s="945"/>
      <c r="E229" s="945"/>
      <c r="F229" s="537">
        <f>3.926*X2</f>
        <v>3388.1379999999999</v>
      </c>
      <c r="G229" s="382">
        <f t="shared" si="499"/>
        <v>3388.1379999999999</v>
      </c>
      <c r="H229" s="574">
        <f t="shared" ref="H229" si="500">F229+200</f>
        <v>3588.1379999999999</v>
      </c>
      <c r="I229" s="382">
        <f t="shared" ref="I229" si="501">+H229*$X$1</f>
        <v>3588.1379999999999</v>
      </c>
      <c r="J229" s="98">
        <f t="shared" ref="J229" si="502">F229+75</f>
        <v>3463.1379999999999</v>
      </c>
      <c r="K229" s="382">
        <f t="shared" ref="K229" si="503">+J229*$X$1</f>
        <v>3463.1379999999999</v>
      </c>
      <c r="L229" s="574">
        <f t="shared" ref="L229" si="504">F229+55</f>
        <v>3443.1379999999999</v>
      </c>
      <c r="M229" s="382">
        <f t="shared" si="496"/>
        <v>3443.1379999999999</v>
      </c>
      <c r="N229" s="574">
        <f t="shared" ref="N229" si="505">F229+36</f>
        <v>3424.1379999999999</v>
      </c>
      <c r="O229" s="382">
        <f t="shared" si="488"/>
        <v>3424.1379999999999</v>
      </c>
      <c r="P229" s="574">
        <f t="shared" ref="P229" si="506">F229+32</f>
        <v>3420.1379999999999</v>
      </c>
      <c r="Q229" s="382">
        <f t="shared" si="490"/>
        <v>3420.1379999999999</v>
      </c>
      <c r="R229" s="574">
        <f t="shared" ref="R229" si="507">F229+24</f>
        <v>3412.1379999999999</v>
      </c>
      <c r="S229" s="382">
        <f t="shared" si="492"/>
        <v>3412.1379999999999</v>
      </c>
      <c r="T229" s="574">
        <f t="shared" ref="T229" si="508">F229+21</f>
        <v>3409.1379999999999</v>
      </c>
      <c r="U229" s="382">
        <f t="shared" si="493"/>
        <v>3409.1379999999999</v>
      </c>
      <c r="V229" s="574">
        <f t="shared" ref="V229" si="509">F229+18</f>
        <v>3406.1379999999999</v>
      </c>
      <c r="W229" s="382">
        <f t="shared" si="497"/>
        <v>3406.1379999999999</v>
      </c>
      <c r="X229" s="694"/>
      <c r="Y229" s="695"/>
      <c r="Z229" s="695"/>
      <c r="AA229" s="696"/>
      <c r="AB229" s="635">
        <v>829</v>
      </c>
    </row>
    <row r="230" spans="1:34" ht="12.6" customHeight="1">
      <c r="A230" s="20"/>
      <c r="B230" s="944" t="s">
        <v>730</v>
      </c>
      <c r="C230" s="945"/>
      <c r="D230" s="945"/>
      <c r="E230" s="945"/>
      <c r="F230" s="536">
        <f>14.265*X2</f>
        <v>12310.695</v>
      </c>
      <c r="G230" s="381">
        <f t="shared" ref="G230" si="510">+F230*$X$1</f>
        <v>12310.695</v>
      </c>
      <c r="H230" s="421">
        <f>F230+200</f>
        <v>12510.695</v>
      </c>
      <c r="I230" s="381">
        <f>+H230*$X$1</f>
        <v>12510.695</v>
      </c>
      <c r="J230" s="78">
        <f>F230+75</f>
        <v>12385.695</v>
      </c>
      <c r="K230" s="381">
        <f>+J230*$X$1</f>
        <v>12385.695</v>
      </c>
      <c r="L230" s="421">
        <f>F230+55</f>
        <v>12365.695</v>
      </c>
      <c r="M230" s="381">
        <f t="shared" ref="M230" si="511">+L230*$X$1</f>
        <v>12365.695</v>
      </c>
      <c r="N230" s="421">
        <f>F230+36</f>
        <v>12346.695</v>
      </c>
      <c r="O230" s="381">
        <f t="shared" ref="O230" si="512">+N230*$X$1</f>
        <v>12346.695</v>
      </c>
      <c r="P230" s="421">
        <f>F230+32</f>
        <v>12342.695</v>
      </c>
      <c r="Q230" s="381">
        <f t="shared" ref="Q230" si="513">+P230*$X$1</f>
        <v>12342.695</v>
      </c>
      <c r="R230" s="421">
        <f>F230+24</f>
        <v>12334.695</v>
      </c>
      <c r="S230" s="381">
        <f t="shared" ref="S230" si="514">+R230*$X$1</f>
        <v>12334.695</v>
      </c>
      <c r="T230" s="421">
        <f>F230+21</f>
        <v>12331.695</v>
      </c>
      <c r="U230" s="381">
        <f t="shared" ref="U230" si="515">+T230*$X$1</f>
        <v>12331.695</v>
      </c>
      <c r="V230" s="421">
        <f>F230+18</f>
        <v>12328.695</v>
      </c>
      <c r="W230" s="381">
        <f t="shared" ref="W230" si="516">+V230*$X$1</f>
        <v>12328.695</v>
      </c>
      <c r="X230" s="694"/>
      <c r="Y230" s="695"/>
      <c r="Z230" s="695"/>
      <c r="AA230" s="696"/>
      <c r="AB230" s="635">
        <v>833</v>
      </c>
    </row>
    <row r="231" spans="1:34" ht="12.6" customHeight="1">
      <c r="A231" s="20"/>
      <c r="B231" s="944" t="s">
        <v>801</v>
      </c>
      <c r="C231" s="945"/>
      <c r="D231" s="945"/>
      <c r="E231" s="945"/>
      <c r="F231" s="537">
        <f>9.8*X2</f>
        <v>8457.4000000000015</v>
      </c>
      <c r="G231" s="382">
        <f t="shared" ref="G231:G232" si="517">+F231*$X$1</f>
        <v>8457.4000000000015</v>
      </c>
      <c r="H231" s="574">
        <f>F231+200</f>
        <v>8657.4000000000015</v>
      </c>
      <c r="I231" s="382">
        <f>+H231*$X$1</f>
        <v>8657.4000000000015</v>
      </c>
      <c r="J231" s="98">
        <f>F231+75</f>
        <v>8532.4000000000015</v>
      </c>
      <c r="K231" s="382">
        <f>+J231*$X$1</f>
        <v>8532.4000000000015</v>
      </c>
      <c r="L231" s="574">
        <f>F231+55</f>
        <v>8512.4000000000015</v>
      </c>
      <c r="M231" s="382">
        <f t="shared" ref="M231:M232" si="518">+L231*$X$1</f>
        <v>8512.4000000000015</v>
      </c>
      <c r="N231" s="574">
        <f>F231+36</f>
        <v>8493.4000000000015</v>
      </c>
      <c r="O231" s="382">
        <f t="shared" ref="O231:O232" si="519">+N231*$X$1</f>
        <v>8493.4000000000015</v>
      </c>
      <c r="P231" s="574">
        <f>F231+32</f>
        <v>8489.4000000000015</v>
      </c>
      <c r="Q231" s="382">
        <f t="shared" ref="Q231:Q232" si="520">+P231*$X$1</f>
        <v>8489.4000000000015</v>
      </c>
      <c r="R231" s="574">
        <f>F231+24</f>
        <v>8481.4000000000015</v>
      </c>
      <c r="S231" s="382">
        <f t="shared" ref="S231:S232" si="521">+R231*$X$1</f>
        <v>8481.4000000000015</v>
      </c>
      <c r="T231" s="574">
        <f>F231+21</f>
        <v>8478.4000000000015</v>
      </c>
      <c r="U231" s="382">
        <f t="shared" ref="U231:U232" si="522">+T231*$X$1</f>
        <v>8478.4000000000015</v>
      </c>
      <c r="V231" s="574">
        <f>F231+18</f>
        <v>8475.4000000000015</v>
      </c>
      <c r="W231" s="382">
        <f t="shared" ref="W231:W232" si="523">+V231*$X$1</f>
        <v>8475.4000000000015</v>
      </c>
      <c r="X231" s="694"/>
      <c r="Y231" s="695"/>
      <c r="Z231" s="695"/>
      <c r="AA231" s="696"/>
      <c r="AB231" s="635">
        <v>834</v>
      </c>
    </row>
    <row r="232" spans="1:34" ht="12.6" customHeight="1">
      <c r="A232" s="20"/>
      <c r="B232" s="944" t="s">
        <v>804</v>
      </c>
      <c r="C232" s="945"/>
      <c r="D232" s="945"/>
      <c r="E232" s="945"/>
      <c r="F232" s="536">
        <f>7.87*X2</f>
        <v>6791.81</v>
      </c>
      <c r="G232" s="381">
        <f t="shared" si="517"/>
        <v>6791.81</v>
      </c>
      <c r="H232" s="421">
        <f t="shared" ref="H232" si="524">F232+200</f>
        <v>6991.81</v>
      </c>
      <c r="I232" s="381">
        <f t="shared" ref="I232" si="525">+H232*$X$1</f>
        <v>6991.81</v>
      </c>
      <c r="J232" s="78">
        <f t="shared" ref="J232" si="526">F232+75</f>
        <v>6866.81</v>
      </c>
      <c r="K232" s="381">
        <f t="shared" ref="K232" si="527">+J232*$X$1</f>
        <v>6866.81</v>
      </c>
      <c r="L232" s="421">
        <f t="shared" ref="L232" si="528">F232+55</f>
        <v>6846.81</v>
      </c>
      <c r="M232" s="381">
        <f t="shared" si="518"/>
        <v>6846.81</v>
      </c>
      <c r="N232" s="421">
        <f t="shared" ref="N232" si="529">F232+36</f>
        <v>6827.81</v>
      </c>
      <c r="O232" s="381">
        <f t="shared" si="519"/>
        <v>6827.81</v>
      </c>
      <c r="P232" s="421">
        <f t="shared" ref="P232" si="530">F232+32</f>
        <v>6823.81</v>
      </c>
      <c r="Q232" s="381">
        <f t="shared" si="520"/>
        <v>6823.81</v>
      </c>
      <c r="R232" s="421">
        <f t="shared" ref="R232" si="531">F232+24</f>
        <v>6815.81</v>
      </c>
      <c r="S232" s="381">
        <f t="shared" si="521"/>
        <v>6815.81</v>
      </c>
      <c r="T232" s="421">
        <f t="shared" ref="T232" si="532">F232+21</f>
        <v>6812.81</v>
      </c>
      <c r="U232" s="381">
        <f t="shared" si="522"/>
        <v>6812.81</v>
      </c>
      <c r="V232" s="421">
        <f t="shared" ref="V232" si="533">F232+18</f>
        <v>6809.81</v>
      </c>
      <c r="W232" s="381">
        <f t="shared" si="523"/>
        <v>6809.81</v>
      </c>
      <c r="X232" s="694"/>
      <c r="Y232" s="695"/>
      <c r="Z232" s="695"/>
      <c r="AA232" s="696"/>
      <c r="AB232" s="635">
        <v>836</v>
      </c>
    </row>
    <row r="233" spans="1:34" ht="12.6" customHeight="1">
      <c r="A233" s="20"/>
      <c r="B233" s="713" t="s">
        <v>800</v>
      </c>
      <c r="C233" s="714"/>
      <c r="D233" s="714"/>
      <c r="E233" s="714"/>
      <c r="F233" s="537"/>
      <c r="G233" s="382"/>
      <c r="H233" s="574"/>
      <c r="I233" s="382"/>
      <c r="J233" s="98"/>
      <c r="K233" s="382"/>
      <c r="L233" s="574"/>
      <c r="M233" s="382"/>
      <c r="N233" s="574"/>
      <c r="O233" s="382"/>
      <c r="P233" s="574"/>
      <c r="Q233" s="382"/>
      <c r="R233" s="574"/>
      <c r="S233" s="382"/>
      <c r="T233" s="574"/>
      <c r="U233" s="382"/>
      <c r="V233" s="574"/>
      <c r="W233" s="382"/>
      <c r="X233" s="694"/>
      <c r="Y233" s="695"/>
      <c r="Z233" s="695"/>
      <c r="AA233" s="696"/>
      <c r="AB233" s="635">
        <v>837</v>
      </c>
    </row>
    <row r="234" spans="1:34" ht="12.6" customHeight="1">
      <c r="A234" s="20"/>
      <c r="B234" s="697" t="s">
        <v>617</v>
      </c>
      <c r="C234" s="698"/>
      <c r="D234" s="698"/>
      <c r="E234" s="698"/>
      <c r="F234" s="536">
        <f>9.351*X2</f>
        <v>8069.9130000000005</v>
      </c>
      <c r="G234" s="381">
        <f>+F234*$X$1</f>
        <v>8069.9130000000005</v>
      </c>
      <c r="H234" s="421">
        <f>F234+200</f>
        <v>8269.9130000000005</v>
      </c>
      <c r="I234" s="381">
        <f>+H234*$X$1</f>
        <v>8269.9130000000005</v>
      </c>
      <c r="J234" s="78">
        <f>F234+75</f>
        <v>8144.9130000000005</v>
      </c>
      <c r="K234" s="381">
        <f>+J234*$X$1</f>
        <v>8144.9130000000005</v>
      </c>
      <c r="L234" s="421">
        <f>F234+55</f>
        <v>8124.9130000000005</v>
      </c>
      <c r="M234" s="381">
        <f t="shared" ref="M234" si="534">+L234*$X$1</f>
        <v>8124.9130000000005</v>
      </c>
      <c r="N234" s="421">
        <f>F234+36</f>
        <v>8105.9130000000005</v>
      </c>
      <c r="O234" s="381">
        <f t="shared" ref="O234" si="535">+N234*$X$1</f>
        <v>8105.9130000000005</v>
      </c>
      <c r="P234" s="421">
        <f>F234+32</f>
        <v>8101.9130000000005</v>
      </c>
      <c r="Q234" s="381">
        <f t="shared" ref="Q234" si="536">+P234*$X$1</f>
        <v>8101.9130000000005</v>
      </c>
      <c r="R234" s="421">
        <f>F234+24</f>
        <v>8093.9130000000005</v>
      </c>
      <c r="S234" s="381">
        <f t="shared" ref="S234" si="537">+R234*$X$1</f>
        <v>8093.9130000000005</v>
      </c>
      <c r="T234" s="421">
        <f>F234+21</f>
        <v>8090.9130000000005</v>
      </c>
      <c r="U234" s="381">
        <f t="shared" ref="U234" si="538">+T234*$X$1</f>
        <v>8090.9130000000005</v>
      </c>
      <c r="V234" s="421">
        <f>F234+18</f>
        <v>8087.9130000000005</v>
      </c>
      <c r="W234" s="381">
        <f t="shared" ref="W234" si="539">+V234*$X$1</f>
        <v>8087.9130000000005</v>
      </c>
      <c r="X234" s="694"/>
      <c r="Y234" s="695"/>
      <c r="Z234" s="695"/>
      <c r="AA234" s="696"/>
      <c r="AB234" s="635">
        <v>916</v>
      </c>
    </row>
    <row r="235" spans="1:34" ht="12" customHeight="1">
      <c r="A235" s="20"/>
      <c r="B235" s="3"/>
      <c r="C235" s="3"/>
      <c r="D235" s="3"/>
      <c r="E235" s="3"/>
      <c r="F235" s="4"/>
      <c r="G235" s="4"/>
      <c r="H235" s="3"/>
      <c r="I235" s="3"/>
      <c r="J235" s="3"/>
      <c r="K235" s="192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  <c r="V235" s="193"/>
      <c r="W235" s="193"/>
      <c r="AB235" s="4"/>
    </row>
    <row r="236" spans="1:34" ht="12" customHeight="1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2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AB236" s="4"/>
    </row>
    <row r="237" spans="1:34" ht="12.6" customHeight="1" thickBot="1">
      <c r="A237" s="20"/>
      <c r="B237" s="3"/>
      <c r="C237" s="3"/>
      <c r="D237" s="3"/>
      <c r="E237" s="82"/>
      <c r="F237" s="1002"/>
      <c r="G237" s="1002"/>
      <c r="H237" s="1002"/>
      <c r="I237" s="1002"/>
      <c r="J237" s="1002"/>
      <c r="K237" s="365"/>
      <c r="L237" s="364"/>
      <c r="M237" s="364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AB237" s="4"/>
    </row>
    <row r="238" spans="1:34" ht="15.75" customHeight="1">
      <c r="A238" s="20"/>
      <c r="B238" s="1298" t="s">
        <v>11</v>
      </c>
      <c r="C238" s="999" t="s">
        <v>12</v>
      </c>
      <c r="D238" s="1000"/>
      <c r="E238" s="1000"/>
      <c r="F238" s="787" t="s">
        <v>13</v>
      </c>
      <c r="G238" s="787" t="s">
        <v>13</v>
      </c>
      <c r="H238" s="1019" t="s">
        <v>14</v>
      </c>
      <c r="I238" s="1019"/>
      <c r="J238" s="1020"/>
      <c r="K238" s="1020"/>
      <c r="L238" s="1020"/>
      <c r="M238" s="1020"/>
      <c r="N238" s="1020"/>
      <c r="O238" s="1020"/>
      <c r="P238" s="1020"/>
      <c r="Q238" s="1020"/>
      <c r="R238" s="1020"/>
      <c r="S238" s="1020"/>
      <c r="T238" s="1020"/>
      <c r="U238" s="1020"/>
      <c r="V238" s="1020"/>
      <c r="W238" s="1021"/>
      <c r="X238" s="777" t="s">
        <v>15</v>
      </c>
      <c r="Y238" s="778"/>
      <c r="Z238" s="778"/>
      <c r="AA238" s="778"/>
      <c r="AB238" s="831" t="s">
        <v>16</v>
      </c>
      <c r="AF238" s="815" t="s">
        <v>3</v>
      </c>
      <c r="AG238" s="816"/>
      <c r="AH238" s="816"/>
    </row>
    <row r="239" spans="1:34" ht="11.25" customHeight="1" thickBot="1">
      <c r="A239" s="20"/>
      <c r="B239" s="1299"/>
      <c r="C239" s="1001"/>
      <c r="D239" s="1001"/>
      <c r="E239" s="1001"/>
      <c r="F239" s="788"/>
      <c r="G239" s="788"/>
      <c r="H239" s="329"/>
      <c r="I239" s="326" t="s">
        <v>318</v>
      </c>
      <c r="J239" s="330"/>
      <c r="K239" s="326" t="s">
        <v>18</v>
      </c>
      <c r="L239" s="331"/>
      <c r="M239" s="331" t="s">
        <v>19</v>
      </c>
      <c r="N239" s="331"/>
      <c r="O239" s="326" t="s">
        <v>20</v>
      </c>
      <c r="P239" s="331"/>
      <c r="Q239" s="331" t="s">
        <v>320</v>
      </c>
      <c r="R239" s="331"/>
      <c r="S239" s="331" t="s">
        <v>21</v>
      </c>
      <c r="T239" s="331"/>
      <c r="U239" s="331" t="s">
        <v>22</v>
      </c>
      <c r="V239" s="331"/>
      <c r="W239" s="333" t="s">
        <v>23</v>
      </c>
      <c r="X239" s="779"/>
      <c r="Y239" s="780"/>
      <c r="Z239" s="780"/>
      <c r="AA239" s="780"/>
      <c r="AB239" s="832"/>
    </row>
    <row r="240" spans="1:34" ht="12.6" customHeight="1">
      <c r="A240" s="20"/>
      <c r="B240" s="697" t="s">
        <v>214</v>
      </c>
      <c r="C240" s="698"/>
      <c r="D240" s="698"/>
      <c r="E240" s="698"/>
      <c r="F240" s="536">
        <f>9.312*X2</f>
        <v>8036.2559999999994</v>
      </c>
      <c r="G240" s="381">
        <f t="shared" ref="G240:G243" si="540">+F240*$X$1</f>
        <v>8036.2559999999994</v>
      </c>
      <c r="H240" s="421">
        <f>F240+200</f>
        <v>8236.2559999999994</v>
      </c>
      <c r="I240" s="381">
        <f t="shared" ref="I240:I246" si="541">+H240*$X$1</f>
        <v>8236.2559999999994</v>
      </c>
      <c r="J240" s="78">
        <f t="shared" ref="J240:J253" si="542">F240+75</f>
        <v>8111.2559999999994</v>
      </c>
      <c r="K240" s="381">
        <f t="shared" ref="K240:K243" si="543">+J240*$X$1</f>
        <v>8111.2559999999994</v>
      </c>
      <c r="L240" s="421">
        <f t="shared" ref="L240:L253" si="544">F240+55</f>
        <v>8091.2559999999994</v>
      </c>
      <c r="M240" s="381">
        <f t="shared" ref="M240:M243" si="545">+L240*$X$1</f>
        <v>8091.2559999999994</v>
      </c>
      <c r="N240" s="421">
        <f t="shared" ref="N240:N253" si="546">F240+36</f>
        <v>8072.2559999999994</v>
      </c>
      <c r="O240" s="381">
        <f t="shared" ref="O240:O243" si="547">+N240*$X$1</f>
        <v>8072.2559999999994</v>
      </c>
      <c r="P240" s="421">
        <f t="shared" ref="P240:P253" si="548">F240+32</f>
        <v>8068.2559999999994</v>
      </c>
      <c r="Q240" s="381">
        <f t="shared" ref="Q240:Q243" si="549">+P240*$X$1</f>
        <v>8068.2559999999994</v>
      </c>
      <c r="R240" s="421">
        <f t="shared" ref="R240:R253" si="550">F240+24</f>
        <v>8060.2559999999994</v>
      </c>
      <c r="S240" s="381">
        <f t="shared" ref="S240:S243" si="551">+R240*$X$1</f>
        <v>8060.2559999999994</v>
      </c>
      <c r="T240" s="421">
        <f t="shared" ref="T240:T253" si="552">F240+21</f>
        <v>8057.2559999999994</v>
      </c>
      <c r="U240" s="381">
        <f t="shared" ref="U240:U243" si="553">+T240*$X$1</f>
        <v>8057.2559999999994</v>
      </c>
      <c r="V240" s="421">
        <f t="shared" ref="V240:V253" si="554">F240+18</f>
        <v>8054.2559999999994</v>
      </c>
      <c r="W240" s="381">
        <f t="shared" ref="W240:W243" si="555">+V240*$X$1</f>
        <v>8054.2559999999994</v>
      </c>
      <c r="X240" s="938"/>
      <c r="Y240" s="939"/>
      <c r="Z240" s="939"/>
      <c r="AA240" s="940"/>
      <c r="AB240" s="633">
        <v>918</v>
      </c>
    </row>
    <row r="241" spans="1:38" ht="12.6" customHeight="1">
      <c r="A241" s="20"/>
      <c r="B241" s="713" t="s">
        <v>551</v>
      </c>
      <c r="C241" s="714"/>
      <c r="D241" s="714"/>
      <c r="E241" s="714"/>
      <c r="F241" s="537">
        <f>9.331*X2</f>
        <v>8052.6529999999993</v>
      </c>
      <c r="G241" s="382">
        <f t="shared" si="540"/>
        <v>8052.6529999999993</v>
      </c>
      <c r="H241" s="555">
        <f t="shared" ref="H241:H246" si="556">F241+200</f>
        <v>8252.6529999999984</v>
      </c>
      <c r="I241" s="382">
        <f t="shared" si="541"/>
        <v>8252.6529999999984</v>
      </c>
      <c r="J241" s="98">
        <f t="shared" si="542"/>
        <v>8127.6529999999993</v>
      </c>
      <c r="K241" s="382">
        <f t="shared" si="543"/>
        <v>8127.6529999999993</v>
      </c>
      <c r="L241" s="555">
        <f t="shared" si="544"/>
        <v>8107.6529999999993</v>
      </c>
      <c r="M241" s="382">
        <f t="shared" si="545"/>
        <v>8107.6529999999993</v>
      </c>
      <c r="N241" s="555">
        <f t="shared" si="546"/>
        <v>8088.6529999999993</v>
      </c>
      <c r="O241" s="382">
        <f t="shared" si="547"/>
        <v>8088.6529999999993</v>
      </c>
      <c r="P241" s="555">
        <f t="shared" si="548"/>
        <v>8084.6529999999993</v>
      </c>
      <c r="Q241" s="382">
        <f t="shared" si="549"/>
        <v>8084.6529999999993</v>
      </c>
      <c r="R241" s="555">
        <f t="shared" si="550"/>
        <v>8076.6529999999993</v>
      </c>
      <c r="S241" s="382">
        <f t="shared" si="551"/>
        <v>8076.6529999999993</v>
      </c>
      <c r="T241" s="555">
        <f t="shared" si="552"/>
        <v>8073.6529999999993</v>
      </c>
      <c r="U241" s="382">
        <f t="shared" si="553"/>
        <v>8073.6529999999993</v>
      </c>
      <c r="V241" s="555">
        <f t="shared" si="554"/>
        <v>8070.6529999999993</v>
      </c>
      <c r="W241" s="382">
        <f t="shared" si="555"/>
        <v>8070.6529999999993</v>
      </c>
      <c r="X241" s="694"/>
      <c r="Y241" s="729"/>
      <c r="Z241" s="729"/>
      <c r="AA241" s="696"/>
      <c r="AB241" s="635">
        <v>919</v>
      </c>
    </row>
    <row r="242" spans="1:38" ht="12.6" customHeight="1">
      <c r="A242" s="20"/>
      <c r="B242" s="697" t="s">
        <v>534</v>
      </c>
      <c r="C242" s="698"/>
      <c r="D242" s="698"/>
      <c r="E242" s="698"/>
      <c r="F242" s="536">
        <f>8.31*X2</f>
        <v>7171.5300000000007</v>
      </c>
      <c r="G242" s="381">
        <f t="shared" si="540"/>
        <v>7171.5300000000007</v>
      </c>
      <c r="H242" s="421">
        <f t="shared" si="556"/>
        <v>7371.5300000000007</v>
      </c>
      <c r="I242" s="381">
        <f t="shared" si="541"/>
        <v>7371.5300000000007</v>
      </c>
      <c r="J242" s="78">
        <f t="shared" si="542"/>
        <v>7246.5300000000007</v>
      </c>
      <c r="K242" s="381">
        <f t="shared" si="543"/>
        <v>7246.5300000000007</v>
      </c>
      <c r="L242" s="421">
        <f t="shared" si="544"/>
        <v>7226.5300000000007</v>
      </c>
      <c r="M242" s="381">
        <f t="shared" si="545"/>
        <v>7226.5300000000007</v>
      </c>
      <c r="N242" s="421">
        <f t="shared" si="546"/>
        <v>7207.5300000000007</v>
      </c>
      <c r="O242" s="381">
        <f t="shared" si="547"/>
        <v>7207.5300000000007</v>
      </c>
      <c r="P242" s="421">
        <f t="shared" si="548"/>
        <v>7203.5300000000007</v>
      </c>
      <c r="Q242" s="381">
        <f t="shared" si="549"/>
        <v>7203.5300000000007</v>
      </c>
      <c r="R242" s="421">
        <f t="shared" si="550"/>
        <v>7195.5300000000007</v>
      </c>
      <c r="S242" s="381">
        <f t="shared" si="551"/>
        <v>7195.5300000000007</v>
      </c>
      <c r="T242" s="421">
        <f t="shared" si="552"/>
        <v>7192.5300000000007</v>
      </c>
      <c r="U242" s="381">
        <f t="shared" si="553"/>
        <v>7192.5300000000007</v>
      </c>
      <c r="V242" s="421">
        <f t="shared" si="554"/>
        <v>7189.5300000000007</v>
      </c>
      <c r="W242" s="381">
        <f t="shared" si="555"/>
        <v>7189.5300000000007</v>
      </c>
      <c r="X242" s="694"/>
      <c r="Y242" s="695"/>
      <c r="Z242" s="695"/>
      <c r="AA242" s="696"/>
      <c r="AB242" s="635">
        <v>920</v>
      </c>
    </row>
    <row r="243" spans="1:38" ht="12.6" customHeight="1">
      <c r="A243" s="20"/>
      <c r="B243" s="713" t="s">
        <v>641</v>
      </c>
      <c r="C243" s="714"/>
      <c r="D243" s="714"/>
      <c r="E243" s="714"/>
      <c r="F243" s="537">
        <f>8.1*X2</f>
        <v>6990.2999999999993</v>
      </c>
      <c r="G243" s="382">
        <f t="shared" si="540"/>
        <v>6990.2999999999993</v>
      </c>
      <c r="H243" s="555">
        <f t="shared" ref="H243" si="557">F243+200</f>
        <v>7190.2999999999993</v>
      </c>
      <c r="I243" s="382">
        <f t="shared" ref="I243" si="558">+H243*$X$1</f>
        <v>7190.2999999999993</v>
      </c>
      <c r="J243" s="98">
        <f t="shared" si="542"/>
        <v>7065.2999999999993</v>
      </c>
      <c r="K243" s="382">
        <f t="shared" si="543"/>
        <v>7065.2999999999993</v>
      </c>
      <c r="L243" s="555">
        <f t="shared" si="544"/>
        <v>7045.2999999999993</v>
      </c>
      <c r="M243" s="382">
        <f t="shared" si="545"/>
        <v>7045.2999999999993</v>
      </c>
      <c r="N243" s="555">
        <f t="shared" si="546"/>
        <v>7026.2999999999993</v>
      </c>
      <c r="O243" s="382">
        <f t="shared" si="547"/>
        <v>7026.2999999999993</v>
      </c>
      <c r="P243" s="555">
        <f t="shared" si="548"/>
        <v>7022.2999999999993</v>
      </c>
      <c r="Q243" s="382">
        <f t="shared" si="549"/>
        <v>7022.2999999999993</v>
      </c>
      <c r="R243" s="555">
        <f t="shared" si="550"/>
        <v>7014.2999999999993</v>
      </c>
      <c r="S243" s="382">
        <f t="shared" si="551"/>
        <v>7014.2999999999993</v>
      </c>
      <c r="T243" s="555">
        <f t="shared" si="552"/>
        <v>7011.2999999999993</v>
      </c>
      <c r="U243" s="382">
        <f t="shared" si="553"/>
        <v>7011.2999999999993</v>
      </c>
      <c r="V243" s="555">
        <f t="shared" si="554"/>
        <v>7008.2999999999993</v>
      </c>
      <c r="W243" s="382">
        <f t="shared" si="555"/>
        <v>7008.2999999999993</v>
      </c>
      <c r="X243" s="694"/>
      <c r="Y243" s="695"/>
      <c r="Z243" s="695"/>
      <c r="AA243" s="696"/>
      <c r="AB243" s="635">
        <v>921</v>
      </c>
    </row>
    <row r="244" spans="1:38" ht="12.6" customHeight="1">
      <c r="A244" s="116"/>
      <c r="B244" s="697" t="s">
        <v>533</v>
      </c>
      <c r="C244" s="698"/>
      <c r="D244" s="698"/>
      <c r="E244" s="698"/>
      <c r="F244" s="536">
        <f>7.624*X2</f>
        <v>6579.5119999999997</v>
      </c>
      <c r="G244" s="381">
        <f t="shared" ref="G244:G247" si="559">+F244*$X$1</f>
        <v>6579.5119999999997</v>
      </c>
      <c r="H244" s="421">
        <f t="shared" si="556"/>
        <v>6779.5119999999997</v>
      </c>
      <c r="I244" s="381">
        <f t="shared" si="541"/>
        <v>6779.5119999999997</v>
      </c>
      <c r="J244" s="78">
        <f t="shared" si="542"/>
        <v>6654.5119999999997</v>
      </c>
      <c r="K244" s="381">
        <f t="shared" ref="K244:K247" si="560">+J244*$X$1</f>
        <v>6654.5119999999997</v>
      </c>
      <c r="L244" s="421">
        <f t="shared" si="544"/>
        <v>6634.5119999999997</v>
      </c>
      <c r="M244" s="381">
        <f t="shared" ref="M244:M247" si="561">+L244*$X$1</f>
        <v>6634.5119999999997</v>
      </c>
      <c r="N244" s="421">
        <f t="shared" si="546"/>
        <v>6615.5119999999997</v>
      </c>
      <c r="O244" s="381">
        <f t="shared" ref="O244:O247" si="562">+N244*$X$1</f>
        <v>6615.5119999999997</v>
      </c>
      <c r="P244" s="421">
        <f t="shared" si="548"/>
        <v>6611.5119999999997</v>
      </c>
      <c r="Q244" s="381">
        <f t="shared" ref="Q244:Q247" si="563">+P244*$X$1</f>
        <v>6611.5119999999997</v>
      </c>
      <c r="R244" s="421">
        <f t="shared" si="550"/>
        <v>6603.5119999999997</v>
      </c>
      <c r="S244" s="381">
        <f t="shared" ref="S244:S247" si="564">+R244*$X$1</f>
        <v>6603.5119999999997</v>
      </c>
      <c r="T244" s="421">
        <f t="shared" si="552"/>
        <v>6600.5119999999997</v>
      </c>
      <c r="U244" s="381">
        <f t="shared" ref="U244:U247" si="565">+T244*$X$1</f>
        <v>6600.5119999999997</v>
      </c>
      <c r="V244" s="421">
        <f t="shared" si="554"/>
        <v>6597.5119999999997</v>
      </c>
      <c r="W244" s="381">
        <f t="shared" ref="W244:W247" si="566">+V244*$X$1</f>
        <v>6597.5119999999997</v>
      </c>
      <c r="X244" s="694"/>
      <c r="Y244" s="695"/>
      <c r="Z244" s="695"/>
      <c r="AA244" s="696"/>
      <c r="AB244" s="635">
        <v>928</v>
      </c>
    </row>
    <row r="245" spans="1:38" ht="12.6" customHeight="1">
      <c r="A245" s="20"/>
      <c r="B245" s="713" t="s">
        <v>472</v>
      </c>
      <c r="C245" s="714"/>
      <c r="D245" s="714"/>
      <c r="E245" s="714"/>
      <c r="F245" s="537">
        <f>7.96*X2</f>
        <v>6869.48</v>
      </c>
      <c r="G245" s="382">
        <f t="shared" si="559"/>
        <v>6869.48</v>
      </c>
      <c r="H245" s="110">
        <f>F245+200</f>
        <v>7069.48</v>
      </c>
      <c r="I245" s="382">
        <f>+H245*$X$1</f>
        <v>7069.48</v>
      </c>
      <c r="J245" s="98">
        <f>F245+75</f>
        <v>6944.48</v>
      </c>
      <c r="K245" s="382">
        <f>+J245*$X$1</f>
        <v>6944.48</v>
      </c>
      <c r="L245" s="601">
        <f>F245+55</f>
        <v>6924.48</v>
      </c>
      <c r="M245" s="382">
        <f t="shared" si="561"/>
        <v>6924.48</v>
      </c>
      <c r="N245" s="601">
        <f>F245+36</f>
        <v>6905.48</v>
      </c>
      <c r="O245" s="382">
        <f t="shared" si="562"/>
        <v>6905.48</v>
      </c>
      <c r="P245" s="601">
        <f>F245+32</f>
        <v>6901.48</v>
      </c>
      <c r="Q245" s="382">
        <f t="shared" si="563"/>
        <v>6901.48</v>
      </c>
      <c r="R245" s="601">
        <f>F245+24</f>
        <v>6893.48</v>
      </c>
      <c r="S245" s="382">
        <f t="shared" si="564"/>
        <v>6893.48</v>
      </c>
      <c r="T245" s="601">
        <f>F245+21</f>
        <v>6890.48</v>
      </c>
      <c r="U245" s="382">
        <f t="shared" si="565"/>
        <v>6890.48</v>
      </c>
      <c r="V245" s="601">
        <f>F245+18</f>
        <v>6887.48</v>
      </c>
      <c r="W245" s="382">
        <f t="shared" si="566"/>
        <v>6887.48</v>
      </c>
      <c r="X245" s="694"/>
      <c r="Y245" s="729"/>
      <c r="Z245" s="729"/>
      <c r="AA245" s="696"/>
      <c r="AB245" s="635">
        <v>931</v>
      </c>
    </row>
    <row r="246" spans="1:38" ht="12.6" customHeight="1">
      <c r="A246" s="20"/>
      <c r="B246" s="697" t="s">
        <v>501</v>
      </c>
      <c r="C246" s="698"/>
      <c r="D246" s="698"/>
      <c r="E246" s="698"/>
      <c r="F246" s="536">
        <f>4.407*X2</f>
        <v>3803.241</v>
      </c>
      <c r="G246" s="381">
        <f t="shared" si="559"/>
        <v>3803.241</v>
      </c>
      <c r="H246" s="421">
        <f t="shared" si="556"/>
        <v>4003.241</v>
      </c>
      <c r="I246" s="381">
        <f t="shared" si="541"/>
        <v>4003.241</v>
      </c>
      <c r="J246" s="78">
        <f t="shared" si="542"/>
        <v>3878.241</v>
      </c>
      <c r="K246" s="381">
        <f t="shared" si="560"/>
        <v>3878.241</v>
      </c>
      <c r="L246" s="421">
        <f t="shared" si="544"/>
        <v>3858.241</v>
      </c>
      <c r="M246" s="381">
        <f t="shared" si="561"/>
        <v>3858.241</v>
      </c>
      <c r="N246" s="421">
        <f t="shared" si="546"/>
        <v>3839.241</v>
      </c>
      <c r="O246" s="381">
        <f t="shared" si="562"/>
        <v>3839.241</v>
      </c>
      <c r="P246" s="421">
        <f t="shared" si="548"/>
        <v>3835.241</v>
      </c>
      <c r="Q246" s="381">
        <f t="shared" si="563"/>
        <v>3835.241</v>
      </c>
      <c r="R246" s="421">
        <f t="shared" si="550"/>
        <v>3827.241</v>
      </c>
      <c r="S246" s="381">
        <f t="shared" si="564"/>
        <v>3827.241</v>
      </c>
      <c r="T246" s="421">
        <f t="shared" si="552"/>
        <v>3824.241</v>
      </c>
      <c r="U246" s="381">
        <f t="shared" si="565"/>
        <v>3824.241</v>
      </c>
      <c r="V246" s="421">
        <f t="shared" si="554"/>
        <v>3821.241</v>
      </c>
      <c r="W246" s="381">
        <f t="shared" si="566"/>
        <v>3821.241</v>
      </c>
      <c r="X246" s="694"/>
      <c r="Y246" s="695"/>
      <c r="Z246" s="695"/>
      <c r="AA246" s="696"/>
      <c r="AB246" s="635">
        <v>933</v>
      </c>
    </row>
    <row r="247" spans="1:38" ht="12.6" customHeight="1">
      <c r="A247" s="20"/>
      <c r="B247" s="713" t="s">
        <v>763</v>
      </c>
      <c r="C247" s="714"/>
      <c r="D247" s="714"/>
      <c r="E247" s="714"/>
      <c r="F247" s="537">
        <f>8.31*X2</f>
        <v>7171.5300000000007</v>
      </c>
      <c r="G247" s="382">
        <f t="shared" si="559"/>
        <v>7171.5300000000007</v>
      </c>
      <c r="H247" s="555">
        <f t="shared" ref="H247" si="567">F247+200</f>
        <v>7371.5300000000007</v>
      </c>
      <c r="I247" s="382">
        <f t="shared" ref="I247" si="568">+H247*$X$1</f>
        <v>7371.5300000000007</v>
      </c>
      <c r="J247" s="98">
        <f t="shared" si="542"/>
        <v>7246.5300000000007</v>
      </c>
      <c r="K247" s="382">
        <f t="shared" si="560"/>
        <v>7246.5300000000007</v>
      </c>
      <c r="L247" s="601">
        <f t="shared" si="544"/>
        <v>7226.5300000000007</v>
      </c>
      <c r="M247" s="382">
        <f t="shared" si="561"/>
        <v>7226.5300000000007</v>
      </c>
      <c r="N247" s="601">
        <f t="shared" si="546"/>
        <v>7207.5300000000007</v>
      </c>
      <c r="O247" s="382">
        <f t="shared" si="562"/>
        <v>7207.5300000000007</v>
      </c>
      <c r="P247" s="601">
        <f t="shared" si="548"/>
        <v>7203.5300000000007</v>
      </c>
      <c r="Q247" s="382">
        <f t="shared" si="563"/>
        <v>7203.5300000000007</v>
      </c>
      <c r="R247" s="601">
        <f t="shared" si="550"/>
        <v>7195.5300000000007</v>
      </c>
      <c r="S247" s="382">
        <f t="shared" si="564"/>
        <v>7195.5300000000007</v>
      </c>
      <c r="T247" s="601">
        <f t="shared" si="552"/>
        <v>7192.5300000000007</v>
      </c>
      <c r="U247" s="382">
        <f t="shared" si="565"/>
        <v>7192.5300000000007</v>
      </c>
      <c r="V247" s="601">
        <f t="shared" si="554"/>
        <v>7189.5300000000007</v>
      </c>
      <c r="W247" s="382">
        <f t="shared" si="566"/>
        <v>7189.5300000000007</v>
      </c>
      <c r="X247" s="521"/>
      <c r="Y247" s="521"/>
      <c r="Z247" s="521"/>
      <c r="AA247" s="521"/>
      <c r="AB247" s="635">
        <v>935</v>
      </c>
    </row>
    <row r="248" spans="1:38" ht="12.6" customHeight="1">
      <c r="A248" s="20"/>
      <c r="B248" s="697" t="s">
        <v>805</v>
      </c>
      <c r="C248" s="698"/>
      <c r="D248" s="698"/>
      <c r="E248" s="698"/>
      <c r="F248" s="536">
        <f>10.95*X2</f>
        <v>9449.8499999999985</v>
      </c>
      <c r="G248" s="381">
        <f t="shared" ref="G248" si="569">+F248*$X$1</f>
        <v>9449.8499999999985</v>
      </c>
      <c r="H248" s="572">
        <f>F248+200</f>
        <v>9649.8499999999985</v>
      </c>
      <c r="I248" s="381">
        <f>+H248*$X$1</f>
        <v>9649.8499999999985</v>
      </c>
      <c r="J248" s="78">
        <f>F248+75</f>
        <v>9524.8499999999985</v>
      </c>
      <c r="K248" s="381">
        <f>+J248*$X$1</f>
        <v>9524.8499999999985</v>
      </c>
      <c r="L248" s="421">
        <f>F248+55</f>
        <v>9504.8499999999985</v>
      </c>
      <c r="M248" s="381">
        <f t="shared" ref="M248" si="570">+L248*$X$1</f>
        <v>9504.8499999999985</v>
      </c>
      <c r="N248" s="421">
        <f>F248+36</f>
        <v>9485.8499999999985</v>
      </c>
      <c r="O248" s="381">
        <f t="shared" ref="O248" si="571">+N248*$X$1</f>
        <v>9485.8499999999985</v>
      </c>
      <c r="P248" s="421">
        <f>F248+32</f>
        <v>9481.8499999999985</v>
      </c>
      <c r="Q248" s="381">
        <f t="shared" ref="Q248" si="572">+P248*$X$1</f>
        <v>9481.8499999999985</v>
      </c>
      <c r="R248" s="421">
        <f>F248+24</f>
        <v>9473.8499999999985</v>
      </c>
      <c r="S248" s="381">
        <f t="shared" ref="S248" si="573">+R248*$X$1</f>
        <v>9473.8499999999985</v>
      </c>
      <c r="T248" s="421">
        <f>F248+21</f>
        <v>9470.8499999999985</v>
      </c>
      <c r="U248" s="381">
        <f t="shared" ref="U248" si="574">+T248*$X$1</f>
        <v>9470.8499999999985</v>
      </c>
      <c r="V248" s="421">
        <f>F248+18</f>
        <v>9467.8499999999985</v>
      </c>
      <c r="W248" s="381">
        <f t="shared" ref="W248" si="575">+V248*$X$1</f>
        <v>9467.8499999999985</v>
      </c>
      <c r="X248" s="694"/>
      <c r="Y248" s="695"/>
      <c r="Z248" s="695"/>
      <c r="AA248" s="696"/>
      <c r="AB248" s="635">
        <v>936</v>
      </c>
    </row>
    <row r="249" spans="1:38" ht="12.6" customHeight="1">
      <c r="A249" s="20"/>
      <c r="B249" s="699" t="s">
        <v>215</v>
      </c>
      <c r="C249" s="700"/>
      <c r="D249" s="700"/>
      <c r="E249" s="701"/>
      <c r="F249" s="537">
        <f>6*X2</f>
        <v>5178</v>
      </c>
      <c r="G249" s="382">
        <f t="shared" ref="G249:G253" si="576">+F249*$X$1</f>
        <v>5178</v>
      </c>
      <c r="H249" s="370"/>
      <c r="I249" s="465"/>
      <c r="J249" s="98">
        <f t="shared" si="542"/>
        <v>5253</v>
      </c>
      <c r="K249" s="382">
        <f t="shared" ref="K249:K253" si="577">+J249*$X$1</f>
        <v>5253</v>
      </c>
      <c r="L249" s="528">
        <f t="shared" si="544"/>
        <v>5233</v>
      </c>
      <c r="M249" s="382">
        <f t="shared" ref="M249:M253" si="578">+L249*$X$1</f>
        <v>5233</v>
      </c>
      <c r="N249" s="528">
        <f t="shared" si="546"/>
        <v>5214</v>
      </c>
      <c r="O249" s="382">
        <f t="shared" ref="O249:O253" si="579">+N249*$X$1</f>
        <v>5214</v>
      </c>
      <c r="P249" s="528">
        <f t="shared" si="548"/>
        <v>5210</v>
      </c>
      <c r="Q249" s="382">
        <f t="shared" ref="Q249:Q253" si="580">+P249*$X$1</f>
        <v>5210</v>
      </c>
      <c r="R249" s="528">
        <f t="shared" si="550"/>
        <v>5202</v>
      </c>
      <c r="S249" s="382">
        <f t="shared" ref="S249:S253" si="581">+R249*$X$1</f>
        <v>5202</v>
      </c>
      <c r="T249" s="528">
        <f t="shared" si="552"/>
        <v>5199</v>
      </c>
      <c r="U249" s="382">
        <f t="shared" ref="U249:U253" si="582">+T249*$X$1</f>
        <v>5199</v>
      </c>
      <c r="V249" s="528">
        <f t="shared" si="554"/>
        <v>5196</v>
      </c>
      <c r="W249" s="382">
        <f t="shared" ref="W249:W253" si="583">+V249*$X$1</f>
        <v>5196</v>
      </c>
      <c r="X249" s="153"/>
      <c r="Y249" s="155"/>
      <c r="Z249" s="150"/>
      <c r="AA249" s="150"/>
      <c r="AB249" s="635">
        <v>945</v>
      </c>
      <c r="AD249" s="72"/>
      <c r="AE249" s="72"/>
      <c r="AF249" s="72"/>
      <c r="AG249" s="72"/>
    </row>
    <row r="250" spans="1:38" ht="12.6" customHeight="1">
      <c r="A250" s="20"/>
      <c r="B250" s="697" t="s">
        <v>600</v>
      </c>
      <c r="C250" s="698"/>
      <c r="D250" s="698"/>
      <c r="E250" s="698"/>
      <c r="F250" s="536">
        <f>4.93*X2</f>
        <v>4254.59</v>
      </c>
      <c r="G250" s="381">
        <f t="shared" ref="G250" si="584">+F250*$X$1</f>
        <v>4254.59</v>
      </c>
      <c r="H250" s="421">
        <f>F250+200</f>
        <v>4454.59</v>
      </c>
      <c r="I250" s="381">
        <f>+H250*$X$1</f>
        <v>4454.59</v>
      </c>
      <c r="J250" s="78">
        <f t="shared" si="542"/>
        <v>4329.59</v>
      </c>
      <c r="K250" s="381">
        <f t="shared" si="577"/>
        <v>4329.59</v>
      </c>
      <c r="L250" s="421">
        <f t="shared" si="544"/>
        <v>4309.59</v>
      </c>
      <c r="M250" s="381">
        <f t="shared" si="578"/>
        <v>4309.59</v>
      </c>
      <c r="N250" s="421">
        <f t="shared" si="546"/>
        <v>4290.59</v>
      </c>
      <c r="O250" s="381">
        <f t="shared" si="579"/>
        <v>4290.59</v>
      </c>
      <c r="P250" s="421">
        <f t="shared" si="548"/>
        <v>4286.59</v>
      </c>
      <c r="Q250" s="381">
        <f t="shared" si="580"/>
        <v>4286.59</v>
      </c>
      <c r="R250" s="421">
        <f t="shared" si="550"/>
        <v>4278.59</v>
      </c>
      <c r="S250" s="381">
        <f t="shared" si="581"/>
        <v>4278.59</v>
      </c>
      <c r="T250" s="421">
        <f t="shared" si="552"/>
        <v>4275.59</v>
      </c>
      <c r="U250" s="381">
        <f t="shared" si="582"/>
        <v>4275.59</v>
      </c>
      <c r="V250" s="421">
        <f t="shared" si="554"/>
        <v>4272.59</v>
      </c>
      <c r="W250" s="381">
        <f t="shared" si="583"/>
        <v>4272.59</v>
      </c>
      <c r="X250" s="174"/>
      <c r="Y250" s="174"/>
      <c r="Z250" s="174"/>
      <c r="AA250" s="174"/>
      <c r="AB250" s="635">
        <v>946</v>
      </c>
    </row>
    <row r="251" spans="1:38" ht="12.6" customHeight="1">
      <c r="A251" s="20"/>
      <c r="B251" s="757" t="s">
        <v>216</v>
      </c>
      <c r="C251" s="758"/>
      <c r="D251" s="758"/>
      <c r="E251" s="759"/>
      <c r="F251" s="537">
        <f>5.15*X2</f>
        <v>4444.4500000000007</v>
      </c>
      <c r="G251" s="382">
        <f t="shared" si="576"/>
        <v>4444.4500000000007</v>
      </c>
      <c r="H251" s="551">
        <f>F251+230</f>
        <v>4674.4500000000007</v>
      </c>
      <c r="I251" s="382">
        <f t="shared" ref="I251" si="585">+H251*$X$1</f>
        <v>4674.4500000000007</v>
      </c>
      <c r="J251" s="98"/>
      <c r="K251" s="382"/>
      <c r="L251" s="528"/>
      <c r="M251" s="382"/>
      <c r="N251" s="528"/>
      <c r="O251" s="382"/>
      <c r="P251" s="528"/>
      <c r="Q251" s="382"/>
      <c r="R251" s="528"/>
      <c r="S251" s="382"/>
      <c r="T251" s="528"/>
      <c r="U251" s="382"/>
      <c r="V251" s="528"/>
      <c r="W251" s="382"/>
      <c r="X251" s="694"/>
      <c r="Y251" s="729"/>
      <c r="Z251" s="729"/>
      <c r="AA251" s="696"/>
      <c r="AB251" s="633">
        <v>949</v>
      </c>
    </row>
    <row r="252" spans="1:38" ht="12.6" customHeight="1">
      <c r="A252" s="20"/>
      <c r="B252" s="697" t="s">
        <v>217</v>
      </c>
      <c r="C252" s="698"/>
      <c r="D252" s="698"/>
      <c r="E252" s="698"/>
      <c r="F252" s="536">
        <f>4.7*X2</f>
        <v>4056.1000000000004</v>
      </c>
      <c r="G252" s="381">
        <f t="shared" si="576"/>
        <v>4056.1000000000004</v>
      </c>
      <c r="H252" s="421">
        <f>F252+230</f>
        <v>4286.1000000000004</v>
      </c>
      <c r="I252" s="381">
        <f t="shared" ref="I252" si="586">+H252*$X$1</f>
        <v>4286.1000000000004</v>
      </c>
      <c r="J252" s="78">
        <f t="shared" si="542"/>
        <v>4131.1000000000004</v>
      </c>
      <c r="K252" s="381">
        <f t="shared" si="577"/>
        <v>4131.1000000000004</v>
      </c>
      <c r="L252" s="421">
        <f t="shared" si="544"/>
        <v>4111.1000000000004</v>
      </c>
      <c r="M252" s="381">
        <f t="shared" si="578"/>
        <v>4111.1000000000004</v>
      </c>
      <c r="N252" s="421">
        <f t="shared" si="546"/>
        <v>4092.1000000000004</v>
      </c>
      <c r="O252" s="381">
        <f t="shared" si="579"/>
        <v>4092.1000000000004</v>
      </c>
      <c r="P252" s="421">
        <f t="shared" si="548"/>
        <v>4088.1000000000004</v>
      </c>
      <c r="Q252" s="381">
        <f t="shared" si="580"/>
        <v>4088.1000000000004</v>
      </c>
      <c r="R252" s="421">
        <f t="shared" si="550"/>
        <v>4080.1000000000004</v>
      </c>
      <c r="S252" s="381">
        <f t="shared" si="581"/>
        <v>4080.1000000000004</v>
      </c>
      <c r="T252" s="421">
        <f t="shared" si="552"/>
        <v>4077.1000000000004</v>
      </c>
      <c r="U252" s="381">
        <f t="shared" si="582"/>
        <v>4077.1000000000004</v>
      </c>
      <c r="V252" s="421">
        <f t="shared" si="554"/>
        <v>4074.1000000000004</v>
      </c>
      <c r="W252" s="381">
        <f t="shared" si="583"/>
        <v>4074.1000000000004</v>
      </c>
      <c r="X252" s="694"/>
      <c r="Y252" s="729"/>
      <c r="Z252" s="729"/>
      <c r="AA252" s="696"/>
      <c r="AB252" s="635">
        <v>950</v>
      </c>
    </row>
    <row r="253" spans="1:38" ht="12.6" customHeight="1">
      <c r="A253" s="20"/>
      <c r="B253" s="713" t="s">
        <v>764</v>
      </c>
      <c r="C253" s="714"/>
      <c r="D253" s="714"/>
      <c r="E253" s="714"/>
      <c r="F253" s="537">
        <f>6.46*X2</f>
        <v>5574.98</v>
      </c>
      <c r="G253" s="382">
        <f t="shared" si="576"/>
        <v>5574.98</v>
      </c>
      <c r="H253" s="528">
        <f>F253+210</f>
        <v>5784.98</v>
      </c>
      <c r="I253" s="382">
        <f t="shared" ref="I253:I254" si="587">+H253*$X$1</f>
        <v>5784.98</v>
      </c>
      <c r="J253" s="98">
        <f t="shared" si="542"/>
        <v>5649.98</v>
      </c>
      <c r="K253" s="382">
        <f t="shared" si="577"/>
        <v>5649.98</v>
      </c>
      <c r="L253" s="528">
        <f t="shared" si="544"/>
        <v>5629.98</v>
      </c>
      <c r="M253" s="382">
        <f t="shared" si="578"/>
        <v>5629.98</v>
      </c>
      <c r="N253" s="528">
        <f t="shared" si="546"/>
        <v>5610.98</v>
      </c>
      <c r="O253" s="382">
        <f t="shared" si="579"/>
        <v>5610.98</v>
      </c>
      <c r="P253" s="528">
        <f t="shared" si="548"/>
        <v>5606.98</v>
      </c>
      <c r="Q253" s="382">
        <f t="shared" si="580"/>
        <v>5606.98</v>
      </c>
      <c r="R253" s="528">
        <f t="shared" si="550"/>
        <v>5598.98</v>
      </c>
      <c r="S253" s="382">
        <f t="shared" si="581"/>
        <v>5598.98</v>
      </c>
      <c r="T253" s="528">
        <f t="shared" si="552"/>
        <v>5595.98</v>
      </c>
      <c r="U253" s="382">
        <f t="shared" si="582"/>
        <v>5595.98</v>
      </c>
      <c r="V253" s="528">
        <f t="shared" si="554"/>
        <v>5592.98</v>
      </c>
      <c r="W253" s="382">
        <f t="shared" si="583"/>
        <v>5592.98</v>
      </c>
      <c r="X253" s="734"/>
      <c r="Y253" s="735"/>
      <c r="Z253" s="735"/>
      <c r="AA253" s="736"/>
      <c r="AB253" s="635">
        <v>962</v>
      </c>
    </row>
    <row r="254" spans="1:38" s="1" customFormat="1" ht="12.6" customHeight="1">
      <c r="A254" s="21"/>
      <c r="B254" s="697" t="s">
        <v>218</v>
      </c>
      <c r="C254" s="698"/>
      <c r="D254" s="698"/>
      <c r="E254" s="698"/>
      <c r="F254" s="381">
        <v>2174</v>
      </c>
      <c r="G254" s="381">
        <f>+F254*$X$1</f>
        <v>2174</v>
      </c>
      <c r="H254" s="421">
        <f>F254+210</f>
        <v>2384</v>
      </c>
      <c r="I254" s="381">
        <f t="shared" si="587"/>
        <v>2384</v>
      </c>
      <c r="J254" s="78">
        <f t="shared" ref="J254:J262" si="588">F254+80</f>
        <v>2254</v>
      </c>
      <c r="K254" s="381">
        <f t="shared" ref="K254:K255" si="589">+J254*$X$1</f>
        <v>2254</v>
      </c>
      <c r="L254" s="421">
        <f t="shared" ref="L254:L262" si="590">F254+58</f>
        <v>2232</v>
      </c>
      <c r="M254" s="381">
        <f t="shared" ref="M254:M255" si="591">+L254*$X$1</f>
        <v>2232</v>
      </c>
      <c r="N254" s="421">
        <f t="shared" ref="N254:N262" si="592">F254+49</f>
        <v>2223</v>
      </c>
      <c r="O254" s="381">
        <f t="shared" ref="O254:O255" si="593">+N254*$X$1</f>
        <v>2223</v>
      </c>
      <c r="P254" s="421">
        <f t="shared" ref="P254:P262" si="594">F254+46</f>
        <v>2220</v>
      </c>
      <c r="Q254" s="381">
        <f t="shared" ref="Q254:Q255" si="595">+P254*$X$1</f>
        <v>2220</v>
      </c>
      <c r="R254" s="421">
        <f t="shared" ref="R254:R262" si="596">F254+43</f>
        <v>2217</v>
      </c>
      <c r="S254" s="381">
        <f t="shared" ref="S254:S255" si="597">+R254*$X$1</f>
        <v>2217</v>
      </c>
      <c r="T254" s="421">
        <f t="shared" ref="T254:T262" si="598">F254+38</f>
        <v>2212</v>
      </c>
      <c r="U254" s="381">
        <f t="shared" ref="U254:U255" si="599">+T254*$X$1</f>
        <v>2212</v>
      </c>
      <c r="V254" s="421">
        <f t="shared" ref="V254:V262" si="600">F254+36</f>
        <v>2210</v>
      </c>
      <c r="W254" s="381">
        <f t="shared" ref="W254:W255" si="601">+V254*$X$1</f>
        <v>2210</v>
      </c>
      <c r="X254" s="749"/>
      <c r="Y254" s="951"/>
      <c r="Z254" s="951"/>
      <c r="AA254" s="751"/>
      <c r="AB254" s="635">
        <v>965</v>
      </c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2.6" customHeight="1">
      <c r="A255" s="20"/>
      <c r="B255" s="713" t="s">
        <v>766</v>
      </c>
      <c r="C255" s="714"/>
      <c r="D255" s="714"/>
      <c r="E255" s="714"/>
      <c r="F255" s="537">
        <f>7.721*X2</f>
        <v>6663.223</v>
      </c>
      <c r="G255" s="382">
        <f t="shared" ref="G255" si="602">+F255*$X$1</f>
        <v>6663.223</v>
      </c>
      <c r="H255" s="528">
        <f>F255+210</f>
        <v>6873.223</v>
      </c>
      <c r="I255" s="382">
        <f t="shared" ref="I255" si="603">+H255*$X$1</f>
        <v>6873.223</v>
      </c>
      <c r="J255" s="98">
        <f t="shared" ref="J255" si="604">F255+75</f>
        <v>6738.223</v>
      </c>
      <c r="K255" s="382">
        <f t="shared" si="589"/>
        <v>6738.223</v>
      </c>
      <c r="L255" s="528">
        <f t="shared" ref="L255" si="605">F255+55</f>
        <v>6718.223</v>
      </c>
      <c r="M255" s="382">
        <f t="shared" si="591"/>
        <v>6718.223</v>
      </c>
      <c r="N255" s="528">
        <f t="shared" ref="N255" si="606">F255+36</f>
        <v>6699.223</v>
      </c>
      <c r="O255" s="382">
        <f t="shared" si="593"/>
        <v>6699.223</v>
      </c>
      <c r="P255" s="528">
        <f t="shared" ref="P255" si="607">F255+32</f>
        <v>6695.223</v>
      </c>
      <c r="Q255" s="382">
        <f t="shared" si="595"/>
        <v>6695.223</v>
      </c>
      <c r="R255" s="528">
        <f t="shared" ref="R255" si="608">F255+24</f>
        <v>6687.223</v>
      </c>
      <c r="S255" s="382">
        <f t="shared" si="597"/>
        <v>6687.223</v>
      </c>
      <c r="T255" s="528">
        <f t="shared" ref="T255" si="609">F255+21</f>
        <v>6684.223</v>
      </c>
      <c r="U255" s="382">
        <f t="shared" si="599"/>
        <v>6684.223</v>
      </c>
      <c r="V255" s="528">
        <f t="shared" ref="V255" si="610">F255+18</f>
        <v>6681.223</v>
      </c>
      <c r="W255" s="382">
        <f t="shared" si="601"/>
        <v>6681.223</v>
      </c>
      <c r="X255" s="734"/>
      <c r="Y255" s="735"/>
      <c r="Z255" s="735"/>
      <c r="AA255" s="736"/>
      <c r="AB255" s="635">
        <v>966</v>
      </c>
    </row>
    <row r="256" spans="1:38" s="1" customFormat="1" ht="12.6" customHeight="1">
      <c r="A256" s="21"/>
      <c r="B256" s="702" t="s">
        <v>219</v>
      </c>
      <c r="C256" s="703"/>
      <c r="D256" s="703"/>
      <c r="E256" s="704"/>
      <c r="F256" s="381">
        <v>1882</v>
      </c>
      <c r="G256" s="381">
        <f>+F256*$X$1</f>
        <v>1882</v>
      </c>
      <c r="H256" s="377"/>
      <c r="I256" s="464"/>
      <c r="J256" s="78">
        <f t="shared" si="588"/>
        <v>1962</v>
      </c>
      <c r="K256" s="381">
        <f t="shared" ref="K256:K262" si="611">+J256*$X$1</f>
        <v>1962</v>
      </c>
      <c r="L256" s="421">
        <f t="shared" si="590"/>
        <v>1940</v>
      </c>
      <c r="M256" s="381">
        <f t="shared" ref="M256:M262" si="612">+L256*$X$1</f>
        <v>1940</v>
      </c>
      <c r="N256" s="421">
        <f t="shared" si="592"/>
        <v>1931</v>
      </c>
      <c r="O256" s="381">
        <f t="shared" ref="O256:O262" si="613">+N256*$X$1</f>
        <v>1931</v>
      </c>
      <c r="P256" s="421">
        <f t="shared" si="594"/>
        <v>1928</v>
      </c>
      <c r="Q256" s="381">
        <f t="shared" ref="Q256:Q262" si="614">+P256*$X$1</f>
        <v>1928</v>
      </c>
      <c r="R256" s="421">
        <f t="shared" si="596"/>
        <v>1925</v>
      </c>
      <c r="S256" s="381">
        <f t="shared" ref="S256:S262" si="615">+R256*$X$1</f>
        <v>1925</v>
      </c>
      <c r="T256" s="421">
        <f t="shared" si="598"/>
        <v>1920</v>
      </c>
      <c r="U256" s="381">
        <f t="shared" ref="U256:U262" si="616">+T256*$X$1</f>
        <v>1920</v>
      </c>
      <c r="V256" s="421">
        <f t="shared" si="600"/>
        <v>1918</v>
      </c>
      <c r="W256" s="381">
        <f t="shared" ref="W256:W262" si="617">+V256*$X$1</f>
        <v>1918</v>
      </c>
      <c r="X256" s="176"/>
      <c r="Y256" s="177"/>
      <c r="Z256" s="177"/>
      <c r="AA256" s="178"/>
      <c r="AB256" s="633">
        <v>967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s="1" customFormat="1" ht="12.6" customHeight="1">
      <c r="A257" s="21"/>
      <c r="B257" s="699" t="s">
        <v>420</v>
      </c>
      <c r="C257" s="724"/>
      <c r="D257" s="724"/>
      <c r="E257" s="725"/>
      <c r="F257" s="382">
        <v>1794</v>
      </c>
      <c r="G257" s="382">
        <f>+F257*$X$1</f>
        <v>1794</v>
      </c>
      <c r="H257" s="528">
        <f t="shared" ref="H257:H262" si="618">F257+210</f>
        <v>2004</v>
      </c>
      <c r="I257" s="382">
        <f t="shared" ref="I257:I258" si="619">+H257*$X$1</f>
        <v>2004</v>
      </c>
      <c r="J257" s="98">
        <f t="shared" si="588"/>
        <v>1874</v>
      </c>
      <c r="K257" s="382">
        <f t="shared" si="611"/>
        <v>1874</v>
      </c>
      <c r="L257" s="528">
        <f t="shared" si="590"/>
        <v>1852</v>
      </c>
      <c r="M257" s="382">
        <f t="shared" si="612"/>
        <v>1852</v>
      </c>
      <c r="N257" s="528">
        <f t="shared" si="592"/>
        <v>1843</v>
      </c>
      <c r="O257" s="382">
        <f t="shared" si="613"/>
        <v>1843</v>
      </c>
      <c r="P257" s="528">
        <f t="shared" si="594"/>
        <v>1840</v>
      </c>
      <c r="Q257" s="382">
        <f t="shared" si="614"/>
        <v>1840</v>
      </c>
      <c r="R257" s="528">
        <f t="shared" si="596"/>
        <v>1837</v>
      </c>
      <c r="S257" s="382">
        <f t="shared" si="615"/>
        <v>1837</v>
      </c>
      <c r="T257" s="528">
        <f t="shared" si="598"/>
        <v>1832</v>
      </c>
      <c r="U257" s="382">
        <f t="shared" si="616"/>
        <v>1832</v>
      </c>
      <c r="V257" s="528">
        <f t="shared" si="600"/>
        <v>1830</v>
      </c>
      <c r="W257" s="382">
        <f t="shared" si="617"/>
        <v>1830</v>
      </c>
      <c r="X257" s="749"/>
      <c r="Y257" s="951"/>
      <c r="Z257" s="951"/>
      <c r="AA257" s="751"/>
      <c r="AB257" s="633">
        <v>968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>
      <c r="A258" s="21"/>
      <c r="B258" s="697" t="s">
        <v>220</v>
      </c>
      <c r="C258" s="698"/>
      <c r="D258" s="698"/>
      <c r="E258" s="698"/>
      <c r="F258" s="381">
        <v>4602</v>
      </c>
      <c r="G258" s="381">
        <f t="shared" ref="G258:G261" si="620">+F258*$X$1</f>
        <v>4602</v>
      </c>
      <c r="H258" s="421">
        <f t="shared" si="618"/>
        <v>4812</v>
      </c>
      <c r="I258" s="381">
        <f t="shared" si="619"/>
        <v>4812</v>
      </c>
      <c r="J258" s="78">
        <f t="shared" si="588"/>
        <v>4682</v>
      </c>
      <c r="K258" s="381">
        <f t="shared" si="611"/>
        <v>4682</v>
      </c>
      <c r="L258" s="421">
        <f t="shared" si="590"/>
        <v>4660</v>
      </c>
      <c r="M258" s="381">
        <f t="shared" si="612"/>
        <v>4660</v>
      </c>
      <c r="N258" s="421">
        <f t="shared" si="592"/>
        <v>4651</v>
      </c>
      <c r="O258" s="381">
        <f t="shared" si="613"/>
        <v>4651</v>
      </c>
      <c r="P258" s="421">
        <f t="shared" si="594"/>
        <v>4648</v>
      </c>
      <c r="Q258" s="381">
        <f t="shared" si="614"/>
        <v>4648</v>
      </c>
      <c r="R258" s="421">
        <f t="shared" si="596"/>
        <v>4645</v>
      </c>
      <c r="S258" s="381">
        <f t="shared" si="615"/>
        <v>4645</v>
      </c>
      <c r="T258" s="421">
        <f t="shared" si="598"/>
        <v>4640</v>
      </c>
      <c r="U258" s="381">
        <f t="shared" si="616"/>
        <v>4640</v>
      </c>
      <c r="V258" s="421">
        <f t="shared" si="600"/>
        <v>4638</v>
      </c>
      <c r="W258" s="381">
        <f t="shared" si="617"/>
        <v>4638</v>
      </c>
      <c r="X258" s="749"/>
      <c r="Y258" s="951"/>
      <c r="Z258" s="951"/>
      <c r="AA258" s="751"/>
      <c r="AB258" s="633">
        <v>969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>
      <c r="A259" s="21"/>
      <c r="B259" s="699" t="s">
        <v>447</v>
      </c>
      <c r="C259" s="724"/>
      <c r="D259" s="724"/>
      <c r="E259" s="725"/>
      <c r="F259" s="382">
        <v>3990</v>
      </c>
      <c r="G259" s="382">
        <f>+F259*$X$1</f>
        <v>3990</v>
      </c>
      <c r="H259" s="528">
        <f t="shared" si="618"/>
        <v>4200</v>
      </c>
      <c r="I259" s="382">
        <f t="shared" ref="I259" si="621">+H259*$X$1</f>
        <v>4200</v>
      </c>
      <c r="J259" s="98">
        <f t="shared" si="588"/>
        <v>4070</v>
      </c>
      <c r="K259" s="382">
        <f t="shared" si="611"/>
        <v>4070</v>
      </c>
      <c r="L259" s="528">
        <f t="shared" si="590"/>
        <v>4048</v>
      </c>
      <c r="M259" s="382">
        <f t="shared" si="612"/>
        <v>4048</v>
      </c>
      <c r="N259" s="528">
        <f t="shared" si="592"/>
        <v>4039</v>
      </c>
      <c r="O259" s="382">
        <f t="shared" si="613"/>
        <v>4039</v>
      </c>
      <c r="P259" s="528">
        <f t="shared" si="594"/>
        <v>4036</v>
      </c>
      <c r="Q259" s="382">
        <f t="shared" si="614"/>
        <v>4036</v>
      </c>
      <c r="R259" s="528">
        <f t="shared" si="596"/>
        <v>4033</v>
      </c>
      <c r="S259" s="382">
        <f t="shared" si="615"/>
        <v>4033</v>
      </c>
      <c r="T259" s="528">
        <f t="shared" si="598"/>
        <v>4028</v>
      </c>
      <c r="U259" s="382">
        <f t="shared" si="616"/>
        <v>4028</v>
      </c>
      <c r="V259" s="528">
        <f t="shared" si="600"/>
        <v>4026</v>
      </c>
      <c r="W259" s="382">
        <f t="shared" si="617"/>
        <v>4026</v>
      </c>
      <c r="X259" s="251"/>
      <c r="Y259" s="253"/>
      <c r="Z259" s="253"/>
      <c r="AA259" s="252"/>
      <c r="AB259" s="633" t="s">
        <v>564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>
      <c r="A260" s="21"/>
      <c r="B260" s="697" t="s">
        <v>221</v>
      </c>
      <c r="C260" s="698"/>
      <c r="D260" s="698"/>
      <c r="E260" s="698"/>
      <c r="F260" s="381">
        <v>2037</v>
      </c>
      <c r="G260" s="381">
        <f t="shared" si="620"/>
        <v>2037</v>
      </c>
      <c r="H260" s="421">
        <f t="shared" si="618"/>
        <v>2247</v>
      </c>
      <c r="I260" s="381">
        <f t="shared" ref="I260" si="622">+H260*$X$1</f>
        <v>2247</v>
      </c>
      <c r="J260" s="78">
        <f t="shared" si="588"/>
        <v>2117</v>
      </c>
      <c r="K260" s="381">
        <f t="shared" si="611"/>
        <v>2117</v>
      </c>
      <c r="L260" s="421">
        <f t="shared" si="590"/>
        <v>2095</v>
      </c>
      <c r="M260" s="381">
        <f t="shared" si="612"/>
        <v>2095</v>
      </c>
      <c r="N260" s="421">
        <f t="shared" si="592"/>
        <v>2086</v>
      </c>
      <c r="O260" s="381">
        <f t="shared" si="613"/>
        <v>2086</v>
      </c>
      <c r="P260" s="421">
        <f t="shared" si="594"/>
        <v>2083</v>
      </c>
      <c r="Q260" s="381">
        <f t="shared" si="614"/>
        <v>2083</v>
      </c>
      <c r="R260" s="421">
        <f t="shared" si="596"/>
        <v>2080</v>
      </c>
      <c r="S260" s="381">
        <f t="shared" si="615"/>
        <v>2080</v>
      </c>
      <c r="T260" s="421">
        <f t="shared" si="598"/>
        <v>2075</v>
      </c>
      <c r="U260" s="381">
        <f t="shared" si="616"/>
        <v>2075</v>
      </c>
      <c r="V260" s="421">
        <f t="shared" si="600"/>
        <v>2073</v>
      </c>
      <c r="W260" s="381">
        <f t="shared" si="617"/>
        <v>2073</v>
      </c>
      <c r="X260" s="749"/>
      <c r="Y260" s="951"/>
      <c r="Z260" s="951"/>
      <c r="AA260" s="751"/>
      <c r="AB260" s="633">
        <v>970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>
      <c r="A261" s="21"/>
      <c r="B261" s="713" t="s">
        <v>222</v>
      </c>
      <c r="C261" s="714"/>
      <c r="D261" s="714"/>
      <c r="E261" s="714"/>
      <c r="F261" s="382">
        <v>2116</v>
      </c>
      <c r="G261" s="382">
        <f t="shared" si="620"/>
        <v>2116</v>
      </c>
      <c r="H261" s="528">
        <f t="shared" si="618"/>
        <v>2326</v>
      </c>
      <c r="I261" s="382">
        <f t="shared" ref="I261:I262" si="623">+H261*$X$1</f>
        <v>2326</v>
      </c>
      <c r="J261" s="98">
        <f t="shared" si="588"/>
        <v>2196</v>
      </c>
      <c r="K261" s="382">
        <f t="shared" si="611"/>
        <v>2196</v>
      </c>
      <c r="L261" s="528">
        <f t="shared" si="590"/>
        <v>2174</v>
      </c>
      <c r="M261" s="382">
        <f t="shared" si="612"/>
        <v>2174</v>
      </c>
      <c r="N261" s="528">
        <f t="shared" si="592"/>
        <v>2165</v>
      </c>
      <c r="O261" s="382">
        <f t="shared" si="613"/>
        <v>2165</v>
      </c>
      <c r="P261" s="528">
        <f t="shared" si="594"/>
        <v>2162</v>
      </c>
      <c r="Q261" s="382">
        <f t="shared" si="614"/>
        <v>2162</v>
      </c>
      <c r="R261" s="528">
        <f t="shared" si="596"/>
        <v>2159</v>
      </c>
      <c r="S261" s="382">
        <f t="shared" si="615"/>
        <v>2159</v>
      </c>
      <c r="T261" s="528">
        <f t="shared" si="598"/>
        <v>2154</v>
      </c>
      <c r="U261" s="382">
        <f t="shared" si="616"/>
        <v>2154</v>
      </c>
      <c r="V261" s="528">
        <f t="shared" si="600"/>
        <v>2152</v>
      </c>
      <c r="W261" s="382">
        <f t="shared" si="617"/>
        <v>2152</v>
      </c>
      <c r="X261" s="749"/>
      <c r="Y261" s="951"/>
      <c r="Z261" s="951"/>
      <c r="AA261" s="751"/>
      <c r="AB261" s="633">
        <v>971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>
      <c r="A262" s="21"/>
      <c r="B262" s="702" t="s">
        <v>448</v>
      </c>
      <c r="C262" s="703"/>
      <c r="D262" s="703"/>
      <c r="E262" s="704"/>
      <c r="F262" s="381">
        <v>1980</v>
      </c>
      <c r="G262" s="381">
        <f t="shared" ref="G262" si="624">+F262*$X$1</f>
        <v>1980</v>
      </c>
      <c r="H262" s="421">
        <f t="shared" si="618"/>
        <v>2190</v>
      </c>
      <c r="I262" s="381">
        <f t="shared" si="623"/>
        <v>2190</v>
      </c>
      <c r="J262" s="78">
        <f t="shared" si="588"/>
        <v>2060</v>
      </c>
      <c r="K262" s="381">
        <f t="shared" si="611"/>
        <v>2060</v>
      </c>
      <c r="L262" s="421">
        <f t="shared" si="590"/>
        <v>2038</v>
      </c>
      <c r="M262" s="381">
        <f t="shared" si="612"/>
        <v>2038</v>
      </c>
      <c r="N262" s="421">
        <f t="shared" si="592"/>
        <v>2029</v>
      </c>
      <c r="O262" s="381">
        <f t="shared" si="613"/>
        <v>2029</v>
      </c>
      <c r="P262" s="421">
        <f t="shared" si="594"/>
        <v>2026</v>
      </c>
      <c r="Q262" s="381">
        <f t="shared" si="614"/>
        <v>2026</v>
      </c>
      <c r="R262" s="421">
        <f t="shared" si="596"/>
        <v>2023</v>
      </c>
      <c r="S262" s="381">
        <f t="shared" si="615"/>
        <v>2023</v>
      </c>
      <c r="T262" s="421">
        <f t="shared" si="598"/>
        <v>2018</v>
      </c>
      <c r="U262" s="381">
        <f t="shared" si="616"/>
        <v>2018</v>
      </c>
      <c r="V262" s="421">
        <f t="shared" si="600"/>
        <v>2016</v>
      </c>
      <c r="W262" s="381">
        <f t="shared" si="617"/>
        <v>2016</v>
      </c>
      <c r="X262" s="176"/>
      <c r="Y262" s="177"/>
      <c r="Z262" s="177"/>
      <c r="AA262" s="178"/>
      <c r="AB262" s="633">
        <v>972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>
      <c r="A263" s="21"/>
      <c r="B263" s="713" t="s">
        <v>223</v>
      </c>
      <c r="C263" s="714"/>
      <c r="D263" s="714"/>
      <c r="E263" s="714"/>
      <c r="F263" s="102"/>
      <c r="G263" s="682"/>
      <c r="H263" s="370"/>
      <c r="I263" s="370"/>
      <c r="J263" s="98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734"/>
      <c r="Y263" s="735"/>
      <c r="Z263" s="735"/>
      <c r="AA263" s="736"/>
      <c r="AB263" s="635">
        <v>980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>
      <c r="A264" s="21"/>
      <c r="B264" s="697" t="s">
        <v>224</v>
      </c>
      <c r="C264" s="719"/>
      <c r="D264" s="719"/>
      <c r="E264" s="719"/>
      <c r="F264" s="113"/>
      <c r="G264" s="421"/>
      <c r="H264" s="371"/>
      <c r="I264" s="371"/>
      <c r="J264" s="78"/>
      <c r="K264" s="374"/>
      <c r="L264" s="374"/>
      <c r="M264" s="374"/>
      <c r="N264" s="374"/>
      <c r="O264" s="374"/>
      <c r="P264" s="374"/>
      <c r="Q264" s="374"/>
      <c r="R264" s="374"/>
      <c r="S264" s="374"/>
      <c r="T264" s="374"/>
      <c r="U264" s="374"/>
      <c r="V264" s="374"/>
      <c r="W264" s="374"/>
      <c r="X264" s="734"/>
      <c r="Y264" s="735"/>
      <c r="Z264" s="735"/>
      <c r="AA264" s="736"/>
      <c r="AB264" s="635">
        <v>981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>
      <c r="A265" s="21"/>
      <c r="B265" s="699" t="s">
        <v>583</v>
      </c>
      <c r="C265" s="700"/>
      <c r="D265" s="700"/>
      <c r="E265" s="701"/>
      <c r="F265" s="112"/>
      <c r="G265" s="682"/>
      <c r="H265" s="370"/>
      <c r="I265" s="370"/>
      <c r="J265" s="98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734"/>
      <c r="Y265" s="735"/>
      <c r="Z265" s="735"/>
      <c r="AA265" s="736"/>
      <c r="AB265" s="635">
        <v>982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>
      <c r="A266" s="21"/>
      <c r="B266" s="702" t="s">
        <v>631</v>
      </c>
      <c r="C266" s="741"/>
      <c r="D266" s="741"/>
      <c r="E266" s="742"/>
      <c r="F266" s="113"/>
      <c r="G266" s="421"/>
      <c r="H266" s="377"/>
      <c r="I266" s="371"/>
      <c r="J266" s="78"/>
      <c r="K266" s="374"/>
      <c r="L266" s="374"/>
      <c r="M266" s="374"/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734"/>
      <c r="Y266" s="735"/>
      <c r="Z266" s="735"/>
      <c r="AA266" s="736"/>
      <c r="AB266" s="635">
        <v>983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>
      <c r="A267" s="21"/>
      <c r="B267" s="699" t="s">
        <v>225</v>
      </c>
      <c r="C267" s="700"/>
      <c r="D267" s="700"/>
      <c r="E267" s="701"/>
      <c r="F267" s="102"/>
      <c r="G267" s="682"/>
      <c r="H267" s="370"/>
      <c r="I267" s="370"/>
      <c r="J267" s="98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734"/>
      <c r="Y267" s="735"/>
      <c r="Z267" s="735"/>
      <c r="AA267" s="736"/>
      <c r="AB267" s="635">
        <v>984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>
      <c r="A268" s="21"/>
      <c r="B268" s="702" t="s">
        <v>226</v>
      </c>
      <c r="C268" s="741"/>
      <c r="D268" s="741"/>
      <c r="E268" s="742"/>
      <c r="F268" s="413"/>
      <c r="G268" s="421"/>
      <c r="H268" s="377"/>
      <c r="I268" s="371"/>
      <c r="J268" s="78"/>
      <c r="K268" s="374"/>
      <c r="L268" s="374"/>
      <c r="M268" s="374"/>
      <c r="N268" s="374"/>
      <c r="O268" s="374"/>
      <c r="P268" s="374"/>
      <c r="Q268" s="374"/>
      <c r="R268" s="374"/>
      <c r="S268" s="374"/>
      <c r="T268" s="374"/>
      <c r="U268" s="374"/>
      <c r="V268" s="374"/>
      <c r="W268" s="374"/>
      <c r="X268" s="734"/>
      <c r="Y268" s="735"/>
      <c r="Z268" s="735"/>
      <c r="AA268" s="736"/>
      <c r="AB268" s="635">
        <v>985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>
      <c r="A269" s="21"/>
      <c r="B269" s="713" t="s">
        <v>453</v>
      </c>
      <c r="C269" s="714"/>
      <c r="D269" s="714"/>
      <c r="E269" s="714"/>
      <c r="F269" s="382">
        <v>332</v>
      </c>
      <c r="G269" s="382">
        <f>+F269*$X$1</f>
        <v>332</v>
      </c>
      <c r="H269" s="370"/>
      <c r="I269" s="370"/>
      <c r="J269" s="98">
        <f>F269+75</f>
        <v>407</v>
      </c>
      <c r="K269" s="382">
        <f t="shared" ref="K269" si="625">+J269*$X$1</f>
        <v>407</v>
      </c>
      <c r="L269" s="528">
        <f>F269+55</f>
        <v>387</v>
      </c>
      <c r="M269" s="382">
        <f t="shared" ref="M269" si="626">+L269*$X$1</f>
        <v>387</v>
      </c>
      <c r="N269" s="528">
        <f>F269+36</f>
        <v>368</v>
      </c>
      <c r="O269" s="382">
        <f t="shared" ref="O269:O278" si="627">+N269*$X$1</f>
        <v>368</v>
      </c>
      <c r="P269" s="528">
        <f>F269+32</f>
        <v>364</v>
      </c>
      <c r="Q269" s="382">
        <f t="shared" ref="Q269:Q278" si="628">+P269*$X$1</f>
        <v>364</v>
      </c>
      <c r="R269" s="528">
        <f>F269+24</f>
        <v>356</v>
      </c>
      <c r="S269" s="382">
        <f t="shared" ref="S269:S278" si="629">+R269*$X$1</f>
        <v>356</v>
      </c>
      <c r="T269" s="528">
        <f>F269+21</f>
        <v>353</v>
      </c>
      <c r="U269" s="382">
        <f t="shared" ref="U269:U278" si="630">+T269*$X$1</f>
        <v>353</v>
      </c>
      <c r="V269" s="528">
        <f>F269+18</f>
        <v>350</v>
      </c>
      <c r="W269" s="382">
        <f t="shared" ref="W269:W278" si="631">+V269*$X$1</f>
        <v>350</v>
      </c>
      <c r="X269" s="171"/>
      <c r="Y269" s="171"/>
      <c r="Z269" s="171"/>
      <c r="AA269" s="171"/>
      <c r="AB269" s="635">
        <v>998</v>
      </c>
      <c r="AC269" s="82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>
      <c r="A270" s="21"/>
      <c r="B270" s="702" t="s">
        <v>227</v>
      </c>
      <c r="C270" s="924"/>
      <c r="D270" s="924"/>
      <c r="E270" s="925"/>
      <c r="F270" s="381">
        <v>1100</v>
      </c>
      <c r="G270" s="410">
        <f t="shared" ref="G270" si="632">+F270*$X$1</f>
        <v>1100</v>
      </c>
      <c r="H270" s="1286" t="s">
        <v>478</v>
      </c>
      <c r="I270" s="1287"/>
      <c r="J270" s="1287"/>
      <c r="K270" s="1287"/>
      <c r="L270" s="1287"/>
      <c r="M270" s="1288"/>
      <c r="N270" s="421">
        <f t="shared" ref="N270:N277" si="633">F270+49</f>
        <v>1149</v>
      </c>
      <c r="O270" s="381">
        <f t="shared" si="627"/>
        <v>1149</v>
      </c>
      <c r="P270" s="421">
        <f t="shared" ref="P270:P277" si="634">F270+46</f>
        <v>1146</v>
      </c>
      <c r="Q270" s="381">
        <f t="shared" si="628"/>
        <v>1146</v>
      </c>
      <c r="R270" s="421">
        <f t="shared" ref="R270:R277" si="635">F270+43</f>
        <v>1143</v>
      </c>
      <c r="S270" s="381">
        <f t="shared" si="629"/>
        <v>1143</v>
      </c>
      <c r="T270" s="421">
        <f t="shared" ref="T270:T277" si="636">F270+38</f>
        <v>1138</v>
      </c>
      <c r="U270" s="381">
        <f t="shared" si="630"/>
        <v>1138</v>
      </c>
      <c r="V270" s="421">
        <f t="shared" ref="V270:V277" si="637">F270+36</f>
        <v>1136</v>
      </c>
      <c r="W270" s="381">
        <f t="shared" si="631"/>
        <v>1136</v>
      </c>
      <c r="X270" s="749"/>
      <c r="Y270" s="750"/>
      <c r="Z270" s="750"/>
      <c r="AA270" s="751"/>
      <c r="AB270" s="635">
        <v>1001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>
      <c r="A271" s="21"/>
      <c r="B271" s="699" t="s">
        <v>228</v>
      </c>
      <c r="C271" s="717"/>
      <c r="D271" s="717"/>
      <c r="E271" s="718"/>
      <c r="F271" s="426">
        <v>1100</v>
      </c>
      <c r="G271" s="382">
        <f t="shared" ref="G271:G280" si="638">+F271*$X$1</f>
        <v>1100</v>
      </c>
      <c r="H271" s="1289"/>
      <c r="I271" s="1290"/>
      <c r="J271" s="1290"/>
      <c r="K271" s="1287"/>
      <c r="L271" s="1290"/>
      <c r="M271" s="1288"/>
      <c r="N271" s="528">
        <f t="shared" si="633"/>
        <v>1149</v>
      </c>
      <c r="O271" s="382">
        <f t="shared" si="627"/>
        <v>1149</v>
      </c>
      <c r="P271" s="528">
        <f t="shared" si="634"/>
        <v>1146</v>
      </c>
      <c r="Q271" s="382">
        <f t="shared" si="628"/>
        <v>1146</v>
      </c>
      <c r="R271" s="528">
        <f t="shared" si="635"/>
        <v>1143</v>
      </c>
      <c r="S271" s="382">
        <f t="shared" si="629"/>
        <v>1143</v>
      </c>
      <c r="T271" s="528">
        <f t="shared" si="636"/>
        <v>1138</v>
      </c>
      <c r="U271" s="382">
        <f t="shared" si="630"/>
        <v>1138</v>
      </c>
      <c r="V271" s="528">
        <f t="shared" si="637"/>
        <v>1136</v>
      </c>
      <c r="W271" s="382">
        <f t="shared" si="631"/>
        <v>1136</v>
      </c>
      <c r="X271" s="749"/>
      <c r="Y271" s="750"/>
      <c r="Z271" s="750"/>
      <c r="AA271" s="751"/>
      <c r="AB271" s="635">
        <v>1002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>
      <c r="A272" s="21"/>
      <c r="B272" s="702" t="s">
        <v>829</v>
      </c>
      <c r="C272" s="924"/>
      <c r="D272" s="924"/>
      <c r="E272" s="925"/>
      <c r="F272" s="381">
        <v>1100</v>
      </c>
      <c r="G272" s="381">
        <f t="shared" si="638"/>
        <v>1100</v>
      </c>
      <c r="H272" s="1289"/>
      <c r="I272" s="1290"/>
      <c r="J272" s="1290"/>
      <c r="K272" s="1287"/>
      <c r="L272" s="1290"/>
      <c r="M272" s="1288"/>
      <c r="N272" s="421">
        <f t="shared" si="633"/>
        <v>1149</v>
      </c>
      <c r="O272" s="381">
        <f t="shared" si="627"/>
        <v>1149</v>
      </c>
      <c r="P272" s="421">
        <f t="shared" si="634"/>
        <v>1146</v>
      </c>
      <c r="Q272" s="381">
        <f t="shared" si="628"/>
        <v>1146</v>
      </c>
      <c r="R272" s="421">
        <f t="shared" si="635"/>
        <v>1143</v>
      </c>
      <c r="S272" s="381">
        <f t="shared" si="629"/>
        <v>1143</v>
      </c>
      <c r="T272" s="421">
        <f t="shared" si="636"/>
        <v>1138</v>
      </c>
      <c r="U272" s="381">
        <f t="shared" si="630"/>
        <v>1138</v>
      </c>
      <c r="V272" s="421">
        <f t="shared" si="637"/>
        <v>1136</v>
      </c>
      <c r="W272" s="381">
        <f t="shared" si="631"/>
        <v>1136</v>
      </c>
      <c r="X272" s="749"/>
      <c r="Y272" s="750"/>
      <c r="Z272" s="750"/>
      <c r="AA272" s="751"/>
      <c r="AB272" s="6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>
      <c r="A273" s="21"/>
      <c r="B273" s="713" t="s">
        <v>229</v>
      </c>
      <c r="C273" s="714"/>
      <c r="D273" s="714"/>
      <c r="E273" s="714"/>
      <c r="F273" s="382">
        <v>1300</v>
      </c>
      <c r="G273" s="382">
        <f t="shared" si="638"/>
        <v>1300</v>
      </c>
      <c r="H273" s="1289"/>
      <c r="I273" s="1290"/>
      <c r="J273" s="1290"/>
      <c r="K273" s="1287"/>
      <c r="L273" s="1290"/>
      <c r="M273" s="1288"/>
      <c r="N273" s="528">
        <f t="shared" si="633"/>
        <v>1349</v>
      </c>
      <c r="O273" s="382">
        <f t="shared" si="627"/>
        <v>1349</v>
      </c>
      <c r="P273" s="528">
        <f t="shared" si="634"/>
        <v>1346</v>
      </c>
      <c r="Q273" s="382">
        <f t="shared" si="628"/>
        <v>1346</v>
      </c>
      <c r="R273" s="528">
        <f t="shared" si="635"/>
        <v>1343</v>
      </c>
      <c r="S273" s="382">
        <f t="shared" si="629"/>
        <v>1343</v>
      </c>
      <c r="T273" s="528">
        <f t="shared" si="636"/>
        <v>1338</v>
      </c>
      <c r="U273" s="382">
        <f t="shared" si="630"/>
        <v>1338</v>
      </c>
      <c r="V273" s="528">
        <f t="shared" si="637"/>
        <v>1336</v>
      </c>
      <c r="W273" s="382">
        <f t="shared" si="631"/>
        <v>1336</v>
      </c>
      <c r="X273" s="749"/>
      <c r="Y273" s="951"/>
      <c r="Z273" s="951"/>
      <c r="AA273" s="751"/>
      <c r="AB273" s="635">
        <v>1004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>
      <c r="A274" s="21"/>
      <c r="B274" s="702" t="s">
        <v>230</v>
      </c>
      <c r="C274" s="924"/>
      <c r="D274" s="924"/>
      <c r="E274" s="925"/>
      <c r="F274" s="381">
        <v>1300</v>
      </c>
      <c r="G274" s="381">
        <f t="shared" si="638"/>
        <v>1300</v>
      </c>
      <c r="H274" s="1289"/>
      <c r="I274" s="1290"/>
      <c r="J274" s="1290"/>
      <c r="K274" s="1287"/>
      <c r="L274" s="1290"/>
      <c r="M274" s="1288"/>
      <c r="N274" s="421">
        <f t="shared" si="633"/>
        <v>1349</v>
      </c>
      <c r="O274" s="381">
        <f t="shared" si="627"/>
        <v>1349</v>
      </c>
      <c r="P274" s="421">
        <f t="shared" si="634"/>
        <v>1346</v>
      </c>
      <c r="Q274" s="381">
        <f t="shared" si="628"/>
        <v>1346</v>
      </c>
      <c r="R274" s="421">
        <f t="shared" si="635"/>
        <v>1343</v>
      </c>
      <c r="S274" s="381">
        <f t="shared" si="629"/>
        <v>1343</v>
      </c>
      <c r="T274" s="421">
        <f t="shared" si="636"/>
        <v>1338</v>
      </c>
      <c r="U274" s="381">
        <f t="shared" si="630"/>
        <v>1338</v>
      </c>
      <c r="V274" s="421">
        <f t="shared" si="637"/>
        <v>1336</v>
      </c>
      <c r="W274" s="381">
        <f t="shared" si="631"/>
        <v>1336</v>
      </c>
      <c r="X274" s="749"/>
      <c r="Y274" s="750"/>
      <c r="Z274" s="750"/>
      <c r="AA274" s="751"/>
      <c r="AB274" s="635">
        <v>1005</v>
      </c>
      <c r="AC274" s="4"/>
      <c r="AD274" s="4"/>
      <c r="AE274" s="4"/>
      <c r="AF274" s="4"/>
      <c r="AG274" s="4"/>
      <c r="AH274" s="147"/>
      <c r="AI274" s="4"/>
      <c r="AJ274" s="4"/>
      <c r="AK274" s="4"/>
      <c r="AL274" s="4"/>
    </row>
    <row r="275" spans="1:38" s="1" customFormat="1" ht="12.6" customHeight="1">
      <c r="A275" s="21"/>
      <c r="B275" s="699" t="s">
        <v>231</v>
      </c>
      <c r="C275" s="724"/>
      <c r="D275" s="724"/>
      <c r="E275" s="725"/>
      <c r="F275" s="382"/>
      <c r="G275" s="382"/>
      <c r="H275" s="1291"/>
      <c r="I275" s="1292"/>
      <c r="J275" s="1292"/>
      <c r="K275" s="1292"/>
      <c r="L275" s="1292"/>
      <c r="M275" s="1293"/>
      <c r="N275" s="528"/>
      <c r="O275" s="382"/>
      <c r="P275" s="528"/>
      <c r="Q275" s="382"/>
      <c r="R275" s="528"/>
      <c r="S275" s="382"/>
      <c r="T275" s="528"/>
      <c r="U275" s="382"/>
      <c r="V275" s="528"/>
      <c r="W275" s="382"/>
      <c r="X275" s="749"/>
      <c r="Y275" s="750"/>
      <c r="Z275" s="750"/>
      <c r="AA275" s="751"/>
      <c r="AB275" s="635">
        <v>1006</v>
      </c>
      <c r="AC275" s="4"/>
      <c r="AD275" s="4"/>
      <c r="AE275" s="4"/>
      <c r="AF275" s="4"/>
      <c r="AG275" s="4"/>
      <c r="AH275" s="147"/>
      <c r="AI275" s="4"/>
      <c r="AJ275" s="4"/>
      <c r="AK275" s="4"/>
      <c r="AL275" s="4"/>
    </row>
    <row r="276" spans="1:38" s="1" customFormat="1" ht="12.6" customHeight="1">
      <c r="A276" s="21"/>
      <c r="B276" s="702" t="s">
        <v>696</v>
      </c>
      <c r="C276" s="703"/>
      <c r="D276" s="703"/>
      <c r="E276" s="704"/>
      <c r="F276" s="383">
        <v>3766</v>
      </c>
      <c r="G276" s="383">
        <f t="shared" si="638"/>
        <v>3766</v>
      </c>
      <c r="H276" s="421">
        <f>F276+210</f>
        <v>3976</v>
      </c>
      <c r="I276" s="381">
        <f t="shared" ref="I276:I278" si="639">+H276*$X$1</f>
        <v>3976</v>
      </c>
      <c r="J276" s="78">
        <f>F276+80</f>
        <v>3846</v>
      </c>
      <c r="K276" s="381">
        <f t="shared" ref="K276:K278" si="640">+J276*$X$1</f>
        <v>3846</v>
      </c>
      <c r="L276" s="421">
        <f>F276+58</f>
        <v>3824</v>
      </c>
      <c r="M276" s="381">
        <f t="shared" ref="M276:M278" si="641">+L276*$X$1</f>
        <v>3824</v>
      </c>
      <c r="N276" s="421">
        <f t="shared" si="633"/>
        <v>3815</v>
      </c>
      <c r="O276" s="381">
        <f t="shared" si="627"/>
        <v>3815</v>
      </c>
      <c r="P276" s="421">
        <f t="shared" si="634"/>
        <v>3812</v>
      </c>
      <c r="Q276" s="381">
        <f t="shared" si="628"/>
        <v>3812</v>
      </c>
      <c r="R276" s="421">
        <f t="shared" si="635"/>
        <v>3809</v>
      </c>
      <c r="S276" s="381">
        <f t="shared" si="629"/>
        <v>3809</v>
      </c>
      <c r="T276" s="421">
        <f t="shared" si="636"/>
        <v>3804</v>
      </c>
      <c r="U276" s="381">
        <f t="shared" si="630"/>
        <v>3804</v>
      </c>
      <c r="V276" s="421">
        <f t="shared" si="637"/>
        <v>3802</v>
      </c>
      <c r="W276" s="381">
        <f t="shared" si="631"/>
        <v>3802</v>
      </c>
      <c r="X276" s="749"/>
      <c r="Y276" s="750"/>
      <c r="Z276" s="750"/>
      <c r="AA276" s="751"/>
      <c r="AB276" s="635">
        <v>1010</v>
      </c>
      <c r="AC276" s="4"/>
      <c r="AD276" s="4"/>
      <c r="AE276" s="4"/>
      <c r="AF276" s="4"/>
      <c r="AG276" s="4"/>
      <c r="AH276" s="147"/>
      <c r="AI276" s="4"/>
      <c r="AJ276" s="4"/>
      <c r="AK276" s="4"/>
      <c r="AL276" s="4"/>
    </row>
    <row r="277" spans="1:38" s="1" customFormat="1" ht="12.6" customHeight="1">
      <c r="A277" s="21"/>
      <c r="B277" s="699" t="s">
        <v>697</v>
      </c>
      <c r="C277" s="724"/>
      <c r="D277" s="724"/>
      <c r="E277" s="725"/>
      <c r="F277" s="382">
        <v>9415</v>
      </c>
      <c r="G277" s="382">
        <f t="shared" si="638"/>
        <v>9415</v>
      </c>
      <c r="H277" s="528">
        <f>F277+210</f>
        <v>9625</v>
      </c>
      <c r="I277" s="382">
        <f t="shared" si="639"/>
        <v>9625</v>
      </c>
      <c r="J277" s="98">
        <f>F277+80</f>
        <v>9495</v>
      </c>
      <c r="K277" s="382">
        <f t="shared" si="640"/>
        <v>9495</v>
      </c>
      <c r="L277" s="528">
        <f>F277+58</f>
        <v>9473</v>
      </c>
      <c r="M277" s="382">
        <f t="shared" si="641"/>
        <v>9473</v>
      </c>
      <c r="N277" s="528">
        <f t="shared" si="633"/>
        <v>9464</v>
      </c>
      <c r="O277" s="382">
        <f t="shared" si="627"/>
        <v>9464</v>
      </c>
      <c r="P277" s="528">
        <f t="shared" si="634"/>
        <v>9461</v>
      </c>
      <c r="Q277" s="382">
        <f t="shared" si="628"/>
        <v>9461</v>
      </c>
      <c r="R277" s="528">
        <f t="shared" si="635"/>
        <v>9458</v>
      </c>
      <c r="S277" s="382">
        <f t="shared" si="629"/>
        <v>9458</v>
      </c>
      <c r="T277" s="528">
        <f t="shared" si="636"/>
        <v>9453</v>
      </c>
      <c r="U277" s="382">
        <f t="shared" si="630"/>
        <v>9453</v>
      </c>
      <c r="V277" s="528">
        <f t="shared" si="637"/>
        <v>9451</v>
      </c>
      <c r="W277" s="382">
        <f t="shared" si="631"/>
        <v>9451</v>
      </c>
      <c r="X277" s="749"/>
      <c r="Y277" s="750"/>
      <c r="Z277" s="750"/>
      <c r="AA277" s="751"/>
      <c r="AB277" s="635">
        <v>1011</v>
      </c>
      <c r="AC277" s="4"/>
      <c r="AD277" s="4"/>
      <c r="AE277" s="4"/>
      <c r="AF277" s="4"/>
      <c r="AG277" s="4"/>
      <c r="AH277" s="147"/>
      <c r="AI277" s="4"/>
      <c r="AJ277" s="4"/>
      <c r="AK277" s="4"/>
      <c r="AL277" s="4"/>
    </row>
    <row r="278" spans="1:38" s="1" customFormat="1" ht="12.6" customHeight="1">
      <c r="A278" s="21"/>
      <c r="B278" s="702" t="s">
        <v>770</v>
      </c>
      <c r="C278" s="703"/>
      <c r="D278" s="703"/>
      <c r="E278" s="704"/>
      <c r="F278" s="544">
        <f>15.248*X2</f>
        <v>13159.023999999999</v>
      </c>
      <c r="G278" s="383">
        <f t="shared" si="638"/>
        <v>13159.023999999999</v>
      </c>
      <c r="H278" s="78">
        <f>F278+220</f>
        <v>13379.023999999999</v>
      </c>
      <c r="I278" s="381">
        <f t="shared" si="639"/>
        <v>13379.023999999999</v>
      </c>
      <c r="J278" s="421">
        <f>F278+81</f>
        <v>13240.023999999999</v>
      </c>
      <c r="K278" s="381">
        <f t="shared" si="640"/>
        <v>13240.023999999999</v>
      </c>
      <c r="L278" s="421">
        <f>F278+70</f>
        <v>13229.023999999999</v>
      </c>
      <c r="M278" s="381">
        <f t="shared" si="641"/>
        <v>13229.023999999999</v>
      </c>
      <c r="N278" s="421">
        <f>F278+57</f>
        <v>13216.023999999999</v>
      </c>
      <c r="O278" s="381">
        <f t="shared" si="627"/>
        <v>13216.023999999999</v>
      </c>
      <c r="P278" s="421">
        <f>F278+55</f>
        <v>13214.023999999999</v>
      </c>
      <c r="Q278" s="381">
        <f t="shared" si="628"/>
        <v>13214.023999999999</v>
      </c>
      <c r="R278" s="421">
        <f>F278+51</f>
        <v>13210.023999999999</v>
      </c>
      <c r="S278" s="381">
        <f t="shared" si="629"/>
        <v>13210.023999999999</v>
      </c>
      <c r="T278" s="421">
        <f>F278+46</f>
        <v>13205.023999999999</v>
      </c>
      <c r="U278" s="381">
        <f t="shared" si="630"/>
        <v>13205.023999999999</v>
      </c>
      <c r="V278" s="421">
        <f>F278+41</f>
        <v>13200.023999999999</v>
      </c>
      <c r="W278" s="381">
        <f t="shared" si="631"/>
        <v>13200.023999999999</v>
      </c>
      <c r="X278" s="446"/>
      <c r="Y278" s="447"/>
      <c r="Z278" s="447"/>
      <c r="AA278" s="448"/>
      <c r="AB278" s="635">
        <v>1028</v>
      </c>
      <c r="AC278" s="4"/>
      <c r="AD278" s="4"/>
      <c r="AE278" s="4"/>
      <c r="AF278" s="4"/>
      <c r="AG278" s="4"/>
      <c r="AH278" s="147"/>
      <c r="AI278" s="4"/>
      <c r="AJ278" s="4"/>
      <c r="AK278" s="4"/>
      <c r="AL278" s="4"/>
    </row>
    <row r="279" spans="1:38" s="1" customFormat="1" ht="12.6" customHeight="1">
      <c r="A279" s="21"/>
      <c r="B279" s="699" t="s">
        <v>767</v>
      </c>
      <c r="C279" s="724"/>
      <c r="D279" s="724"/>
      <c r="E279" s="725"/>
      <c r="F279" s="438">
        <v>3498</v>
      </c>
      <c r="G279" s="382">
        <f t="shared" ref="G279" si="642">+F279*$X$1</f>
        <v>3498</v>
      </c>
      <c r="H279" s="98"/>
      <c r="I279" s="382"/>
      <c r="J279" s="528">
        <f>F279+105</f>
        <v>3603</v>
      </c>
      <c r="K279" s="382">
        <f>+J279*$X$1</f>
        <v>3603</v>
      </c>
      <c r="L279" s="528">
        <f>F279+80</f>
        <v>3578</v>
      </c>
      <c r="M279" s="382">
        <f>+L279*$X$1</f>
        <v>3578</v>
      </c>
      <c r="N279" s="98">
        <f>F279+70</f>
        <v>3568</v>
      </c>
      <c r="O279" s="382">
        <f t="shared" ref="O279" si="643">+N279*$X$1</f>
        <v>3568</v>
      </c>
      <c r="P279" s="98">
        <f>F279+62</f>
        <v>3560</v>
      </c>
      <c r="Q279" s="382">
        <f t="shared" ref="Q279" si="644">+P279*$X$1</f>
        <v>3560</v>
      </c>
      <c r="R279" s="528">
        <f>F279+56</f>
        <v>3554</v>
      </c>
      <c r="S279" s="382">
        <f t="shared" ref="S279" si="645">+R279*$X$1</f>
        <v>3554</v>
      </c>
      <c r="T279" s="528">
        <f>F279+48</f>
        <v>3546</v>
      </c>
      <c r="U279" s="382">
        <f t="shared" ref="U279" si="646">+T279*$X$1</f>
        <v>3546</v>
      </c>
      <c r="V279" s="528">
        <f>F279+45</f>
        <v>3543</v>
      </c>
      <c r="W279" s="382">
        <f t="shared" ref="W279" si="647">+V279*$X$1</f>
        <v>3543</v>
      </c>
      <c r="X279" s="522"/>
      <c r="Y279" s="523"/>
      <c r="Z279" s="523"/>
      <c r="AA279" s="524"/>
      <c r="AB279" s="635">
        <v>1029</v>
      </c>
      <c r="AC279" s="4"/>
      <c r="AD279" s="4"/>
      <c r="AE279" s="4"/>
      <c r="AF279" s="4"/>
      <c r="AG279" s="4"/>
      <c r="AH279" s="147"/>
      <c r="AI279" s="4"/>
      <c r="AJ279" s="4"/>
      <c r="AK279" s="4"/>
      <c r="AL279" s="4"/>
    </row>
    <row r="280" spans="1:38" s="1" customFormat="1" ht="12.6" customHeight="1">
      <c r="A280" s="21"/>
      <c r="B280" s="702" t="s">
        <v>768</v>
      </c>
      <c r="C280" s="703"/>
      <c r="D280" s="703"/>
      <c r="E280" s="704"/>
      <c r="F280" s="439">
        <v>3498</v>
      </c>
      <c r="G280" s="381">
        <f t="shared" si="638"/>
        <v>3498</v>
      </c>
      <c r="H280" s="78"/>
      <c r="I280" s="381"/>
      <c r="J280" s="421">
        <f>F280+105</f>
        <v>3603</v>
      </c>
      <c r="K280" s="381">
        <f>+J280*$X$1</f>
        <v>3603</v>
      </c>
      <c r="L280" s="421">
        <f>F280+80</f>
        <v>3578</v>
      </c>
      <c r="M280" s="381">
        <f>+L280*$X$1</f>
        <v>3578</v>
      </c>
      <c r="N280" s="78">
        <f>F280+70</f>
        <v>3568</v>
      </c>
      <c r="O280" s="381">
        <f t="shared" ref="O280:O281" si="648">+N280*$X$1</f>
        <v>3568</v>
      </c>
      <c r="P280" s="78">
        <f>F280+62</f>
        <v>3560</v>
      </c>
      <c r="Q280" s="381">
        <f t="shared" ref="Q280:Q281" si="649">+P280*$X$1</f>
        <v>3560</v>
      </c>
      <c r="R280" s="421">
        <f>F280+56</f>
        <v>3554</v>
      </c>
      <c r="S280" s="381">
        <f t="shared" ref="S280:S281" si="650">+R280*$X$1</f>
        <v>3554</v>
      </c>
      <c r="T280" s="421">
        <f>F280+48</f>
        <v>3546</v>
      </c>
      <c r="U280" s="381">
        <f t="shared" ref="U280:U281" si="651">+T280*$X$1</f>
        <v>3546</v>
      </c>
      <c r="V280" s="421">
        <f>F280+45</f>
        <v>3543</v>
      </c>
      <c r="W280" s="381">
        <f t="shared" ref="W280:W281" si="652">+V280*$X$1</f>
        <v>3543</v>
      </c>
      <c r="X280" s="433"/>
      <c r="Y280" s="431"/>
      <c r="Z280" s="431"/>
      <c r="AA280" s="432"/>
      <c r="AB280" s="635">
        <v>1030</v>
      </c>
      <c r="AC280" s="4"/>
      <c r="AD280" s="4"/>
      <c r="AE280" s="4"/>
      <c r="AF280" s="4"/>
      <c r="AG280" s="4"/>
      <c r="AH280" s="147"/>
      <c r="AI280" s="4"/>
      <c r="AJ280" s="4"/>
      <c r="AK280" s="4"/>
      <c r="AL280" s="4"/>
    </row>
    <row r="281" spans="1:38" s="1" customFormat="1" ht="12.6" customHeight="1">
      <c r="A281" s="21"/>
      <c r="B281" s="699" t="s">
        <v>769</v>
      </c>
      <c r="C281" s="724"/>
      <c r="D281" s="724"/>
      <c r="E281" s="725"/>
      <c r="F281" s="438">
        <v>3498</v>
      </c>
      <c r="G281" s="382">
        <f t="shared" ref="G281" si="653">+F281*$X$1</f>
        <v>3498</v>
      </c>
      <c r="H281" s="98"/>
      <c r="I281" s="382"/>
      <c r="J281" s="528">
        <f>F281+105</f>
        <v>3603</v>
      </c>
      <c r="K281" s="382">
        <f>+J281*$X$1</f>
        <v>3603</v>
      </c>
      <c r="L281" s="528">
        <f>F281+80</f>
        <v>3578</v>
      </c>
      <c r="M281" s="382">
        <f>+L281*$X$1</f>
        <v>3578</v>
      </c>
      <c r="N281" s="98">
        <f>F281+70</f>
        <v>3568</v>
      </c>
      <c r="O281" s="382">
        <f t="shared" si="648"/>
        <v>3568</v>
      </c>
      <c r="P281" s="98">
        <f>F281+62</f>
        <v>3560</v>
      </c>
      <c r="Q281" s="382">
        <f t="shared" si="649"/>
        <v>3560</v>
      </c>
      <c r="R281" s="528">
        <f>F281+56</f>
        <v>3554</v>
      </c>
      <c r="S281" s="382">
        <f t="shared" si="650"/>
        <v>3554</v>
      </c>
      <c r="T281" s="528">
        <f>F281+48</f>
        <v>3546</v>
      </c>
      <c r="U281" s="382">
        <f t="shared" si="651"/>
        <v>3546</v>
      </c>
      <c r="V281" s="528">
        <f>F281+45</f>
        <v>3543</v>
      </c>
      <c r="W281" s="382">
        <f t="shared" si="652"/>
        <v>3543</v>
      </c>
      <c r="X281" s="440"/>
      <c r="Y281" s="441"/>
      <c r="Z281" s="441"/>
      <c r="AA281" s="442"/>
      <c r="AB281" s="635">
        <v>1031</v>
      </c>
      <c r="AC281" s="4"/>
      <c r="AD281" s="4"/>
      <c r="AE281" s="4"/>
      <c r="AF281" s="4"/>
      <c r="AG281" s="4"/>
      <c r="AH281" s="147"/>
      <c r="AI281" s="4"/>
      <c r="AJ281" s="4"/>
      <c r="AK281" s="4"/>
      <c r="AL281" s="4"/>
    </row>
    <row r="282" spans="1:38" s="1" customFormat="1" ht="12.6" customHeight="1">
      <c r="A282" s="21"/>
      <c r="B282" s="702" t="s">
        <v>695</v>
      </c>
      <c r="C282" s="703"/>
      <c r="D282" s="703"/>
      <c r="E282" s="704"/>
      <c r="F282" s="544"/>
      <c r="G282" s="383"/>
      <c r="H282" s="78"/>
      <c r="I282" s="381"/>
      <c r="J282" s="421"/>
      <c r="K282" s="381"/>
      <c r="L282" s="421"/>
      <c r="M282" s="381"/>
      <c r="N282" s="421"/>
      <c r="O282" s="381"/>
      <c r="P282" s="421"/>
      <c r="Q282" s="381"/>
      <c r="R282" s="421"/>
      <c r="S282" s="381"/>
      <c r="T282" s="421"/>
      <c r="U282" s="381"/>
      <c r="V282" s="421"/>
      <c r="W282" s="381"/>
      <c r="X282" s="433"/>
      <c r="Y282" s="431"/>
      <c r="Z282" s="431"/>
      <c r="AA282" s="432"/>
      <c r="AB282" s="635">
        <v>1032</v>
      </c>
      <c r="AC282" s="4"/>
      <c r="AD282" s="4"/>
      <c r="AE282" s="4"/>
      <c r="AF282" s="4"/>
      <c r="AG282" s="4"/>
      <c r="AH282" s="147"/>
      <c r="AI282" s="4"/>
      <c r="AJ282" s="4"/>
      <c r="AK282" s="4"/>
      <c r="AL282" s="4"/>
    </row>
    <row r="283" spans="1:38" s="1" customFormat="1" ht="12.6" customHeight="1">
      <c r="A283" s="21"/>
      <c r="B283" s="699" t="s">
        <v>598</v>
      </c>
      <c r="C283" s="724"/>
      <c r="D283" s="724"/>
      <c r="E283" s="725"/>
      <c r="F283" s="543">
        <f>4.5*X2</f>
        <v>3883.5</v>
      </c>
      <c r="G283" s="384">
        <f t="shared" ref="G283" si="654">+F283*$X$1</f>
        <v>3883.5</v>
      </c>
      <c r="H283" s="98">
        <f>F283+220</f>
        <v>4103.5</v>
      </c>
      <c r="I283" s="382">
        <f t="shared" ref="I283:I284" si="655">+H283*$X$1</f>
        <v>4103.5</v>
      </c>
      <c r="J283" s="528">
        <f>F283+81</f>
        <v>3964.5</v>
      </c>
      <c r="K283" s="382">
        <f t="shared" ref="K283:K284" si="656">+J283*$X$1</f>
        <v>3964.5</v>
      </c>
      <c r="L283" s="528">
        <f>F283+70</f>
        <v>3953.5</v>
      </c>
      <c r="M283" s="382">
        <f t="shared" ref="M283:M284" si="657">+L283*$X$1</f>
        <v>3953.5</v>
      </c>
      <c r="N283" s="528">
        <f>F283+57</f>
        <v>3940.5</v>
      </c>
      <c r="O283" s="382">
        <f t="shared" ref="O283:O284" si="658">+N283*$X$1</f>
        <v>3940.5</v>
      </c>
      <c r="P283" s="528">
        <f>F283+55</f>
        <v>3938.5</v>
      </c>
      <c r="Q283" s="382">
        <f t="shared" ref="Q283:Q284" si="659">+P283*$X$1</f>
        <v>3938.5</v>
      </c>
      <c r="R283" s="528">
        <f>F283+51</f>
        <v>3934.5</v>
      </c>
      <c r="S283" s="382">
        <f t="shared" ref="S283:S284" si="660">+R283*$X$1</f>
        <v>3934.5</v>
      </c>
      <c r="T283" s="528">
        <f>F283+46</f>
        <v>3929.5</v>
      </c>
      <c r="U283" s="382">
        <f t="shared" ref="U283:U284" si="661">+T283*$X$1</f>
        <v>3929.5</v>
      </c>
      <c r="V283" s="528">
        <f>F283+41</f>
        <v>3924.5</v>
      </c>
      <c r="W283" s="382">
        <f t="shared" ref="W283:W284" si="662">+V283*$X$1</f>
        <v>3924.5</v>
      </c>
      <c r="X283" s="321"/>
      <c r="Y283" s="322"/>
      <c r="Z283" s="322"/>
      <c r="AA283" s="323"/>
      <c r="AB283" s="635">
        <v>1033</v>
      </c>
      <c r="AC283" s="4"/>
      <c r="AD283" s="4"/>
      <c r="AE283" s="4"/>
      <c r="AF283" s="4"/>
      <c r="AG283" s="4"/>
      <c r="AH283" s="147"/>
      <c r="AI283" s="4"/>
      <c r="AJ283" s="4"/>
      <c r="AK283" s="4"/>
      <c r="AL283" s="4"/>
    </row>
    <row r="284" spans="1:38" s="1" customFormat="1" ht="12.6" customHeight="1">
      <c r="A284" s="21"/>
      <c r="B284" s="702" t="s">
        <v>585</v>
      </c>
      <c r="C284" s="703"/>
      <c r="D284" s="703"/>
      <c r="E284" s="704"/>
      <c r="F284" s="536">
        <f>23.461*X2</f>
        <v>20246.842999999997</v>
      </c>
      <c r="G284" s="381">
        <f t="shared" ref="G284" si="663">+F284*$X$1</f>
        <v>20246.842999999997</v>
      </c>
      <c r="H284" s="78">
        <f>F284+220</f>
        <v>20466.842999999997</v>
      </c>
      <c r="I284" s="381">
        <f t="shared" si="655"/>
        <v>20466.842999999997</v>
      </c>
      <c r="J284" s="421">
        <f>F284+81</f>
        <v>20327.842999999997</v>
      </c>
      <c r="K284" s="381">
        <f t="shared" si="656"/>
        <v>20327.842999999997</v>
      </c>
      <c r="L284" s="421">
        <f>F284+70</f>
        <v>20316.842999999997</v>
      </c>
      <c r="M284" s="381">
        <f t="shared" si="657"/>
        <v>20316.842999999997</v>
      </c>
      <c r="N284" s="421">
        <f>F284+57</f>
        <v>20303.842999999997</v>
      </c>
      <c r="O284" s="381">
        <f t="shared" si="658"/>
        <v>20303.842999999997</v>
      </c>
      <c r="P284" s="421">
        <f>F284+55</f>
        <v>20301.842999999997</v>
      </c>
      <c r="Q284" s="381">
        <f t="shared" si="659"/>
        <v>20301.842999999997</v>
      </c>
      <c r="R284" s="421">
        <f>F284+51</f>
        <v>20297.842999999997</v>
      </c>
      <c r="S284" s="381">
        <f t="shared" si="660"/>
        <v>20297.842999999997</v>
      </c>
      <c r="T284" s="421">
        <f>F284+46</f>
        <v>20292.842999999997</v>
      </c>
      <c r="U284" s="381">
        <f t="shared" si="661"/>
        <v>20292.842999999997</v>
      </c>
      <c r="V284" s="421">
        <f>F284+41</f>
        <v>20287.842999999997</v>
      </c>
      <c r="W284" s="381">
        <f t="shared" si="662"/>
        <v>20287.842999999997</v>
      </c>
      <c r="X284" s="311"/>
      <c r="Y284" s="313"/>
      <c r="Z284" s="313"/>
      <c r="AA284" s="312"/>
      <c r="AB284" s="635">
        <v>1034</v>
      </c>
      <c r="AC284" s="4"/>
      <c r="AD284" s="4"/>
      <c r="AE284" s="4"/>
      <c r="AF284" s="4"/>
      <c r="AG284" s="4"/>
      <c r="AH284" s="147"/>
      <c r="AI284" s="4"/>
      <c r="AJ284" s="4"/>
      <c r="AK284" s="4"/>
      <c r="AL284" s="4"/>
    </row>
    <row r="285" spans="1:38" ht="12.6" customHeight="1">
      <c r="A285" s="20"/>
      <c r="B285" s="699" t="s">
        <v>584</v>
      </c>
      <c r="C285" s="724"/>
      <c r="D285" s="724"/>
      <c r="E285" s="725"/>
      <c r="F285" s="543">
        <f>3.25*X2</f>
        <v>2804.75</v>
      </c>
      <c r="G285" s="384">
        <f t="shared" ref="G285" si="664">+F285*$X$1</f>
        <v>2804.75</v>
      </c>
      <c r="H285" s="98">
        <f>F285+250</f>
        <v>3054.75</v>
      </c>
      <c r="I285" s="382">
        <f t="shared" ref="I285:I286" si="665">+H285*$X$1</f>
        <v>3054.75</v>
      </c>
      <c r="J285" s="603">
        <f>F285+120</f>
        <v>2924.75</v>
      </c>
      <c r="K285" s="382">
        <f>+J285*$X$1</f>
        <v>2924.75</v>
      </c>
      <c r="L285" s="528">
        <f>F285+90</f>
        <v>2894.75</v>
      </c>
      <c r="M285" s="382">
        <f>+L285*$X$1</f>
        <v>2894.75</v>
      </c>
      <c r="N285" s="98">
        <f>F285+70</f>
        <v>2874.75</v>
      </c>
      <c r="O285" s="382">
        <f t="shared" ref="O285:O297" si="666">+N285*$X$1</f>
        <v>2874.75</v>
      </c>
      <c r="P285" s="98">
        <f>F285+62</f>
        <v>2866.75</v>
      </c>
      <c r="Q285" s="382">
        <f t="shared" ref="Q285:Q297" si="667">+P285*$X$1</f>
        <v>2866.75</v>
      </c>
      <c r="R285" s="528">
        <f>F285+56</f>
        <v>2860.75</v>
      </c>
      <c r="S285" s="382">
        <f t="shared" ref="S285:S297" si="668">+R285*$X$1</f>
        <v>2860.75</v>
      </c>
      <c r="T285" s="528">
        <f>F285+48</f>
        <v>2852.75</v>
      </c>
      <c r="U285" s="382">
        <f t="shared" ref="U285:U297" si="669">+T285*$X$1</f>
        <v>2852.75</v>
      </c>
      <c r="V285" s="528">
        <f>F285+45</f>
        <v>2849.75</v>
      </c>
      <c r="W285" s="382">
        <f t="shared" ref="W285:W297" si="670">+V285*$X$1</f>
        <v>2849.75</v>
      </c>
      <c r="X285" s="295"/>
      <c r="Y285" s="296"/>
      <c r="Z285" s="296"/>
      <c r="AA285" s="297"/>
      <c r="AB285" s="635">
        <v>1035</v>
      </c>
    </row>
    <row r="286" spans="1:38" ht="12.6" customHeight="1">
      <c r="A286" s="20"/>
      <c r="B286" s="702" t="s">
        <v>773</v>
      </c>
      <c r="C286" s="703"/>
      <c r="D286" s="703"/>
      <c r="E286" s="704"/>
      <c r="F286" s="536">
        <f>3.94*X2</f>
        <v>3400.22</v>
      </c>
      <c r="G286" s="381">
        <f t="shared" ref="G286:G287" si="671">+F286*$X$1</f>
        <v>3400.22</v>
      </c>
      <c r="H286" s="78">
        <f>F286+250</f>
        <v>3650.22</v>
      </c>
      <c r="I286" s="381">
        <f t="shared" si="665"/>
        <v>3650.22</v>
      </c>
      <c r="J286" s="421">
        <f>F286+120</f>
        <v>3520.22</v>
      </c>
      <c r="K286" s="381">
        <f>+J286*$X$1</f>
        <v>3520.22</v>
      </c>
      <c r="L286" s="421">
        <f>F286+90</f>
        <v>3490.22</v>
      </c>
      <c r="M286" s="381">
        <f>+L286*$X$1</f>
        <v>3490.22</v>
      </c>
      <c r="N286" s="78">
        <f>F286+70</f>
        <v>3470.22</v>
      </c>
      <c r="O286" s="381">
        <f t="shared" ref="O286" si="672">+N286*$X$1</f>
        <v>3470.22</v>
      </c>
      <c r="P286" s="78">
        <f>F286+62</f>
        <v>3462.22</v>
      </c>
      <c r="Q286" s="381">
        <f t="shared" ref="Q286" si="673">+P286*$X$1</f>
        <v>3462.22</v>
      </c>
      <c r="R286" s="421">
        <f>F286+56</f>
        <v>3456.22</v>
      </c>
      <c r="S286" s="381">
        <f t="shared" ref="S286" si="674">+R286*$X$1</f>
        <v>3456.22</v>
      </c>
      <c r="T286" s="421">
        <f>F286+48</f>
        <v>3448.22</v>
      </c>
      <c r="U286" s="381">
        <f t="shared" ref="U286" si="675">+T286*$X$1</f>
        <v>3448.22</v>
      </c>
      <c r="V286" s="421">
        <f>F286+45</f>
        <v>3445.22</v>
      </c>
      <c r="W286" s="381">
        <f t="shared" ref="W286" si="676">+V286*$X$1</f>
        <v>3445.22</v>
      </c>
      <c r="X286" s="305"/>
      <c r="Y286" s="307"/>
      <c r="Z286" s="307"/>
      <c r="AA286" s="306"/>
      <c r="AB286" s="635">
        <v>1036</v>
      </c>
    </row>
    <row r="287" spans="1:38" ht="12.6" customHeight="1">
      <c r="A287" s="20"/>
      <c r="B287" s="699" t="s">
        <v>596</v>
      </c>
      <c r="C287" s="724"/>
      <c r="D287" s="724"/>
      <c r="E287" s="725"/>
      <c r="F287" s="537">
        <f>4.47*X2</f>
        <v>3857.6099999999997</v>
      </c>
      <c r="G287" s="382">
        <f t="shared" si="671"/>
        <v>3857.6099999999997</v>
      </c>
      <c r="H287" s="98">
        <f t="shared" ref="H287:H297" si="677">F287+220</f>
        <v>4077.6099999999997</v>
      </c>
      <c r="I287" s="382">
        <f t="shared" ref="I287:I297" si="678">+H287*$X$1</f>
        <v>4077.6099999999997</v>
      </c>
      <c r="J287" s="528">
        <f t="shared" ref="J287:J297" si="679">F287+81</f>
        <v>3938.6099999999997</v>
      </c>
      <c r="K287" s="382">
        <f t="shared" ref="K287:K297" si="680">+J287*$X$1</f>
        <v>3938.6099999999997</v>
      </c>
      <c r="L287" s="528">
        <f t="shared" ref="L287:L297" si="681">F287+70</f>
        <v>3927.6099999999997</v>
      </c>
      <c r="M287" s="382">
        <f t="shared" ref="M287:M297" si="682">+L287*$X$1</f>
        <v>3927.6099999999997</v>
      </c>
      <c r="N287" s="528">
        <f t="shared" ref="N287:N297" si="683">F287+57</f>
        <v>3914.6099999999997</v>
      </c>
      <c r="O287" s="382">
        <f t="shared" si="666"/>
        <v>3914.6099999999997</v>
      </c>
      <c r="P287" s="528"/>
      <c r="Q287" s="382"/>
      <c r="R287" s="528"/>
      <c r="S287" s="382"/>
      <c r="T287" s="528"/>
      <c r="U287" s="382"/>
      <c r="V287" s="528"/>
      <c r="W287" s="382"/>
      <c r="X287" s="317"/>
      <c r="Y287" s="319"/>
      <c r="Z287" s="319"/>
      <c r="AA287" s="318"/>
      <c r="AB287" s="635">
        <v>1037</v>
      </c>
    </row>
    <row r="288" spans="1:38" ht="12.6" customHeight="1">
      <c r="A288" s="20"/>
      <c r="B288" s="697" t="s">
        <v>542</v>
      </c>
      <c r="C288" s="698"/>
      <c r="D288" s="698"/>
      <c r="E288" s="698"/>
      <c r="F288" s="439">
        <v>15946</v>
      </c>
      <c r="G288" s="381">
        <f>+F288*$X$1</f>
        <v>15946</v>
      </c>
      <c r="H288" s="78">
        <f t="shared" si="677"/>
        <v>16166</v>
      </c>
      <c r="I288" s="381">
        <f t="shared" si="678"/>
        <v>16166</v>
      </c>
      <c r="J288" s="421">
        <f t="shared" si="679"/>
        <v>16027</v>
      </c>
      <c r="K288" s="381">
        <f t="shared" si="680"/>
        <v>16027</v>
      </c>
      <c r="L288" s="421">
        <f t="shared" si="681"/>
        <v>16016</v>
      </c>
      <c r="M288" s="381">
        <f t="shared" si="682"/>
        <v>16016</v>
      </c>
      <c r="N288" s="421">
        <f t="shared" si="683"/>
        <v>16003</v>
      </c>
      <c r="O288" s="381">
        <f t="shared" si="666"/>
        <v>16003</v>
      </c>
      <c r="P288" s="421">
        <f t="shared" ref="P288:P297" si="684">F288+55</f>
        <v>16001</v>
      </c>
      <c r="Q288" s="381">
        <f t="shared" si="667"/>
        <v>16001</v>
      </c>
      <c r="R288" s="421">
        <f t="shared" ref="R288:R297" si="685">F288+51</f>
        <v>15997</v>
      </c>
      <c r="S288" s="381">
        <f t="shared" si="668"/>
        <v>15997</v>
      </c>
      <c r="T288" s="421">
        <f t="shared" ref="T288:T297" si="686">F288+46</f>
        <v>15992</v>
      </c>
      <c r="U288" s="381">
        <f t="shared" si="669"/>
        <v>15992</v>
      </c>
      <c r="V288" s="421">
        <f t="shared" ref="V288:V297" si="687">F288+41</f>
        <v>15987</v>
      </c>
      <c r="W288" s="381">
        <f t="shared" si="670"/>
        <v>15987</v>
      </c>
      <c r="X288" s="749"/>
      <c r="Y288" s="750"/>
      <c r="Z288" s="750"/>
      <c r="AA288" s="751"/>
      <c r="AB288" s="635">
        <v>1040</v>
      </c>
      <c r="AC288" s="71"/>
    </row>
    <row r="289" spans="1:38" ht="12.6" customHeight="1">
      <c r="A289" s="20"/>
      <c r="B289" s="713" t="s">
        <v>609</v>
      </c>
      <c r="C289" s="714"/>
      <c r="D289" s="714"/>
      <c r="E289" s="714"/>
      <c r="F289" s="537">
        <f>25.63*X2</f>
        <v>22118.69</v>
      </c>
      <c r="G289" s="382">
        <f>+F289*$X$1</f>
        <v>22118.69</v>
      </c>
      <c r="H289" s="98">
        <f t="shared" si="677"/>
        <v>22338.69</v>
      </c>
      <c r="I289" s="382">
        <f t="shared" si="678"/>
        <v>22338.69</v>
      </c>
      <c r="J289" s="528">
        <f t="shared" si="679"/>
        <v>22199.69</v>
      </c>
      <c r="K289" s="382">
        <f t="shared" si="680"/>
        <v>22199.69</v>
      </c>
      <c r="L289" s="528">
        <f t="shared" si="681"/>
        <v>22188.69</v>
      </c>
      <c r="M289" s="382">
        <f t="shared" si="682"/>
        <v>22188.69</v>
      </c>
      <c r="N289" s="528">
        <f t="shared" si="683"/>
        <v>22175.69</v>
      </c>
      <c r="O289" s="382">
        <f t="shared" si="666"/>
        <v>22175.69</v>
      </c>
      <c r="P289" s="528">
        <f t="shared" si="684"/>
        <v>22173.69</v>
      </c>
      <c r="Q289" s="382">
        <f t="shared" si="667"/>
        <v>22173.69</v>
      </c>
      <c r="R289" s="528">
        <f t="shared" si="685"/>
        <v>22169.69</v>
      </c>
      <c r="S289" s="382">
        <f t="shared" si="668"/>
        <v>22169.69</v>
      </c>
      <c r="T289" s="528">
        <f t="shared" si="686"/>
        <v>22164.69</v>
      </c>
      <c r="U289" s="382">
        <f t="shared" si="669"/>
        <v>22164.69</v>
      </c>
      <c r="V289" s="528">
        <f t="shared" si="687"/>
        <v>22159.69</v>
      </c>
      <c r="W289" s="382">
        <f t="shared" si="670"/>
        <v>22159.69</v>
      </c>
      <c r="X289" s="749"/>
      <c r="Y289" s="750"/>
      <c r="Z289" s="750"/>
      <c r="AA289" s="751"/>
      <c r="AB289" s="635">
        <v>1041</v>
      </c>
      <c r="AC289" s="71"/>
    </row>
    <row r="290" spans="1:38" ht="12.6" customHeight="1">
      <c r="A290" s="20"/>
      <c r="B290" s="697" t="s">
        <v>590</v>
      </c>
      <c r="C290" s="698"/>
      <c r="D290" s="698"/>
      <c r="E290" s="698"/>
      <c r="F290" s="536">
        <f>18.25*X2</f>
        <v>15749.75</v>
      </c>
      <c r="G290" s="381">
        <f t="shared" ref="G290" si="688">+F290*$X$1</f>
        <v>15749.75</v>
      </c>
      <c r="H290" s="78">
        <f t="shared" si="677"/>
        <v>15969.75</v>
      </c>
      <c r="I290" s="381">
        <f t="shared" si="678"/>
        <v>15969.75</v>
      </c>
      <c r="J290" s="421">
        <f t="shared" si="679"/>
        <v>15830.75</v>
      </c>
      <c r="K290" s="381">
        <f t="shared" si="680"/>
        <v>15830.75</v>
      </c>
      <c r="L290" s="421">
        <f t="shared" si="681"/>
        <v>15819.75</v>
      </c>
      <c r="M290" s="381">
        <f t="shared" si="682"/>
        <v>15819.75</v>
      </c>
      <c r="N290" s="421">
        <f t="shared" si="683"/>
        <v>15806.75</v>
      </c>
      <c r="O290" s="381">
        <f t="shared" si="666"/>
        <v>15806.75</v>
      </c>
      <c r="P290" s="421">
        <f t="shared" si="684"/>
        <v>15804.75</v>
      </c>
      <c r="Q290" s="381">
        <f t="shared" si="667"/>
        <v>15804.75</v>
      </c>
      <c r="R290" s="421">
        <f t="shared" si="685"/>
        <v>15800.75</v>
      </c>
      <c r="S290" s="381">
        <f t="shared" si="668"/>
        <v>15800.75</v>
      </c>
      <c r="T290" s="421">
        <f t="shared" si="686"/>
        <v>15795.75</v>
      </c>
      <c r="U290" s="381">
        <f t="shared" si="669"/>
        <v>15795.75</v>
      </c>
      <c r="V290" s="421">
        <f t="shared" si="687"/>
        <v>15790.75</v>
      </c>
      <c r="W290" s="381">
        <f t="shared" si="670"/>
        <v>15790.75</v>
      </c>
      <c r="X290" s="749"/>
      <c r="Y290" s="750"/>
      <c r="Z290" s="750"/>
      <c r="AA290" s="751"/>
      <c r="AB290" s="635">
        <v>1042</v>
      </c>
    </row>
    <row r="291" spans="1:38" ht="12.6" customHeight="1">
      <c r="A291" s="20"/>
      <c r="B291" s="713" t="s">
        <v>652</v>
      </c>
      <c r="C291" s="714"/>
      <c r="D291" s="714"/>
      <c r="E291" s="714"/>
      <c r="F291" s="438">
        <v>26560</v>
      </c>
      <c r="G291" s="382">
        <f t="shared" ref="G291:G297" si="689">+F291*$X$1</f>
        <v>26560</v>
      </c>
      <c r="H291" s="98">
        <f t="shared" si="677"/>
        <v>26780</v>
      </c>
      <c r="I291" s="382">
        <f t="shared" si="678"/>
        <v>26780</v>
      </c>
      <c r="J291" s="551">
        <f t="shared" si="679"/>
        <v>26641</v>
      </c>
      <c r="K291" s="382">
        <f t="shared" si="680"/>
        <v>26641</v>
      </c>
      <c r="L291" s="551">
        <f t="shared" si="681"/>
        <v>26630</v>
      </c>
      <c r="M291" s="382">
        <f t="shared" si="682"/>
        <v>26630</v>
      </c>
      <c r="N291" s="551">
        <f t="shared" si="683"/>
        <v>26617</v>
      </c>
      <c r="O291" s="382">
        <f t="shared" si="666"/>
        <v>26617</v>
      </c>
      <c r="P291" s="551">
        <f t="shared" si="684"/>
        <v>26615</v>
      </c>
      <c r="Q291" s="382">
        <f t="shared" si="667"/>
        <v>26615</v>
      </c>
      <c r="R291" s="551">
        <f t="shared" si="685"/>
        <v>26611</v>
      </c>
      <c r="S291" s="382">
        <f t="shared" si="668"/>
        <v>26611</v>
      </c>
      <c r="T291" s="551">
        <f t="shared" si="686"/>
        <v>26606</v>
      </c>
      <c r="U291" s="382">
        <f t="shared" si="669"/>
        <v>26606</v>
      </c>
      <c r="V291" s="551">
        <f t="shared" si="687"/>
        <v>26601</v>
      </c>
      <c r="W291" s="382">
        <f t="shared" si="670"/>
        <v>26601</v>
      </c>
      <c r="X291" s="749"/>
      <c r="Y291" s="750"/>
      <c r="Z291" s="750"/>
      <c r="AA291" s="751"/>
      <c r="AB291" s="635">
        <v>1043</v>
      </c>
      <c r="AC291" s="71"/>
    </row>
    <row r="292" spans="1:38" ht="12.6" customHeight="1">
      <c r="A292" s="20"/>
      <c r="B292" s="697" t="s">
        <v>653</v>
      </c>
      <c r="C292" s="698"/>
      <c r="D292" s="698"/>
      <c r="E292" s="698"/>
      <c r="F292" s="439">
        <v>24192</v>
      </c>
      <c r="G292" s="381">
        <f t="shared" si="689"/>
        <v>24192</v>
      </c>
      <c r="H292" s="78">
        <f t="shared" si="677"/>
        <v>24412</v>
      </c>
      <c r="I292" s="381">
        <f t="shared" si="678"/>
        <v>24412</v>
      </c>
      <c r="J292" s="421">
        <f t="shared" si="679"/>
        <v>24273</v>
      </c>
      <c r="K292" s="381">
        <f t="shared" si="680"/>
        <v>24273</v>
      </c>
      <c r="L292" s="421">
        <f t="shared" si="681"/>
        <v>24262</v>
      </c>
      <c r="M292" s="381">
        <f t="shared" si="682"/>
        <v>24262</v>
      </c>
      <c r="N292" s="421">
        <f t="shared" si="683"/>
        <v>24249</v>
      </c>
      <c r="O292" s="381">
        <f t="shared" si="666"/>
        <v>24249</v>
      </c>
      <c r="P292" s="421">
        <f t="shared" si="684"/>
        <v>24247</v>
      </c>
      <c r="Q292" s="381">
        <f t="shared" si="667"/>
        <v>24247</v>
      </c>
      <c r="R292" s="421">
        <f t="shared" si="685"/>
        <v>24243</v>
      </c>
      <c r="S292" s="381">
        <f t="shared" si="668"/>
        <v>24243</v>
      </c>
      <c r="T292" s="421">
        <f t="shared" si="686"/>
        <v>24238</v>
      </c>
      <c r="U292" s="381">
        <f t="shared" si="669"/>
        <v>24238</v>
      </c>
      <c r="V292" s="421">
        <f t="shared" si="687"/>
        <v>24233</v>
      </c>
      <c r="W292" s="381">
        <f t="shared" si="670"/>
        <v>24233</v>
      </c>
      <c r="X292" s="749"/>
      <c r="Y292" s="750"/>
      <c r="Z292" s="750"/>
      <c r="AA292" s="751"/>
      <c r="AB292" s="635">
        <v>1044</v>
      </c>
      <c r="AC292" s="71"/>
    </row>
    <row r="293" spans="1:38" ht="12.6" customHeight="1">
      <c r="A293" s="20"/>
      <c r="B293" s="713" t="s">
        <v>693</v>
      </c>
      <c r="C293" s="714"/>
      <c r="D293" s="714"/>
      <c r="E293" s="714"/>
      <c r="F293" s="438">
        <v>15490</v>
      </c>
      <c r="G293" s="382">
        <f t="shared" si="689"/>
        <v>15490</v>
      </c>
      <c r="H293" s="98">
        <f t="shared" si="677"/>
        <v>15710</v>
      </c>
      <c r="I293" s="382">
        <f t="shared" si="678"/>
        <v>15710</v>
      </c>
      <c r="J293" s="528">
        <f t="shared" si="679"/>
        <v>15571</v>
      </c>
      <c r="K293" s="382">
        <f t="shared" si="680"/>
        <v>15571</v>
      </c>
      <c r="L293" s="528">
        <f t="shared" si="681"/>
        <v>15560</v>
      </c>
      <c r="M293" s="382">
        <f t="shared" si="682"/>
        <v>15560</v>
      </c>
      <c r="N293" s="528">
        <f t="shared" si="683"/>
        <v>15547</v>
      </c>
      <c r="O293" s="382">
        <f t="shared" si="666"/>
        <v>15547</v>
      </c>
      <c r="P293" s="528">
        <f t="shared" si="684"/>
        <v>15545</v>
      </c>
      <c r="Q293" s="382">
        <f t="shared" si="667"/>
        <v>15545</v>
      </c>
      <c r="R293" s="528">
        <f t="shared" si="685"/>
        <v>15541</v>
      </c>
      <c r="S293" s="382">
        <f t="shared" si="668"/>
        <v>15541</v>
      </c>
      <c r="T293" s="528">
        <f t="shared" si="686"/>
        <v>15536</v>
      </c>
      <c r="U293" s="382">
        <f t="shared" si="669"/>
        <v>15536</v>
      </c>
      <c r="V293" s="528">
        <f t="shared" si="687"/>
        <v>15531</v>
      </c>
      <c r="W293" s="382">
        <f t="shared" si="670"/>
        <v>15531</v>
      </c>
      <c r="X293" s="749"/>
      <c r="Y293" s="750"/>
      <c r="Z293" s="750"/>
      <c r="AA293" s="751"/>
      <c r="AB293" s="635">
        <v>1048</v>
      </c>
      <c r="AC293" s="71"/>
    </row>
    <row r="294" spans="1:38" ht="12.6" customHeight="1">
      <c r="A294" s="20"/>
      <c r="B294" s="697" t="s">
        <v>692</v>
      </c>
      <c r="C294" s="698"/>
      <c r="D294" s="698"/>
      <c r="E294" s="698"/>
      <c r="F294" s="439">
        <v>15490</v>
      </c>
      <c r="G294" s="381">
        <f t="shared" si="689"/>
        <v>15490</v>
      </c>
      <c r="H294" s="78">
        <f t="shared" si="677"/>
        <v>15710</v>
      </c>
      <c r="I294" s="381">
        <f t="shared" si="678"/>
        <v>15710</v>
      </c>
      <c r="J294" s="421">
        <f t="shared" si="679"/>
        <v>15571</v>
      </c>
      <c r="K294" s="381">
        <f t="shared" si="680"/>
        <v>15571</v>
      </c>
      <c r="L294" s="421">
        <f t="shared" si="681"/>
        <v>15560</v>
      </c>
      <c r="M294" s="381">
        <f t="shared" si="682"/>
        <v>15560</v>
      </c>
      <c r="N294" s="421">
        <f t="shared" si="683"/>
        <v>15547</v>
      </c>
      <c r="O294" s="381">
        <f t="shared" si="666"/>
        <v>15547</v>
      </c>
      <c r="P294" s="421">
        <f t="shared" si="684"/>
        <v>15545</v>
      </c>
      <c r="Q294" s="381">
        <f t="shared" si="667"/>
        <v>15545</v>
      </c>
      <c r="R294" s="421">
        <f t="shared" si="685"/>
        <v>15541</v>
      </c>
      <c r="S294" s="381">
        <f t="shared" si="668"/>
        <v>15541</v>
      </c>
      <c r="T294" s="421">
        <f t="shared" si="686"/>
        <v>15536</v>
      </c>
      <c r="U294" s="381">
        <f t="shared" si="669"/>
        <v>15536</v>
      </c>
      <c r="V294" s="421">
        <f t="shared" si="687"/>
        <v>15531</v>
      </c>
      <c r="W294" s="381">
        <f t="shared" si="670"/>
        <v>15531</v>
      </c>
      <c r="X294" s="749"/>
      <c r="Y294" s="750"/>
      <c r="Z294" s="750"/>
      <c r="AA294" s="751"/>
      <c r="AB294" s="635">
        <v>1049</v>
      </c>
      <c r="AC294" s="71"/>
    </row>
    <row r="295" spans="1:38" ht="12.6" customHeight="1">
      <c r="A295" s="20"/>
      <c r="B295" s="713" t="s">
        <v>694</v>
      </c>
      <c r="C295" s="714"/>
      <c r="D295" s="714"/>
      <c r="E295" s="714"/>
      <c r="F295" s="438">
        <v>15490</v>
      </c>
      <c r="G295" s="382">
        <f t="shared" si="689"/>
        <v>15490</v>
      </c>
      <c r="H295" s="98">
        <f t="shared" si="677"/>
        <v>15710</v>
      </c>
      <c r="I295" s="382">
        <f t="shared" si="678"/>
        <v>15710</v>
      </c>
      <c r="J295" s="528">
        <f t="shared" si="679"/>
        <v>15571</v>
      </c>
      <c r="K295" s="382">
        <f t="shared" si="680"/>
        <v>15571</v>
      </c>
      <c r="L295" s="528">
        <f t="shared" si="681"/>
        <v>15560</v>
      </c>
      <c r="M295" s="382">
        <f t="shared" si="682"/>
        <v>15560</v>
      </c>
      <c r="N295" s="528">
        <f t="shared" si="683"/>
        <v>15547</v>
      </c>
      <c r="O295" s="382">
        <f t="shared" si="666"/>
        <v>15547</v>
      </c>
      <c r="P295" s="528">
        <f t="shared" si="684"/>
        <v>15545</v>
      </c>
      <c r="Q295" s="382">
        <f t="shared" si="667"/>
        <v>15545</v>
      </c>
      <c r="R295" s="528">
        <f t="shared" si="685"/>
        <v>15541</v>
      </c>
      <c r="S295" s="382">
        <f t="shared" si="668"/>
        <v>15541</v>
      </c>
      <c r="T295" s="528">
        <f t="shared" si="686"/>
        <v>15536</v>
      </c>
      <c r="U295" s="382">
        <f t="shared" si="669"/>
        <v>15536</v>
      </c>
      <c r="V295" s="528">
        <f t="shared" si="687"/>
        <v>15531</v>
      </c>
      <c r="W295" s="382">
        <f t="shared" si="670"/>
        <v>15531</v>
      </c>
      <c r="X295" s="749"/>
      <c r="Y295" s="750"/>
      <c r="Z295" s="750"/>
      <c r="AA295" s="751"/>
      <c r="AB295" s="635">
        <v>1050</v>
      </c>
      <c r="AC295" s="71"/>
    </row>
    <row r="296" spans="1:38" ht="12.6" customHeight="1">
      <c r="A296" s="20"/>
      <c r="B296" s="697" t="s">
        <v>503</v>
      </c>
      <c r="C296" s="698"/>
      <c r="D296" s="698"/>
      <c r="E296" s="698"/>
      <c r="F296" s="536">
        <f>12.7*X2</f>
        <v>10960.099999999999</v>
      </c>
      <c r="G296" s="381">
        <f t="shared" si="689"/>
        <v>10960.099999999999</v>
      </c>
      <c r="H296" s="78">
        <f t="shared" si="677"/>
        <v>11180.099999999999</v>
      </c>
      <c r="I296" s="381">
        <f t="shared" si="678"/>
        <v>11180.099999999999</v>
      </c>
      <c r="J296" s="421">
        <f t="shared" si="679"/>
        <v>11041.099999999999</v>
      </c>
      <c r="K296" s="381">
        <f t="shared" si="680"/>
        <v>11041.099999999999</v>
      </c>
      <c r="L296" s="421">
        <f t="shared" si="681"/>
        <v>11030.099999999999</v>
      </c>
      <c r="M296" s="381">
        <f t="shared" si="682"/>
        <v>11030.099999999999</v>
      </c>
      <c r="N296" s="421">
        <f t="shared" si="683"/>
        <v>11017.099999999999</v>
      </c>
      <c r="O296" s="381">
        <f t="shared" si="666"/>
        <v>11017.099999999999</v>
      </c>
      <c r="P296" s="421">
        <f t="shared" si="684"/>
        <v>11015.099999999999</v>
      </c>
      <c r="Q296" s="381">
        <f t="shared" si="667"/>
        <v>11015.099999999999</v>
      </c>
      <c r="R296" s="421">
        <f t="shared" si="685"/>
        <v>11011.099999999999</v>
      </c>
      <c r="S296" s="381">
        <f t="shared" si="668"/>
        <v>11011.099999999999</v>
      </c>
      <c r="T296" s="421">
        <f t="shared" si="686"/>
        <v>11006.099999999999</v>
      </c>
      <c r="U296" s="381">
        <f t="shared" si="669"/>
        <v>11006.099999999999</v>
      </c>
      <c r="V296" s="421">
        <f t="shared" si="687"/>
        <v>11001.099999999999</v>
      </c>
      <c r="W296" s="381">
        <f t="shared" si="670"/>
        <v>11001.099999999999</v>
      </c>
      <c r="X296" s="749"/>
      <c r="Y296" s="750"/>
      <c r="Z296" s="750"/>
      <c r="AA296" s="751"/>
      <c r="AB296" s="635">
        <v>1052</v>
      </c>
    </row>
    <row r="297" spans="1:38" ht="12.6" customHeight="1">
      <c r="A297" s="20"/>
      <c r="B297" s="713" t="s">
        <v>573</v>
      </c>
      <c r="C297" s="714"/>
      <c r="D297" s="714"/>
      <c r="E297" s="714"/>
      <c r="F297" s="537">
        <f>31.583*X2</f>
        <v>27256.128999999997</v>
      </c>
      <c r="G297" s="382">
        <f t="shared" si="689"/>
        <v>27256.128999999997</v>
      </c>
      <c r="H297" s="98">
        <f t="shared" si="677"/>
        <v>27476.128999999997</v>
      </c>
      <c r="I297" s="382">
        <f t="shared" si="678"/>
        <v>27476.128999999997</v>
      </c>
      <c r="J297" s="528">
        <f t="shared" si="679"/>
        <v>27337.128999999997</v>
      </c>
      <c r="K297" s="382">
        <f t="shared" si="680"/>
        <v>27337.128999999997</v>
      </c>
      <c r="L297" s="528">
        <f t="shared" si="681"/>
        <v>27326.128999999997</v>
      </c>
      <c r="M297" s="382">
        <f t="shared" si="682"/>
        <v>27326.128999999997</v>
      </c>
      <c r="N297" s="528">
        <f t="shared" si="683"/>
        <v>27313.128999999997</v>
      </c>
      <c r="O297" s="382">
        <f t="shared" si="666"/>
        <v>27313.128999999997</v>
      </c>
      <c r="P297" s="528">
        <f t="shared" si="684"/>
        <v>27311.128999999997</v>
      </c>
      <c r="Q297" s="382">
        <f t="shared" si="667"/>
        <v>27311.128999999997</v>
      </c>
      <c r="R297" s="528">
        <f t="shared" si="685"/>
        <v>27307.128999999997</v>
      </c>
      <c r="S297" s="382">
        <f t="shared" si="668"/>
        <v>27307.128999999997</v>
      </c>
      <c r="T297" s="528">
        <f t="shared" si="686"/>
        <v>27302.128999999997</v>
      </c>
      <c r="U297" s="382">
        <f t="shared" si="669"/>
        <v>27302.128999999997</v>
      </c>
      <c r="V297" s="528">
        <f t="shared" si="687"/>
        <v>27297.128999999997</v>
      </c>
      <c r="W297" s="382">
        <f t="shared" si="670"/>
        <v>27297.128999999997</v>
      </c>
      <c r="X297" s="749"/>
      <c r="Y297" s="750"/>
      <c r="Z297" s="750"/>
      <c r="AA297" s="751"/>
      <c r="AB297" s="635">
        <v>1053</v>
      </c>
      <c r="AC297" s="71"/>
    </row>
    <row r="298" spans="1:38" s="1" customFormat="1" ht="12.6" customHeight="1">
      <c r="A298" s="21"/>
      <c r="B298" s="702" t="s">
        <v>511</v>
      </c>
      <c r="C298" s="703"/>
      <c r="D298" s="703"/>
      <c r="E298" s="704"/>
      <c r="F298" s="536">
        <f>10.515*X2</f>
        <v>9074.4449999999997</v>
      </c>
      <c r="G298" s="381">
        <f t="shared" ref="G298" si="690">+F298*$X$1</f>
        <v>9074.4449999999997</v>
      </c>
      <c r="H298" s="78">
        <f t="shared" ref="H298" si="691">F298+220</f>
        <v>9294.4449999999997</v>
      </c>
      <c r="I298" s="381">
        <f t="shared" ref="I298" si="692">+H298*$X$1</f>
        <v>9294.4449999999997</v>
      </c>
      <c r="J298" s="421">
        <f t="shared" ref="J298" si="693">F298+81</f>
        <v>9155.4449999999997</v>
      </c>
      <c r="K298" s="381">
        <f t="shared" ref="K298" si="694">+J298*$X$1</f>
        <v>9155.4449999999997</v>
      </c>
      <c r="L298" s="421">
        <f t="shared" ref="L298" si="695">F298+70</f>
        <v>9144.4449999999997</v>
      </c>
      <c r="M298" s="381">
        <f t="shared" ref="M298" si="696">+L298*$X$1</f>
        <v>9144.4449999999997</v>
      </c>
      <c r="N298" s="421">
        <f t="shared" ref="N298" si="697">F298+57</f>
        <v>9131.4449999999997</v>
      </c>
      <c r="O298" s="381">
        <f t="shared" ref="O298" si="698">+N298*$X$1</f>
        <v>9131.4449999999997</v>
      </c>
      <c r="P298" s="421">
        <f t="shared" ref="P298" si="699">F298+55</f>
        <v>9129.4449999999997</v>
      </c>
      <c r="Q298" s="381">
        <f t="shared" ref="Q298" si="700">+P298*$X$1</f>
        <v>9129.4449999999997</v>
      </c>
      <c r="R298" s="421">
        <f t="shared" ref="R298" si="701">F298+51</f>
        <v>9125.4449999999997</v>
      </c>
      <c r="S298" s="381">
        <f t="shared" ref="S298" si="702">+R298*$X$1</f>
        <v>9125.4449999999997</v>
      </c>
      <c r="T298" s="421">
        <f t="shared" ref="T298" si="703">F298+46</f>
        <v>9120.4449999999997</v>
      </c>
      <c r="U298" s="381">
        <f t="shared" ref="U298" si="704">+T298*$X$1</f>
        <v>9120.4449999999997</v>
      </c>
      <c r="V298" s="421">
        <f t="shared" ref="V298" si="705">F298+41</f>
        <v>9115.4449999999997</v>
      </c>
      <c r="W298" s="381">
        <f t="shared" ref="W298" si="706">+V298*$X$1</f>
        <v>9115.4449999999997</v>
      </c>
      <c r="X298" s="278"/>
      <c r="Y298" s="280"/>
      <c r="Z298" s="280"/>
      <c r="AA298" s="279"/>
      <c r="AB298" s="635">
        <v>1054</v>
      </c>
      <c r="AC298" s="4"/>
      <c r="AD298" s="4"/>
      <c r="AE298" s="4"/>
      <c r="AF298" s="4"/>
      <c r="AG298" s="4"/>
      <c r="AH298" s="147"/>
      <c r="AI298" s="4"/>
      <c r="AJ298" s="4"/>
      <c r="AK298" s="4"/>
      <c r="AL298" s="4"/>
    </row>
    <row r="299" spans="1:38" ht="12.6" customHeight="1">
      <c r="A299" s="20"/>
      <c r="B299" s="713" t="s">
        <v>785</v>
      </c>
      <c r="C299" s="714"/>
      <c r="D299" s="714"/>
      <c r="E299" s="714"/>
      <c r="F299" s="438">
        <v>20381</v>
      </c>
      <c r="G299" s="382">
        <f>+F299*$X$1</f>
        <v>20381</v>
      </c>
      <c r="H299" s="98">
        <f t="shared" ref="H299:H300" si="707">F299+220</f>
        <v>20601</v>
      </c>
      <c r="I299" s="382">
        <f t="shared" ref="I299:I300" si="708">+H299*$X$1</f>
        <v>20601</v>
      </c>
      <c r="J299" s="548">
        <f t="shared" ref="J299:J300" si="709">F299+81</f>
        <v>20462</v>
      </c>
      <c r="K299" s="382">
        <f t="shared" ref="K299:K300" si="710">+J299*$X$1</f>
        <v>20462</v>
      </c>
      <c r="L299" s="548">
        <f t="shared" ref="L299:L300" si="711">F299+70</f>
        <v>20451</v>
      </c>
      <c r="M299" s="382">
        <f t="shared" ref="M299:M300" si="712">+L299*$X$1</f>
        <v>20451</v>
      </c>
      <c r="N299" s="548">
        <f t="shared" ref="N299:N300" si="713">F299+57</f>
        <v>20438</v>
      </c>
      <c r="O299" s="382">
        <f t="shared" ref="O299:O300" si="714">+N299*$X$1</f>
        <v>20438</v>
      </c>
      <c r="P299" s="548">
        <f t="shared" ref="P299:P300" si="715">F299+55</f>
        <v>20436</v>
      </c>
      <c r="Q299" s="382">
        <f t="shared" ref="Q299:Q300" si="716">+P299*$X$1</f>
        <v>20436</v>
      </c>
      <c r="R299" s="548">
        <f t="shared" ref="R299:R300" si="717">F299+51</f>
        <v>20432</v>
      </c>
      <c r="S299" s="382">
        <f t="shared" ref="S299:S300" si="718">+R299*$X$1</f>
        <v>20432</v>
      </c>
      <c r="T299" s="548">
        <f t="shared" ref="T299:T300" si="719">F299+46</f>
        <v>20427</v>
      </c>
      <c r="U299" s="382">
        <f t="shared" ref="U299:U300" si="720">+T299*$X$1</f>
        <v>20427</v>
      </c>
      <c r="V299" s="548">
        <f t="shared" ref="V299:V300" si="721">F299+41</f>
        <v>20422</v>
      </c>
      <c r="W299" s="382">
        <f t="shared" ref="W299:W300" si="722">+V299*$X$1</f>
        <v>20422</v>
      </c>
      <c r="X299" s="749"/>
      <c r="Y299" s="750"/>
      <c r="Z299" s="750"/>
      <c r="AA299" s="751"/>
      <c r="AB299" s="635">
        <v>1057</v>
      </c>
    </row>
    <row r="300" spans="1:38" ht="12.6" customHeight="1">
      <c r="A300" s="20"/>
      <c r="B300" s="697" t="s">
        <v>537</v>
      </c>
      <c r="C300" s="698"/>
      <c r="D300" s="698"/>
      <c r="E300" s="698"/>
      <c r="F300" s="536">
        <f>16.03*X2</f>
        <v>13833.890000000001</v>
      </c>
      <c r="G300" s="381">
        <f>+F300*$X$1</f>
        <v>13833.890000000001</v>
      </c>
      <c r="H300" s="78">
        <f t="shared" si="707"/>
        <v>14053.890000000001</v>
      </c>
      <c r="I300" s="381">
        <f t="shared" si="708"/>
        <v>14053.890000000001</v>
      </c>
      <c r="J300" s="421">
        <f t="shared" si="709"/>
        <v>13914.890000000001</v>
      </c>
      <c r="K300" s="381">
        <f t="shared" si="710"/>
        <v>13914.890000000001</v>
      </c>
      <c r="L300" s="421">
        <f t="shared" si="711"/>
        <v>13903.890000000001</v>
      </c>
      <c r="M300" s="381">
        <f t="shared" si="712"/>
        <v>13903.890000000001</v>
      </c>
      <c r="N300" s="421">
        <f t="shared" si="713"/>
        <v>13890.890000000001</v>
      </c>
      <c r="O300" s="381">
        <f t="shared" si="714"/>
        <v>13890.890000000001</v>
      </c>
      <c r="P300" s="421">
        <f t="shared" si="715"/>
        <v>13888.890000000001</v>
      </c>
      <c r="Q300" s="381">
        <f t="shared" si="716"/>
        <v>13888.890000000001</v>
      </c>
      <c r="R300" s="421">
        <f t="shared" si="717"/>
        <v>13884.890000000001</v>
      </c>
      <c r="S300" s="381">
        <f t="shared" si="718"/>
        <v>13884.890000000001</v>
      </c>
      <c r="T300" s="421">
        <f t="shared" si="719"/>
        <v>13879.890000000001</v>
      </c>
      <c r="U300" s="381">
        <f t="shared" si="720"/>
        <v>13879.890000000001</v>
      </c>
      <c r="V300" s="421">
        <f t="shared" si="721"/>
        <v>13874.890000000001</v>
      </c>
      <c r="W300" s="381">
        <f t="shared" si="722"/>
        <v>13874.890000000001</v>
      </c>
      <c r="X300" s="749"/>
      <c r="Y300" s="750"/>
      <c r="Z300" s="750"/>
      <c r="AA300" s="751"/>
      <c r="AB300" s="635">
        <v>1064</v>
      </c>
      <c r="AC300" s="71"/>
    </row>
    <row r="301" spans="1:38" ht="12.6" customHeight="1">
      <c r="A301" s="20"/>
      <c r="B301" s="699" t="s">
        <v>232</v>
      </c>
      <c r="C301" s="724"/>
      <c r="D301" s="724"/>
      <c r="E301" s="725"/>
      <c r="F301" s="537">
        <f>13.301*X2</f>
        <v>11478.763000000001</v>
      </c>
      <c r="G301" s="382">
        <f>+F301*$X$1</f>
        <v>11478.763000000001</v>
      </c>
      <c r="H301" s="370"/>
      <c r="I301" s="465"/>
      <c r="J301" s="551">
        <f>F301+105</f>
        <v>11583.763000000001</v>
      </c>
      <c r="K301" s="382">
        <f>+J301*$X$1</f>
        <v>11583.763000000001</v>
      </c>
      <c r="L301" s="551">
        <f>F301+80</f>
        <v>11558.763000000001</v>
      </c>
      <c r="M301" s="382">
        <f>+L301*$X$1</f>
        <v>11558.763000000001</v>
      </c>
      <c r="N301" s="98">
        <f>F301+70</f>
        <v>11548.763000000001</v>
      </c>
      <c r="O301" s="382">
        <f t="shared" ref="O301" si="723">+N301*$X$1</f>
        <v>11548.763000000001</v>
      </c>
      <c r="P301" s="98">
        <f>F301+62</f>
        <v>11540.763000000001</v>
      </c>
      <c r="Q301" s="382">
        <f t="shared" ref="Q301" si="724">+P301*$X$1</f>
        <v>11540.763000000001</v>
      </c>
      <c r="R301" s="551">
        <f>F301+56</f>
        <v>11534.763000000001</v>
      </c>
      <c r="S301" s="382">
        <f t="shared" ref="S301" si="725">+R301*$X$1</f>
        <v>11534.763000000001</v>
      </c>
      <c r="T301" s="551">
        <f>F301+48</f>
        <v>11526.763000000001</v>
      </c>
      <c r="U301" s="382">
        <f t="shared" ref="U301" si="726">+T301*$X$1</f>
        <v>11526.763000000001</v>
      </c>
      <c r="V301" s="551">
        <f>F301+45</f>
        <v>11523.763000000001</v>
      </c>
      <c r="W301" s="382">
        <f t="shared" ref="W301" si="727">+V301*$X$1</f>
        <v>11523.763000000001</v>
      </c>
      <c r="X301" s="205"/>
      <c r="Y301" s="208"/>
      <c r="Z301" s="208"/>
      <c r="AA301" s="207"/>
      <c r="AB301" s="635">
        <v>1075</v>
      </c>
    </row>
    <row r="302" spans="1:38" ht="12.6" customHeight="1">
      <c r="A302" s="20"/>
      <c r="B302" s="697" t="s">
        <v>463</v>
      </c>
      <c r="C302" s="919"/>
      <c r="D302" s="919"/>
      <c r="E302" s="919"/>
      <c r="F302" s="536">
        <f>9.05*X2</f>
        <v>7810.1500000000005</v>
      </c>
      <c r="G302" s="381">
        <f>+F302*$X$1</f>
        <v>7810.1500000000005</v>
      </c>
      <c r="H302" s="78">
        <f t="shared" ref="H302:H307" si="728">F302+220</f>
        <v>8030.1500000000005</v>
      </c>
      <c r="I302" s="381">
        <f t="shared" ref="I302:I305" si="729">+H302*$X$1</f>
        <v>8030.1500000000005</v>
      </c>
      <c r="J302" s="421">
        <f t="shared" ref="J302:J307" si="730">F302+81</f>
        <v>7891.1500000000005</v>
      </c>
      <c r="K302" s="381">
        <f t="shared" ref="K302:K305" si="731">+J302*$X$1</f>
        <v>7891.1500000000005</v>
      </c>
      <c r="L302" s="421">
        <f t="shared" ref="L302:L307" si="732">F302+70</f>
        <v>7880.1500000000005</v>
      </c>
      <c r="M302" s="381">
        <f t="shared" ref="M302:M305" si="733">+L302*$X$1</f>
        <v>7880.1500000000005</v>
      </c>
      <c r="N302" s="421">
        <f t="shared" ref="N302:N307" si="734">F302+57</f>
        <v>7867.1500000000005</v>
      </c>
      <c r="O302" s="381">
        <f t="shared" ref="O302:O305" si="735">+N302*$X$1</f>
        <v>7867.1500000000005</v>
      </c>
      <c r="P302" s="421">
        <f t="shared" ref="P302:P307" si="736">F302+55</f>
        <v>7865.1500000000005</v>
      </c>
      <c r="Q302" s="381">
        <f t="shared" ref="Q302:Q305" si="737">+P302*$X$1</f>
        <v>7865.1500000000005</v>
      </c>
      <c r="R302" s="421">
        <f t="shared" ref="R302:R307" si="738">F302+51</f>
        <v>7861.1500000000005</v>
      </c>
      <c r="S302" s="381">
        <f t="shared" ref="S302:S305" si="739">+R302*$X$1</f>
        <v>7861.1500000000005</v>
      </c>
      <c r="T302" s="421">
        <f t="shared" ref="T302:T307" si="740">F302+46</f>
        <v>7856.1500000000005</v>
      </c>
      <c r="U302" s="381">
        <f t="shared" ref="U302:U305" si="741">+T302*$X$1</f>
        <v>7856.1500000000005</v>
      </c>
      <c r="V302" s="421">
        <f t="shared" ref="V302:V307" si="742">F302+41</f>
        <v>7851.1500000000005</v>
      </c>
      <c r="W302" s="381">
        <f t="shared" ref="W302:W305" si="743">+V302*$X$1</f>
        <v>7851.1500000000005</v>
      </c>
      <c r="X302" s="749"/>
      <c r="Y302" s="750"/>
      <c r="Z302" s="750"/>
      <c r="AA302" s="751"/>
      <c r="AB302" s="635">
        <v>1078</v>
      </c>
    </row>
    <row r="303" spans="1:38" ht="12.6" customHeight="1">
      <c r="A303" s="20"/>
      <c r="B303" s="730" t="s">
        <v>466</v>
      </c>
      <c r="C303" s="731"/>
      <c r="D303" s="731"/>
      <c r="E303" s="731"/>
      <c r="F303" s="541">
        <f>6.52*X2</f>
        <v>5626.7599999999993</v>
      </c>
      <c r="G303" s="426">
        <f t="shared" ref="G303" si="744">+F303*$X$1</f>
        <v>5626.7599999999993</v>
      </c>
      <c r="H303" s="98">
        <f t="shared" si="728"/>
        <v>5846.7599999999993</v>
      </c>
      <c r="I303" s="382">
        <f t="shared" si="729"/>
        <v>5846.7599999999993</v>
      </c>
      <c r="J303" s="551">
        <f t="shared" si="730"/>
        <v>5707.7599999999993</v>
      </c>
      <c r="K303" s="382">
        <f t="shared" si="731"/>
        <v>5707.7599999999993</v>
      </c>
      <c r="L303" s="551">
        <f t="shared" si="732"/>
        <v>5696.7599999999993</v>
      </c>
      <c r="M303" s="382">
        <f t="shared" si="733"/>
        <v>5696.7599999999993</v>
      </c>
      <c r="N303" s="551">
        <f t="shared" si="734"/>
        <v>5683.7599999999993</v>
      </c>
      <c r="O303" s="382">
        <f t="shared" si="735"/>
        <v>5683.7599999999993</v>
      </c>
      <c r="P303" s="551">
        <f t="shared" si="736"/>
        <v>5681.7599999999993</v>
      </c>
      <c r="Q303" s="382">
        <f t="shared" si="737"/>
        <v>5681.7599999999993</v>
      </c>
      <c r="R303" s="551">
        <f t="shared" si="738"/>
        <v>5677.7599999999993</v>
      </c>
      <c r="S303" s="382">
        <f t="shared" si="739"/>
        <v>5677.7599999999993</v>
      </c>
      <c r="T303" s="551">
        <f t="shared" si="740"/>
        <v>5672.7599999999993</v>
      </c>
      <c r="U303" s="382">
        <f t="shared" si="741"/>
        <v>5672.7599999999993</v>
      </c>
      <c r="V303" s="551">
        <f t="shared" si="742"/>
        <v>5667.7599999999993</v>
      </c>
      <c r="W303" s="382">
        <f t="shared" si="743"/>
        <v>5667.7599999999993</v>
      </c>
      <c r="X303" s="750"/>
      <c r="Y303" s="750"/>
      <c r="Z303" s="750"/>
      <c r="AA303" s="751"/>
      <c r="AB303" s="635">
        <v>1079</v>
      </c>
    </row>
    <row r="304" spans="1:38" ht="12.6" customHeight="1">
      <c r="A304" s="20"/>
      <c r="B304" s="697" t="s">
        <v>650</v>
      </c>
      <c r="C304" s="698"/>
      <c r="D304" s="698"/>
      <c r="E304" s="698"/>
      <c r="F304" s="439">
        <v>22618</v>
      </c>
      <c r="G304" s="381">
        <f>+F304*$X$1</f>
        <v>22618</v>
      </c>
      <c r="H304" s="78">
        <f t="shared" si="728"/>
        <v>22838</v>
      </c>
      <c r="I304" s="381">
        <f t="shared" si="729"/>
        <v>22838</v>
      </c>
      <c r="J304" s="421">
        <f t="shared" si="730"/>
        <v>22699</v>
      </c>
      <c r="K304" s="381">
        <f t="shared" si="731"/>
        <v>22699</v>
      </c>
      <c r="L304" s="421">
        <f t="shared" si="732"/>
        <v>22688</v>
      </c>
      <c r="M304" s="381">
        <f t="shared" si="733"/>
        <v>22688</v>
      </c>
      <c r="N304" s="421">
        <f t="shared" si="734"/>
        <v>22675</v>
      </c>
      <c r="O304" s="381">
        <f t="shared" si="735"/>
        <v>22675</v>
      </c>
      <c r="P304" s="421">
        <f t="shared" si="736"/>
        <v>22673</v>
      </c>
      <c r="Q304" s="381">
        <f t="shared" si="737"/>
        <v>22673</v>
      </c>
      <c r="R304" s="421">
        <f t="shared" si="738"/>
        <v>22669</v>
      </c>
      <c r="S304" s="381">
        <f t="shared" si="739"/>
        <v>22669</v>
      </c>
      <c r="T304" s="421">
        <f t="shared" si="740"/>
        <v>22664</v>
      </c>
      <c r="U304" s="381">
        <f t="shared" si="741"/>
        <v>22664</v>
      </c>
      <c r="V304" s="421">
        <f t="shared" si="742"/>
        <v>22659</v>
      </c>
      <c r="W304" s="381">
        <f t="shared" si="743"/>
        <v>22659</v>
      </c>
      <c r="X304" s="750"/>
      <c r="Y304" s="750"/>
      <c r="Z304" s="750"/>
      <c r="AA304" s="751"/>
      <c r="AB304" s="635">
        <v>1080</v>
      </c>
      <c r="AC304" s="71"/>
    </row>
    <row r="305" spans="1:34" ht="12.6" customHeight="1">
      <c r="A305" s="20"/>
      <c r="B305" s="713" t="s">
        <v>651</v>
      </c>
      <c r="C305" s="714"/>
      <c r="D305" s="714"/>
      <c r="E305" s="714"/>
      <c r="F305" s="438">
        <v>23934</v>
      </c>
      <c r="G305" s="382">
        <f>+F305*$X$1</f>
        <v>23934</v>
      </c>
      <c r="H305" s="98">
        <f t="shared" si="728"/>
        <v>24154</v>
      </c>
      <c r="I305" s="382">
        <f t="shared" si="729"/>
        <v>24154</v>
      </c>
      <c r="J305" s="551">
        <f t="shared" si="730"/>
        <v>24015</v>
      </c>
      <c r="K305" s="382">
        <f t="shared" si="731"/>
        <v>24015</v>
      </c>
      <c r="L305" s="551">
        <f t="shared" si="732"/>
        <v>24004</v>
      </c>
      <c r="M305" s="382">
        <f t="shared" si="733"/>
        <v>24004</v>
      </c>
      <c r="N305" s="551">
        <f t="shared" si="734"/>
        <v>23991</v>
      </c>
      <c r="O305" s="382">
        <f t="shared" si="735"/>
        <v>23991</v>
      </c>
      <c r="P305" s="551">
        <f t="shared" si="736"/>
        <v>23989</v>
      </c>
      <c r="Q305" s="382">
        <f t="shared" si="737"/>
        <v>23989</v>
      </c>
      <c r="R305" s="551">
        <f t="shared" si="738"/>
        <v>23985</v>
      </c>
      <c r="S305" s="382">
        <f t="shared" si="739"/>
        <v>23985</v>
      </c>
      <c r="T305" s="551">
        <f t="shared" si="740"/>
        <v>23980</v>
      </c>
      <c r="U305" s="382">
        <f t="shared" si="741"/>
        <v>23980</v>
      </c>
      <c r="V305" s="551">
        <f t="shared" si="742"/>
        <v>23975</v>
      </c>
      <c r="W305" s="382">
        <f t="shared" si="743"/>
        <v>23975</v>
      </c>
      <c r="X305" s="750"/>
      <c r="Y305" s="750"/>
      <c r="Z305" s="750"/>
      <c r="AA305" s="751"/>
      <c r="AB305" s="635">
        <v>1081</v>
      </c>
      <c r="AC305" s="71"/>
    </row>
    <row r="306" spans="1:34" ht="12.6" customHeight="1">
      <c r="A306" s="20"/>
      <c r="B306" s="697" t="s">
        <v>827</v>
      </c>
      <c r="C306" s="698"/>
      <c r="D306" s="698"/>
      <c r="E306" s="698"/>
      <c r="F306" s="439">
        <v>23934</v>
      </c>
      <c r="G306" s="381">
        <f>+F306*$X$1</f>
        <v>23934</v>
      </c>
      <c r="H306" s="78">
        <f t="shared" ref="H306" si="745">F306+220</f>
        <v>24154</v>
      </c>
      <c r="I306" s="381">
        <f t="shared" ref="I306" si="746">+H306*$X$1</f>
        <v>24154</v>
      </c>
      <c r="J306" s="421">
        <f t="shared" ref="J306" si="747">F306+81</f>
        <v>24015</v>
      </c>
      <c r="K306" s="381">
        <f t="shared" ref="K306" si="748">+J306*$X$1</f>
        <v>24015</v>
      </c>
      <c r="L306" s="421">
        <f t="shared" ref="L306" si="749">F306+70</f>
        <v>24004</v>
      </c>
      <c r="M306" s="381">
        <f t="shared" ref="M306" si="750">+L306*$X$1</f>
        <v>24004</v>
      </c>
      <c r="N306" s="421">
        <f t="shared" ref="N306" si="751">F306+57</f>
        <v>23991</v>
      </c>
      <c r="O306" s="381">
        <f t="shared" ref="O306" si="752">+N306*$X$1</f>
        <v>23991</v>
      </c>
      <c r="P306" s="421">
        <f t="shared" si="736"/>
        <v>23989</v>
      </c>
      <c r="Q306" s="381">
        <f t="shared" ref="Q306" si="753">+P306*$X$1</f>
        <v>23989</v>
      </c>
      <c r="R306" s="421">
        <f t="shared" si="738"/>
        <v>23985</v>
      </c>
      <c r="S306" s="381">
        <f t="shared" ref="S306" si="754">+R306*$X$1</f>
        <v>23985</v>
      </c>
      <c r="T306" s="421">
        <f t="shared" si="740"/>
        <v>23980</v>
      </c>
      <c r="U306" s="381">
        <f t="shared" ref="U306" si="755">+T306*$X$1</f>
        <v>23980</v>
      </c>
      <c r="V306" s="421">
        <f t="shared" si="742"/>
        <v>23975</v>
      </c>
      <c r="W306" s="381">
        <f t="shared" ref="W306" si="756">+V306*$X$1</f>
        <v>23975</v>
      </c>
      <c r="X306" s="750"/>
      <c r="Y306" s="750"/>
      <c r="Z306" s="750"/>
      <c r="AA306" s="751"/>
      <c r="AB306" s="635">
        <v>1082</v>
      </c>
      <c r="AC306" s="71"/>
    </row>
    <row r="307" spans="1:34" ht="12.6" customHeight="1">
      <c r="A307" s="20"/>
      <c r="B307" s="713" t="s">
        <v>545</v>
      </c>
      <c r="C307" s="714"/>
      <c r="D307" s="714"/>
      <c r="E307" s="714"/>
      <c r="F307" s="438">
        <v>22357</v>
      </c>
      <c r="G307" s="382">
        <f>+F307*$X$1</f>
        <v>22357</v>
      </c>
      <c r="H307" s="98">
        <f t="shared" si="728"/>
        <v>22577</v>
      </c>
      <c r="I307" s="382">
        <f t="shared" ref="I307" si="757">+H307*$X$1</f>
        <v>22577</v>
      </c>
      <c r="J307" s="580">
        <f t="shared" si="730"/>
        <v>22438</v>
      </c>
      <c r="K307" s="382">
        <f t="shared" ref="K307" si="758">+J307*$X$1</f>
        <v>22438</v>
      </c>
      <c r="L307" s="580">
        <f t="shared" si="732"/>
        <v>22427</v>
      </c>
      <c r="M307" s="382">
        <f t="shared" ref="M307" si="759">+L307*$X$1</f>
        <v>22427</v>
      </c>
      <c r="N307" s="580">
        <f t="shared" si="734"/>
        <v>22414</v>
      </c>
      <c r="O307" s="382">
        <f t="shared" ref="O307" si="760">+N307*$X$1</f>
        <v>22414</v>
      </c>
      <c r="P307" s="580">
        <f t="shared" si="736"/>
        <v>22412</v>
      </c>
      <c r="Q307" s="382">
        <f t="shared" ref="Q307" si="761">+P307*$X$1</f>
        <v>22412</v>
      </c>
      <c r="R307" s="580">
        <f t="shared" si="738"/>
        <v>22408</v>
      </c>
      <c r="S307" s="382">
        <f t="shared" ref="S307" si="762">+R307*$X$1</f>
        <v>22408</v>
      </c>
      <c r="T307" s="580">
        <f t="shared" si="740"/>
        <v>22403</v>
      </c>
      <c r="U307" s="382">
        <f t="shared" ref="U307" si="763">+T307*$X$1</f>
        <v>22403</v>
      </c>
      <c r="V307" s="580">
        <f t="shared" si="742"/>
        <v>22398</v>
      </c>
      <c r="W307" s="382">
        <f t="shared" ref="W307" si="764">+V307*$X$1</f>
        <v>22398</v>
      </c>
      <c r="X307" s="750"/>
      <c r="Y307" s="750"/>
      <c r="Z307" s="750"/>
      <c r="AA307" s="751"/>
      <c r="AB307" s="635">
        <v>1083</v>
      </c>
      <c r="AC307" s="71"/>
    </row>
    <row r="308" spans="1:34" ht="12.6" customHeight="1">
      <c r="A308" s="20"/>
      <c r="B308" s="835" t="s">
        <v>429</v>
      </c>
      <c r="C308" s="791"/>
      <c r="D308" s="791"/>
      <c r="E308" s="791"/>
      <c r="F308" s="536">
        <f>3.881*X2</f>
        <v>3349.3029999999999</v>
      </c>
      <c r="G308" s="381">
        <f t="shared" ref="G308" si="765">+F308*$X$1</f>
        <v>3349.3029999999999</v>
      </c>
      <c r="H308" s="371"/>
      <c r="I308" s="464"/>
      <c r="J308" s="78">
        <f>F308+105</f>
        <v>3454.3029999999999</v>
      </c>
      <c r="K308" s="381">
        <f t="shared" ref="K308" si="766">+J308*$X$1</f>
        <v>3454.3029999999999</v>
      </c>
      <c r="L308" s="421">
        <f>F308+63</f>
        <v>3412.3029999999999</v>
      </c>
      <c r="M308" s="381">
        <f t="shared" ref="M308" si="767">+L308*$X$1</f>
        <v>3412.3029999999999</v>
      </c>
      <c r="N308" s="421">
        <f>F308+37</f>
        <v>3386.3029999999999</v>
      </c>
      <c r="O308" s="381">
        <f t="shared" ref="O308" si="768">+N308*$X$1</f>
        <v>3386.3029999999999</v>
      </c>
      <c r="P308" s="421">
        <f>F308+33</f>
        <v>3382.3029999999999</v>
      </c>
      <c r="Q308" s="381">
        <f t="shared" ref="Q308" si="769">+P308*$X$1</f>
        <v>3382.3029999999999</v>
      </c>
      <c r="R308" s="421">
        <f>F308+28</f>
        <v>3377.3029999999999</v>
      </c>
      <c r="S308" s="381">
        <f t="shared" ref="S308" si="770">+R308*$X$1</f>
        <v>3377.3029999999999</v>
      </c>
      <c r="T308" s="421">
        <f>F308+23</f>
        <v>3372.3029999999999</v>
      </c>
      <c r="U308" s="381">
        <f t="shared" ref="U308" si="771">+T308*$X$1</f>
        <v>3372.3029999999999</v>
      </c>
      <c r="V308" s="421">
        <f>F308+19</f>
        <v>3368.3029999999999</v>
      </c>
      <c r="W308" s="381">
        <f t="shared" ref="W308" si="772">+V308*$X$1</f>
        <v>3368.3029999999999</v>
      </c>
      <c r="X308" s="994"/>
      <c r="Y308" s="995"/>
      <c r="Z308" s="995"/>
      <c r="AA308" s="996"/>
      <c r="AB308" s="639">
        <v>2131</v>
      </c>
      <c r="AC308" s="72"/>
    </row>
    <row r="309" spans="1:34" ht="12.6" customHeight="1">
      <c r="A309" s="20"/>
      <c r="B309" s="699" t="s">
        <v>507</v>
      </c>
      <c r="C309" s="724"/>
      <c r="D309" s="724"/>
      <c r="E309" s="725"/>
      <c r="F309" s="537">
        <f>4.33*X2</f>
        <v>3736.79</v>
      </c>
      <c r="G309" s="382">
        <f t="shared" ref="G309" si="773">+F309*$X$1</f>
        <v>3736.79</v>
      </c>
      <c r="H309" s="370"/>
      <c r="I309" s="465"/>
      <c r="J309" s="98">
        <f>F309+105</f>
        <v>3841.79</v>
      </c>
      <c r="K309" s="382">
        <f t="shared" ref="K309" si="774">+J309*$X$1</f>
        <v>3841.79</v>
      </c>
      <c r="L309" s="650">
        <f>F309+63</f>
        <v>3799.79</v>
      </c>
      <c r="M309" s="382">
        <f t="shared" ref="M309" si="775">+L309*$X$1</f>
        <v>3799.79</v>
      </c>
      <c r="N309" s="650">
        <f>F309+37</f>
        <v>3773.79</v>
      </c>
      <c r="O309" s="382">
        <f t="shared" ref="O309" si="776">+N309*$X$1</f>
        <v>3773.79</v>
      </c>
      <c r="P309" s="650">
        <f>F309+33</f>
        <v>3769.79</v>
      </c>
      <c r="Q309" s="382">
        <f t="shared" ref="Q309" si="777">+P309*$X$1</f>
        <v>3769.79</v>
      </c>
      <c r="R309" s="650">
        <f>F309+28</f>
        <v>3764.79</v>
      </c>
      <c r="S309" s="382">
        <f t="shared" ref="S309" si="778">+R309*$X$1</f>
        <v>3764.79</v>
      </c>
      <c r="T309" s="650">
        <f>F309+22</f>
        <v>3758.79</v>
      </c>
      <c r="U309" s="382">
        <f t="shared" ref="U309" si="779">+T309*$X$1</f>
        <v>3758.79</v>
      </c>
      <c r="V309" s="650">
        <f>F309+19</f>
        <v>3755.79</v>
      </c>
      <c r="W309" s="382">
        <f t="shared" ref="W309" si="780">+V309*$X$1</f>
        <v>3755.79</v>
      </c>
      <c r="X309" s="276"/>
      <c r="Y309" s="277"/>
      <c r="Z309" s="277"/>
      <c r="AA309" s="275"/>
      <c r="AB309" s="639">
        <v>2132</v>
      </c>
      <c r="AC309" s="72"/>
    </row>
    <row r="310" spans="1:34" ht="12.6" customHeight="1">
      <c r="A310" s="116"/>
      <c r="B310" s="697" t="s">
        <v>233</v>
      </c>
      <c r="C310" s="698"/>
      <c r="D310" s="698"/>
      <c r="E310" s="698"/>
      <c r="F310" s="536">
        <f>0.484*X2</f>
        <v>417.69200000000001</v>
      </c>
      <c r="G310" s="381">
        <f t="shared" ref="G310:G312" si="781">+F310*$X$1</f>
        <v>417.69200000000001</v>
      </c>
      <c r="H310" s="371"/>
      <c r="I310" s="464"/>
      <c r="J310" s="421"/>
      <c r="K310" s="381"/>
      <c r="L310" s="421">
        <f>F310+60</f>
        <v>477.69200000000001</v>
      </c>
      <c r="M310" s="381">
        <f t="shared" ref="M310" si="782">+L310*$X$1</f>
        <v>477.69200000000001</v>
      </c>
      <c r="N310" s="421">
        <f>F310+34</f>
        <v>451.69200000000001</v>
      </c>
      <c r="O310" s="381">
        <f>+N310*$X$1</f>
        <v>451.69200000000001</v>
      </c>
      <c r="P310" s="421">
        <f>F310+30</f>
        <v>447.69200000000001</v>
      </c>
      <c r="Q310" s="381">
        <f t="shared" ref="Q310" si="783">+P310*$X$1</f>
        <v>447.69200000000001</v>
      </c>
      <c r="R310" s="421">
        <f>F310+23</f>
        <v>440.69200000000001</v>
      </c>
      <c r="S310" s="381">
        <f>+R310*$X$1</f>
        <v>440.69200000000001</v>
      </c>
      <c r="T310" s="113">
        <f>F310+18</f>
        <v>435.69200000000001</v>
      </c>
      <c r="U310" s="337">
        <f>+T310*$X$1</f>
        <v>435.69200000000001</v>
      </c>
      <c r="V310" s="113">
        <f>F310+15</f>
        <v>432.69200000000001</v>
      </c>
      <c r="W310" s="337">
        <f>+V310*$X$1</f>
        <v>432.69200000000001</v>
      </c>
      <c r="X310" s="153"/>
      <c r="Y310" s="150"/>
      <c r="Z310" s="150"/>
      <c r="AA310" s="150"/>
      <c r="AB310" s="639">
        <v>2145</v>
      </c>
      <c r="AC310" s="72"/>
    </row>
    <row r="311" spans="1:34" ht="12.6" customHeight="1">
      <c r="A311" s="20"/>
      <c r="B311" s="713" t="s">
        <v>386</v>
      </c>
      <c r="C311" s="714"/>
      <c r="D311" s="714"/>
      <c r="E311" s="714"/>
      <c r="F311" s="537">
        <f>0.13*X2</f>
        <v>112.19</v>
      </c>
      <c r="G311" s="382">
        <f t="shared" si="781"/>
        <v>112.19</v>
      </c>
      <c r="H311" s="370"/>
      <c r="I311" s="465"/>
      <c r="J311" s="650"/>
      <c r="K311" s="382"/>
      <c r="L311" s="650"/>
      <c r="M311" s="382"/>
      <c r="N311" s="650"/>
      <c r="O311" s="382"/>
      <c r="P311" s="370"/>
      <c r="Q311" s="465"/>
      <c r="R311" s="650"/>
      <c r="S311" s="382"/>
      <c r="T311" s="650"/>
      <c r="U311" s="382"/>
      <c r="V311" s="650"/>
      <c r="W311" s="382"/>
      <c r="X311" s="150"/>
      <c r="Y311" s="150"/>
      <c r="Z311" s="150"/>
      <c r="AA311" s="150"/>
      <c r="AB311" s="639">
        <v>2147</v>
      </c>
    </row>
    <row r="312" spans="1:34" ht="12.6" customHeight="1">
      <c r="A312" s="20"/>
      <c r="B312" s="697" t="s">
        <v>234</v>
      </c>
      <c r="C312" s="698"/>
      <c r="D312" s="698"/>
      <c r="E312" s="698"/>
      <c r="F312" s="536">
        <v>48</v>
      </c>
      <c r="G312" s="381">
        <f t="shared" si="781"/>
        <v>48</v>
      </c>
      <c r="H312" s="371"/>
      <c r="I312" s="464"/>
      <c r="J312" s="421">
        <f>F312+98</f>
        <v>146</v>
      </c>
      <c r="K312" s="381">
        <f t="shared" ref="K312" si="784">+J312*$X$1</f>
        <v>146</v>
      </c>
      <c r="L312" s="421">
        <f>F312+60</f>
        <v>108</v>
      </c>
      <c r="M312" s="381">
        <f t="shared" ref="M312" si="785">+L312*$X$1</f>
        <v>108</v>
      </c>
      <c r="N312" s="421">
        <f>F312+34</f>
        <v>82</v>
      </c>
      <c r="O312" s="381">
        <f>+N312*$X$1</f>
        <v>82</v>
      </c>
      <c r="P312" s="421">
        <f>F312+30</f>
        <v>78</v>
      </c>
      <c r="Q312" s="381">
        <f t="shared" ref="Q312" si="786">+P312*$X$1</f>
        <v>78</v>
      </c>
      <c r="R312" s="421">
        <f>F312+23</f>
        <v>71</v>
      </c>
      <c r="S312" s="381">
        <f>+R312*$X$1</f>
        <v>71</v>
      </c>
      <c r="T312" s="113">
        <f>F312+18</f>
        <v>66</v>
      </c>
      <c r="U312" s="337">
        <f>+T312*$X$1</f>
        <v>66</v>
      </c>
      <c r="V312" s="113">
        <f>F312+15</f>
        <v>63</v>
      </c>
      <c r="W312" s="337">
        <f>+V312*$X$1</f>
        <v>63</v>
      </c>
      <c r="X312" s="150"/>
      <c r="Y312" s="150"/>
      <c r="Z312" s="150"/>
      <c r="AA312" s="150"/>
      <c r="AB312" s="639">
        <v>2149</v>
      </c>
    </row>
    <row r="313" spans="1:34" ht="12.6" customHeight="1">
      <c r="A313" s="145"/>
      <c r="B313" s="713" t="s">
        <v>235</v>
      </c>
      <c r="C313" s="714"/>
      <c r="D313" s="714"/>
      <c r="E313" s="714"/>
      <c r="F313" s="537">
        <f>0.892*X2</f>
        <v>769.79600000000005</v>
      </c>
      <c r="G313" s="382">
        <f>+F313*$X$1</f>
        <v>769.79600000000005</v>
      </c>
      <c r="H313" s="370"/>
      <c r="I313" s="465"/>
      <c r="J313" s="652"/>
      <c r="K313" s="382"/>
      <c r="L313" s="653"/>
      <c r="M313" s="382"/>
      <c r="N313" s="653"/>
      <c r="O313" s="654"/>
      <c r="P313" s="370"/>
      <c r="Q313" s="465"/>
      <c r="R313" s="653"/>
      <c r="S313" s="654"/>
      <c r="T313" s="653"/>
      <c r="U313" s="654"/>
      <c r="V313" s="653"/>
      <c r="W313" s="654"/>
      <c r="X313" s="150"/>
      <c r="Y313" s="150"/>
      <c r="Z313" s="150"/>
      <c r="AA313" s="150"/>
      <c r="AB313" s="635">
        <v>2151</v>
      </c>
    </row>
    <row r="314" spans="1:34" ht="12.6" customHeight="1">
      <c r="A314" s="20"/>
      <c r="B314" s="697" t="s">
        <v>236</v>
      </c>
      <c r="C314" s="719"/>
      <c r="D314" s="719"/>
      <c r="E314" s="719"/>
      <c r="F314" s="536">
        <f>0.719*X2</f>
        <v>620.49699999999996</v>
      </c>
      <c r="G314" s="381">
        <f>+F314*$X$1</f>
        <v>620.49699999999996</v>
      </c>
      <c r="H314" s="371"/>
      <c r="I314" s="464"/>
      <c r="J314" s="421"/>
      <c r="K314" s="381"/>
      <c r="L314" s="421">
        <f>F314+60</f>
        <v>680.49699999999996</v>
      </c>
      <c r="M314" s="381">
        <f t="shared" ref="M314" si="787">+L314*$X$1</f>
        <v>680.49699999999996</v>
      </c>
      <c r="N314" s="421">
        <f>F314+34</f>
        <v>654.49699999999996</v>
      </c>
      <c r="O314" s="381">
        <f>+N314*$X$1</f>
        <v>654.49699999999996</v>
      </c>
      <c r="P314" s="421">
        <f>F314+30</f>
        <v>650.49699999999996</v>
      </c>
      <c r="Q314" s="381">
        <f t="shared" ref="Q314" si="788">+P314*$X$1</f>
        <v>650.49699999999996</v>
      </c>
      <c r="R314" s="421">
        <f>F314+23</f>
        <v>643.49699999999996</v>
      </c>
      <c r="S314" s="381">
        <f>+R314*$X$1</f>
        <v>643.49699999999996</v>
      </c>
      <c r="T314" s="113">
        <f>F314+18</f>
        <v>638.49699999999996</v>
      </c>
      <c r="U314" s="337">
        <f>+T314*$X$1</f>
        <v>638.49699999999996</v>
      </c>
      <c r="V314" s="113">
        <f>F314+15</f>
        <v>635.49699999999996</v>
      </c>
      <c r="W314" s="337">
        <f>+V314*$X$1</f>
        <v>635.49699999999996</v>
      </c>
      <c r="X314" s="150"/>
      <c r="Y314" s="150"/>
      <c r="Z314" s="150"/>
      <c r="AA314" s="150"/>
      <c r="AB314" s="639">
        <v>2153</v>
      </c>
      <c r="AC314" s="72"/>
    </row>
    <row r="315" spans="1:34" ht="12.75" customHeight="1">
      <c r="A315" s="20"/>
      <c r="B315" s="3"/>
      <c r="C315" s="3"/>
      <c r="D315" s="3"/>
      <c r="E315" s="3"/>
      <c r="F315" s="4"/>
      <c r="G315" s="4"/>
      <c r="H315" s="26"/>
      <c r="I315" s="2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8"/>
      <c r="W315" s="8"/>
    </row>
    <row r="316" spans="1:34" ht="12.75" customHeight="1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thickBot="1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4.25" customHeight="1">
      <c r="A318" s="20"/>
      <c r="B318" s="739" t="s">
        <v>11</v>
      </c>
      <c r="C318" s="965" t="s">
        <v>12</v>
      </c>
      <c r="D318" s="966"/>
      <c r="E318" s="966"/>
      <c r="F318" s="787" t="s">
        <v>13</v>
      </c>
      <c r="G318" s="787" t="s">
        <v>13</v>
      </c>
      <c r="H318" s="1019" t="s">
        <v>14</v>
      </c>
      <c r="I318" s="1019"/>
      <c r="J318" s="1020"/>
      <c r="K318" s="1020"/>
      <c r="L318" s="1020"/>
      <c r="M318" s="1020"/>
      <c r="N318" s="1020"/>
      <c r="O318" s="1020"/>
      <c r="P318" s="1020"/>
      <c r="Q318" s="1020"/>
      <c r="R318" s="1020"/>
      <c r="S318" s="1020"/>
      <c r="T318" s="1020"/>
      <c r="U318" s="1020"/>
      <c r="V318" s="1020"/>
      <c r="W318" s="1021"/>
      <c r="X318" s="777" t="s">
        <v>15</v>
      </c>
      <c r="Y318" s="778"/>
      <c r="Z318" s="778"/>
      <c r="AA318" s="778"/>
      <c r="AB318" s="831" t="s">
        <v>16</v>
      </c>
      <c r="AF318" s="815" t="s">
        <v>3</v>
      </c>
      <c r="AG318" s="816"/>
      <c r="AH318" s="816"/>
    </row>
    <row r="319" spans="1:34" ht="11.25" customHeight="1" thickBot="1">
      <c r="A319" s="20"/>
      <c r="B319" s="740"/>
      <c r="C319" s="967"/>
      <c r="D319" s="967"/>
      <c r="E319" s="967"/>
      <c r="F319" s="788"/>
      <c r="G319" s="788"/>
      <c r="H319" s="329"/>
      <c r="I319" s="326" t="s">
        <v>318</v>
      </c>
      <c r="J319" s="330"/>
      <c r="K319" s="326" t="s">
        <v>18</v>
      </c>
      <c r="L319" s="331"/>
      <c r="M319" s="331" t="s">
        <v>19</v>
      </c>
      <c r="N319" s="331"/>
      <c r="O319" s="326" t="s">
        <v>20</v>
      </c>
      <c r="P319" s="331"/>
      <c r="Q319" s="331" t="s">
        <v>320</v>
      </c>
      <c r="R319" s="331"/>
      <c r="S319" s="331" t="s">
        <v>21</v>
      </c>
      <c r="T319" s="331"/>
      <c r="U319" s="331" t="s">
        <v>22</v>
      </c>
      <c r="V319" s="331"/>
      <c r="W319" s="333" t="s">
        <v>23</v>
      </c>
      <c r="X319" s="779"/>
      <c r="Y319" s="780"/>
      <c r="Z319" s="780"/>
      <c r="AA319" s="780"/>
      <c r="AB319" s="832"/>
    </row>
    <row r="320" spans="1:34" ht="12.6" customHeight="1">
      <c r="A320" s="20"/>
      <c r="B320" s="697" t="s">
        <v>456</v>
      </c>
      <c r="C320" s="698"/>
      <c r="D320" s="698"/>
      <c r="E320" s="698"/>
      <c r="F320" s="536">
        <f>0.577*X2</f>
        <v>497.95099999999996</v>
      </c>
      <c r="G320" s="381">
        <f t="shared" ref="G320:G322" si="789">+F320*$X$1</f>
        <v>497.95099999999996</v>
      </c>
      <c r="H320" s="371"/>
      <c r="I320" s="464"/>
      <c r="J320" s="421"/>
      <c r="K320" s="381"/>
      <c r="L320" s="572">
        <f>F320+60</f>
        <v>557.95100000000002</v>
      </c>
      <c r="M320" s="381">
        <f t="shared" ref="M320:M322" si="790">+L320*$X$1</f>
        <v>557.95100000000002</v>
      </c>
      <c r="N320" s="421">
        <f>F320+34</f>
        <v>531.95100000000002</v>
      </c>
      <c r="O320" s="381">
        <f>+N320*$X$1</f>
        <v>531.95100000000002</v>
      </c>
      <c r="P320" s="421">
        <f>F320+30</f>
        <v>527.95100000000002</v>
      </c>
      <c r="Q320" s="381">
        <f t="shared" ref="Q320:Q322" si="791">+P320*$X$1</f>
        <v>527.95100000000002</v>
      </c>
      <c r="R320" s="421">
        <f>F320+23</f>
        <v>520.95100000000002</v>
      </c>
      <c r="S320" s="381">
        <f>+R320*$X$1</f>
        <v>520.95100000000002</v>
      </c>
      <c r="T320" s="113">
        <f>F320+18</f>
        <v>515.95100000000002</v>
      </c>
      <c r="U320" s="337">
        <f>+T320*$X$1</f>
        <v>515.95100000000002</v>
      </c>
      <c r="V320" s="113">
        <f>F320+15</f>
        <v>512.95100000000002</v>
      </c>
      <c r="W320" s="337">
        <f>+V320*$X$1</f>
        <v>512.95100000000002</v>
      </c>
      <c r="X320" s="150"/>
      <c r="Y320" s="158"/>
      <c r="Z320" s="158"/>
      <c r="AA320" s="158"/>
      <c r="AB320" s="641">
        <v>2154</v>
      </c>
      <c r="AC320" s="24"/>
      <c r="AD320" s="24"/>
    </row>
    <row r="321" spans="1:34" ht="12.6" customHeight="1">
      <c r="A321" s="20"/>
      <c r="B321" s="713" t="s">
        <v>457</v>
      </c>
      <c r="C321" s="714"/>
      <c r="D321" s="714"/>
      <c r="E321" s="714"/>
      <c r="F321" s="537">
        <f>0.67*X2</f>
        <v>578.21</v>
      </c>
      <c r="G321" s="382">
        <f t="shared" si="789"/>
        <v>578.21</v>
      </c>
      <c r="H321" s="370"/>
      <c r="I321" s="465"/>
      <c r="J321" s="528"/>
      <c r="K321" s="382"/>
      <c r="L321" s="110">
        <f>F321+60</f>
        <v>638.21</v>
      </c>
      <c r="M321" s="382">
        <f t="shared" si="790"/>
        <v>638.21</v>
      </c>
      <c r="N321" s="576">
        <f>F321+34</f>
        <v>612.21</v>
      </c>
      <c r="O321" s="382">
        <f>+N321*$X$1</f>
        <v>612.21</v>
      </c>
      <c r="P321" s="576">
        <f>F321+30</f>
        <v>608.21</v>
      </c>
      <c r="Q321" s="382">
        <f t="shared" si="791"/>
        <v>608.21</v>
      </c>
      <c r="R321" s="576">
        <f>F321+23</f>
        <v>601.21</v>
      </c>
      <c r="S321" s="382">
        <f>+R321*$X$1</f>
        <v>601.21</v>
      </c>
      <c r="T321" s="112">
        <f>F321+18</f>
        <v>596.21</v>
      </c>
      <c r="U321" s="409">
        <f>+T321*$X$1</f>
        <v>596.21</v>
      </c>
      <c r="V321" s="112">
        <f>F321+15</f>
        <v>593.21</v>
      </c>
      <c r="W321" s="409">
        <f>+V321*$X$1</f>
        <v>593.21</v>
      </c>
      <c r="X321" s="173"/>
      <c r="Y321" s="150"/>
      <c r="Z321" s="158"/>
      <c r="AA321" s="158"/>
      <c r="AB321" s="641">
        <v>2156</v>
      </c>
      <c r="AC321" s="24"/>
      <c r="AD321" s="24"/>
    </row>
    <row r="322" spans="1:34" ht="12.6" customHeight="1">
      <c r="A322" s="20"/>
      <c r="B322" s="702" t="s">
        <v>237</v>
      </c>
      <c r="C322" s="703"/>
      <c r="D322" s="703"/>
      <c r="E322" s="704"/>
      <c r="F322" s="536">
        <f>0.54*X2</f>
        <v>466.02000000000004</v>
      </c>
      <c r="G322" s="381">
        <f t="shared" si="789"/>
        <v>466.02000000000004</v>
      </c>
      <c r="H322" s="371"/>
      <c r="I322" s="464"/>
      <c r="J322" s="421"/>
      <c r="K322" s="381"/>
      <c r="L322" s="572">
        <f>F322+60</f>
        <v>526.02</v>
      </c>
      <c r="M322" s="381">
        <f t="shared" si="790"/>
        <v>526.02</v>
      </c>
      <c r="N322" s="421">
        <f>F322+34</f>
        <v>500.02000000000004</v>
      </c>
      <c r="O322" s="381">
        <f>+N322*$X$1</f>
        <v>500.02000000000004</v>
      </c>
      <c r="P322" s="421">
        <f>F322+30</f>
        <v>496.02000000000004</v>
      </c>
      <c r="Q322" s="381">
        <f t="shared" si="791"/>
        <v>496.02000000000004</v>
      </c>
      <c r="R322" s="421">
        <f>F322+23</f>
        <v>489.02000000000004</v>
      </c>
      <c r="S322" s="381">
        <f>+R322*$X$1</f>
        <v>489.02000000000004</v>
      </c>
      <c r="T322" s="113">
        <f>F322+18</f>
        <v>484.02000000000004</v>
      </c>
      <c r="U322" s="337">
        <f>+T322*$X$1</f>
        <v>484.02000000000004</v>
      </c>
      <c r="V322" s="113">
        <f>F322+15</f>
        <v>481.02000000000004</v>
      </c>
      <c r="W322" s="337">
        <f>+V322*$X$1</f>
        <v>481.02000000000004</v>
      </c>
      <c r="X322" s="150"/>
      <c r="Y322" s="158"/>
      <c r="Z322" s="158"/>
      <c r="AA322" s="158"/>
      <c r="AB322" s="641">
        <v>2160</v>
      </c>
      <c r="AC322" s="24"/>
      <c r="AD322" s="24"/>
      <c r="AH322" s="71"/>
    </row>
    <row r="323" spans="1:34" ht="12.6" customHeight="1">
      <c r="A323" s="20"/>
      <c r="B323" s="713" t="s">
        <v>238</v>
      </c>
      <c r="C323" s="714"/>
      <c r="D323" s="714"/>
      <c r="E323" s="714"/>
      <c r="F323" s="537"/>
      <c r="G323" s="382"/>
      <c r="H323" s="528"/>
      <c r="I323" s="382"/>
      <c r="J323" s="528"/>
      <c r="K323" s="382"/>
      <c r="L323" s="528"/>
      <c r="M323" s="382"/>
      <c r="N323" s="576"/>
      <c r="O323" s="382"/>
      <c r="P323" s="576"/>
      <c r="Q323" s="382"/>
      <c r="R323" s="576"/>
      <c r="S323" s="382"/>
      <c r="T323" s="576"/>
      <c r="U323" s="382"/>
      <c r="V323" s="576"/>
      <c r="W323" s="382"/>
      <c r="X323" s="694"/>
      <c r="Y323" s="729"/>
      <c r="Z323" s="729"/>
      <c r="AA323" s="696"/>
      <c r="AB323" s="614">
        <v>2164</v>
      </c>
      <c r="AC323" s="24"/>
      <c r="AD323" s="24"/>
    </row>
    <row r="324" spans="1:34" ht="12.6" customHeight="1">
      <c r="A324" s="106"/>
      <c r="B324" s="743" t="s">
        <v>239</v>
      </c>
      <c r="C324" s="744"/>
      <c r="D324" s="744"/>
      <c r="E324" s="745"/>
      <c r="F324" s="536">
        <f>0.708*X2</f>
        <v>611.00400000000002</v>
      </c>
      <c r="G324" s="337">
        <f t="shared" ref="G324:G332" si="792">+F324*$X$1</f>
        <v>611.00400000000002</v>
      </c>
      <c r="H324" s="421"/>
      <c r="I324" s="421"/>
      <c r="J324" s="139"/>
      <c r="K324" s="381"/>
      <c r="L324" s="572">
        <f>F324+60</f>
        <v>671.00400000000002</v>
      </c>
      <c r="M324" s="381">
        <f t="shared" ref="M324:M327" si="793">+L324*$X$1</f>
        <v>671.00400000000002</v>
      </c>
      <c r="N324" s="421">
        <f t="shared" ref="N324:N334" si="794">F324+34</f>
        <v>645.00400000000002</v>
      </c>
      <c r="O324" s="381">
        <f>+N324*$X$1</f>
        <v>645.00400000000002</v>
      </c>
      <c r="P324" s="421">
        <f t="shared" ref="P324:P334" si="795">F324+30</f>
        <v>641.00400000000002</v>
      </c>
      <c r="Q324" s="381">
        <f t="shared" ref="Q324:Q327" si="796">+P324*$X$1</f>
        <v>641.00400000000002</v>
      </c>
      <c r="R324" s="421">
        <f>F324+23</f>
        <v>634.00400000000002</v>
      </c>
      <c r="S324" s="381">
        <f>+R324*$X$1</f>
        <v>634.00400000000002</v>
      </c>
      <c r="T324" s="113">
        <f>F324+18</f>
        <v>629.00400000000002</v>
      </c>
      <c r="U324" s="337">
        <f>+T324*$X$1</f>
        <v>629.00400000000002</v>
      </c>
      <c r="V324" s="113">
        <f>F324+15</f>
        <v>626.00400000000002</v>
      </c>
      <c r="W324" s="337">
        <f>+V324*$X$1</f>
        <v>626.00400000000002</v>
      </c>
      <c r="X324" s="150"/>
      <c r="Y324" s="158"/>
      <c r="Z324" s="158"/>
      <c r="AA324" s="158"/>
      <c r="AB324" s="614">
        <v>2174</v>
      </c>
      <c r="AC324" s="73"/>
      <c r="AD324" s="24"/>
    </row>
    <row r="325" spans="1:34" ht="12.6" customHeight="1">
      <c r="A325" s="106"/>
      <c r="B325" s="757" t="s">
        <v>240</v>
      </c>
      <c r="C325" s="758"/>
      <c r="D325" s="758"/>
      <c r="E325" s="759"/>
      <c r="F325" s="537">
        <f>0.708*X2</f>
        <v>611.00400000000002</v>
      </c>
      <c r="G325" s="409">
        <f t="shared" si="792"/>
        <v>611.00400000000002</v>
      </c>
      <c r="H325" s="528"/>
      <c r="I325" s="528"/>
      <c r="J325" s="138"/>
      <c r="K325" s="382"/>
      <c r="L325" s="110">
        <f>F325+60</f>
        <v>671.00400000000002</v>
      </c>
      <c r="M325" s="382">
        <f t="shared" si="793"/>
        <v>671.00400000000002</v>
      </c>
      <c r="N325" s="576">
        <f t="shared" si="794"/>
        <v>645.00400000000002</v>
      </c>
      <c r="O325" s="382">
        <f>+N325*$X$1</f>
        <v>645.00400000000002</v>
      </c>
      <c r="P325" s="576">
        <f t="shared" si="795"/>
        <v>641.00400000000002</v>
      </c>
      <c r="Q325" s="382">
        <f t="shared" si="796"/>
        <v>641.00400000000002</v>
      </c>
      <c r="R325" s="576">
        <f>F325+23</f>
        <v>634.00400000000002</v>
      </c>
      <c r="S325" s="382">
        <f>+R325*$X$1</f>
        <v>634.00400000000002</v>
      </c>
      <c r="T325" s="112">
        <f>F325+18</f>
        <v>629.00400000000002</v>
      </c>
      <c r="U325" s="409">
        <f>+T325*$X$1</f>
        <v>629.00400000000002</v>
      </c>
      <c r="V325" s="112">
        <f>F325+15</f>
        <v>626.00400000000002</v>
      </c>
      <c r="W325" s="409">
        <f>+V325*$X$1</f>
        <v>626.00400000000002</v>
      </c>
      <c r="X325" s="150"/>
      <c r="Y325" s="158"/>
      <c r="Z325" s="158"/>
      <c r="AA325" s="158"/>
      <c r="AB325" s="614" t="s">
        <v>402</v>
      </c>
      <c r="AC325" s="73"/>
      <c r="AD325" s="24"/>
    </row>
    <row r="326" spans="1:34" ht="12.6" customHeight="1">
      <c r="A326" s="106" t="s">
        <v>427</v>
      </c>
      <c r="B326" s="743" t="s">
        <v>434</v>
      </c>
      <c r="C326" s="744"/>
      <c r="D326" s="744"/>
      <c r="E326" s="745"/>
      <c r="F326" s="536">
        <f>0.503*X2</f>
        <v>434.089</v>
      </c>
      <c r="G326" s="337">
        <f t="shared" si="792"/>
        <v>434.089</v>
      </c>
      <c r="H326" s="421"/>
      <c r="I326" s="421"/>
      <c r="J326" s="139"/>
      <c r="K326" s="381"/>
      <c r="L326" s="572">
        <f>F326+60</f>
        <v>494.089</v>
      </c>
      <c r="M326" s="381">
        <f t="shared" si="793"/>
        <v>494.089</v>
      </c>
      <c r="N326" s="421">
        <f t="shared" si="794"/>
        <v>468.089</v>
      </c>
      <c r="O326" s="381">
        <f>+N326*$X$1</f>
        <v>468.089</v>
      </c>
      <c r="P326" s="421">
        <f t="shared" si="795"/>
        <v>464.089</v>
      </c>
      <c r="Q326" s="381">
        <f t="shared" si="796"/>
        <v>464.089</v>
      </c>
      <c r="R326" s="421">
        <f>F326+23</f>
        <v>457.089</v>
      </c>
      <c r="S326" s="381">
        <f>+R326*$X$1</f>
        <v>457.089</v>
      </c>
      <c r="T326" s="113">
        <f>F326+18</f>
        <v>452.089</v>
      </c>
      <c r="U326" s="337">
        <f>+T326*$X$1</f>
        <v>452.089</v>
      </c>
      <c r="V326" s="113">
        <f>F326+15</f>
        <v>449.089</v>
      </c>
      <c r="W326" s="337">
        <f>+V326*$X$1</f>
        <v>449.089</v>
      </c>
      <c r="X326" s="150"/>
      <c r="Y326" s="158"/>
      <c r="Z326" s="158"/>
      <c r="AA326" s="158"/>
      <c r="AB326" s="614">
        <v>2176</v>
      </c>
      <c r="AC326" s="642"/>
      <c r="AD326" s="24"/>
    </row>
    <row r="327" spans="1:34" ht="12.6" customHeight="1">
      <c r="A327" s="106"/>
      <c r="B327" s="713" t="s">
        <v>241</v>
      </c>
      <c r="C327" s="714"/>
      <c r="D327" s="714"/>
      <c r="E327" s="714"/>
      <c r="F327" s="537">
        <f>0.67*X2</f>
        <v>578.21</v>
      </c>
      <c r="G327" s="409">
        <f t="shared" si="792"/>
        <v>578.21</v>
      </c>
      <c r="H327" s="528"/>
      <c r="I327" s="528"/>
      <c r="J327" s="138"/>
      <c r="K327" s="382"/>
      <c r="L327" s="110">
        <f>F327+60</f>
        <v>638.21</v>
      </c>
      <c r="M327" s="382">
        <f t="shared" si="793"/>
        <v>638.21</v>
      </c>
      <c r="N327" s="576">
        <f t="shared" si="794"/>
        <v>612.21</v>
      </c>
      <c r="O327" s="382">
        <f>+N327*$X$1</f>
        <v>612.21</v>
      </c>
      <c r="P327" s="576">
        <f t="shared" si="795"/>
        <v>608.21</v>
      </c>
      <c r="Q327" s="382">
        <f t="shared" si="796"/>
        <v>608.21</v>
      </c>
      <c r="R327" s="576">
        <f>F327+23</f>
        <v>601.21</v>
      </c>
      <c r="S327" s="382">
        <f>+R327*$X$1</f>
        <v>601.21</v>
      </c>
      <c r="T327" s="112">
        <f>F327+18</f>
        <v>596.21</v>
      </c>
      <c r="U327" s="409">
        <f>+T327*$X$1</f>
        <v>596.21</v>
      </c>
      <c r="V327" s="112">
        <f>F327+15</f>
        <v>593.21</v>
      </c>
      <c r="W327" s="409">
        <f>+V327*$X$1</f>
        <v>593.21</v>
      </c>
      <c r="X327" s="150"/>
      <c r="Y327" s="158"/>
      <c r="Z327" s="158"/>
      <c r="AA327" s="158"/>
      <c r="AB327" s="614">
        <v>2180</v>
      </c>
      <c r="AC327" s="24"/>
      <c r="AD327" s="24"/>
    </row>
    <row r="328" spans="1:34" ht="12" customHeight="1">
      <c r="A328" s="213"/>
      <c r="B328" s="702" t="s">
        <v>242</v>
      </c>
      <c r="C328" s="741"/>
      <c r="D328" s="741"/>
      <c r="E328" s="742"/>
      <c r="F328" s="536">
        <f>0.8*X2</f>
        <v>690.40000000000009</v>
      </c>
      <c r="G328" s="337">
        <f t="shared" si="792"/>
        <v>690.40000000000009</v>
      </c>
      <c r="H328" s="421"/>
      <c r="I328" s="421"/>
      <c r="J328" s="139"/>
      <c r="K328" s="381"/>
      <c r="L328" s="572">
        <f>F328+60</f>
        <v>750.40000000000009</v>
      </c>
      <c r="M328" s="381">
        <f t="shared" ref="M328" si="797">+L328*$X$1</f>
        <v>750.40000000000009</v>
      </c>
      <c r="N328" s="421">
        <f t="shared" si="794"/>
        <v>724.40000000000009</v>
      </c>
      <c r="O328" s="381">
        <f t="shared" ref="O328" si="798">+N328*$X$1</f>
        <v>724.40000000000009</v>
      </c>
      <c r="P328" s="421"/>
      <c r="Q328" s="381"/>
      <c r="R328" s="421"/>
      <c r="S328" s="381"/>
      <c r="T328" s="421"/>
      <c r="U328" s="381"/>
      <c r="V328" s="421"/>
      <c r="W328" s="381"/>
      <c r="X328" s="150"/>
      <c r="Y328" s="150"/>
      <c r="Z328" s="150"/>
      <c r="AA328" s="150"/>
      <c r="AB328" s="614">
        <v>2184</v>
      </c>
    </row>
    <row r="329" spans="1:34" ht="12" customHeight="1">
      <c r="A329" s="213"/>
      <c r="B329" s="699" t="s">
        <v>243</v>
      </c>
      <c r="C329" s="724"/>
      <c r="D329" s="724"/>
      <c r="E329" s="725"/>
      <c r="F329" s="537">
        <f>0.838*X2</f>
        <v>723.19399999999996</v>
      </c>
      <c r="G329" s="409">
        <f t="shared" si="792"/>
        <v>723.19399999999996</v>
      </c>
      <c r="H329" s="528"/>
      <c r="I329" s="528"/>
      <c r="J329" s="138"/>
      <c r="K329" s="382"/>
      <c r="L329" s="110">
        <f t="shared" ref="L329:L334" si="799">F329+60</f>
        <v>783.19399999999996</v>
      </c>
      <c r="M329" s="382">
        <f t="shared" ref="M329:M344" si="800">+L329*$X$1</f>
        <v>783.19399999999996</v>
      </c>
      <c r="N329" s="576">
        <f t="shared" si="794"/>
        <v>757.19399999999996</v>
      </c>
      <c r="O329" s="382">
        <f t="shared" ref="O329:O334" si="801">+N329*$X$1</f>
        <v>757.19399999999996</v>
      </c>
      <c r="P329" s="576">
        <f t="shared" si="795"/>
        <v>753.19399999999996</v>
      </c>
      <c r="Q329" s="382">
        <f t="shared" ref="Q329:Q344" si="802">+P329*$X$1</f>
        <v>753.19399999999996</v>
      </c>
      <c r="R329" s="576">
        <f t="shared" ref="R329:R334" si="803">F329+23</f>
        <v>746.19399999999996</v>
      </c>
      <c r="S329" s="382">
        <f t="shared" ref="S329:S334" si="804">+R329*$X$1</f>
        <v>746.19399999999996</v>
      </c>
      <c r="T329" s="112">
        <f t="shared" ref="T329:T333" si="805">F329+18</f>
        <v>741.19399999999996</v>
      </c>
      <c r="U329" s="409">
        <f t="shared" ref="U329:U333" si="806">+T329*$X$1</f>
        <v>741.19399999999996</v>
      </c>
      <c r="V329" s="112">
        <f t="shared" ref="V329:V333" si="807">F329+15</f>
        <v>738.19399999999996</v>
      </c>
      <c r="W329" s="409">
        <f t="shared" ref="W329:W333" si="808">+V329*$X$1</f>
        <v>738.19399999999996</v>
      </c>
      <c r="X329" s="150"/>
      <c r="Y329" s="150"/>
      <c r="Z329" s="150"/>
      <c r="AA329" s="150"/>
      <c r="AB329" s="614" t="s">
        <v>244</v>
      </c>
    </row>
    <row r="330" spans="1:34" ht="12" customHeight="1">
      <c r="A330" s="106"/>
      <c r="B330" s="702" t="s">
        <v>245</v>
      </c>
      <c r="C330" s="703"/>
      <c r="D330" s="703"/>
      <c r="E330" s="704"/>
      <c r="F330" s="536">
        <f>0.41*X2</f>
        <v>353.83</v>
      </c>
      <c r="G330" s="337">
        <f t="shared" si="792"/>
        <v>353.83</v>
      </c>
      <c r="H330" s="421"/>
      <c r="I330" s="421"/>
      <c r="J330" s="139"/>
      <c r="K330" s="381"/>
      <c r="L330" s="572">
        <f t="shared" si="799"/>
        <v>413.83</v>
      </c>
      <c r="M330" s="381">
        <f t="shared" si="800"/>
        <v>413.83</v>
      </c>
      <c r="N330" s="421">
        <f t="shared" si="794"/>
        <v>387.83</v>
      </c>
      <c r="O330" s="381">
        <f t="shared" si="801"/>
        <v>387.83</v>
      </c>
      <c r="P330" s="421">
        <f t="shared" si="795"/>
        <v>383.83</v>
      </c>
      <c r="Q330" s="381">
        <f t="shared" si="802"/>
        <v>383.83</v>
      </c>
      <c r="R330" s="421">
        <f t="shared" si="803"/>
        <v>376.83</v>
      </c>
      <c r="S330" s="381">
        <f t="shared" si="804"/>
        <v>376.83</v>
      </c>
      <c r="T330" s="113">
        <f t="shared" si="805"/>
        <v>371.83</v>
      </c>
      <c r="U330" s="337">
        <f t="shared" si="806"/>
        <v>371.83</v>
      </c>
      <c r="V330" s="113">
        <f t="shared" si="807"/>
        <v>368.83</v>
      </c>
      <c r="W330" s="337">
        <f t="shared" si="808"/>
        <v>368.83</v>
      </c>
      <c r="X330" s="150"/>
      <c r="Y330" s="150"/>
      <c r="Z330" s="150"/>
      <c r="AA330" s="150"/>
      <c r="AB330" s="614">
        <v>2189</v>
      </c>
    </row>
    <row r="331" spans="1:34" ht="12.6" customHeight="1">
      <c r="A331" s="106"/>
      <c r="B331" s="699" t="s">
        <v>246</v>
      </c>
      <c r="C331" s="724"/>
      <c r="D331" s="724"/>
      <c r="E331" s="725"/>
      <c r="F331" s="537">
        <f>0.726*X2</f>
        <v>626.53800000000001</v>
      </c>
      <c r="G331" s="409">
        <f t="shared" si="792"/>
        <v>626.53800000000001</v>
      </c>
      <c r="H331" s="528"/>
      <c r="I331" s="528"/>
      <c r="J331" s="138"/>
      <c r="K331" s="382"/>
      <c r="L331" s="110">
        <f t="shared" si="799"/>
        <v>686.53800000000001</v>
      </c>
      <c r="M331" s="382">
        <f t="shared" si="800"/>
        <v>686.53800000000001</v>
      </c>
      <c r="N331" s="576">
        <f t="shared" si="794"/>
        <v>660.53800000000001</v>
      </c>
      <c r="O331" s="382">
        <f t="shared" si="801"/>
        <v>660.53800000000001</v>
      </c>
      <c r="P331" s="576">
        <f t="shared" si="795"/>
        <v>656.53800000000001</v>
      </c>
      <c r="Q331" s="382">
        <f t="shared" si="802"/>
        <v>656.53800000000001</v>
      </c>
      <c r="R331" s="576">
        <f t="shared" si="803"/>
        <v>649.53800000000001</v>
      </c>
      <c r="S331" s="382">
        <f t="shared" si="804"/>
        <v>649.53800000000001</v>
      </c>
      <c r="T331" s="112">
        <f t="shared" si="805"/>
        <v>644.53800000000001</v>
      </c>
      <c r="U331" s="409">
        <f t="shared" si="806"/>
        <v>644.53800000000001</v>
      </c>
      <c r="V331" s="112">
        <f t="shared" si="807"/>
        <v>641.53800000000001</v>
      </c>
      <c r="W331" s="409">
        <f t="shared" si="808"/>
        <v>641.53800000000001</v>
      </c>
      <c r="X331" s="150"/>
      <c r="Y331" s="150"/>
      <c r="Z331" s="150"/>
      <c r="AA331" s="150"/>
      <c r="AB331" s="614">
        <v>2190</v>
      </c>
    </row>
    <row r="332" spans="1:34" ht="12.6" customHeight="1">
      <c r="A332" s="20"/>
      <c r="B332" s="764" t="s">
        <v>247</v>
      </c>
      <c r="C332" s="703"/>
      <c r="D332" s="703"/>
      <c r="E332" s="704"/>
      <c r="F332" s="536">
        <f>0.577*X2</f>
        <v>497.95099999999996</v>
      </c>
      <c r="G332" s="337">
        <f t="shared" si="792"/>
        <v>497.95099999999996</v>
      </c>
      <c r="H332" s="421"/>
      <c r="I332" s="421"/>
      <c r="J332" s="139"/>
      <c r="K332" s="381"/>
      <c r="L332" s="572">
        <f t="shared" si="799"/>
        <v>557.95100000000002</v>
      </c>
      <c r="M332" s="381">
        <f t="shared" si="800"/>
        <v>557.95100000000002</v>
      </c>
      <c r="N332" s="421">
        <f t="shared" si="794"/>
        <v>531.95100000000002</v>
      </c>
      <c r="O332" s="381">
        <f t="shared" si="801"/>
        <v>531.95100000000002</v>
      </c>
      <c r="P332" s="421">
        <f t="shared" si="795"/>
        <v>527.95100000000002</v>
      </c>
      <c r="Q332" s="381">
        <f t="shared" si="802"/>
        <v>527.95100000000002</v>
      </c>
      <c r="R332" s="421">
        <f t="shared" si="803"/>
        <v>520.95100000000002</v>
      </c>
      <c r="S332" s="381">
        <f t="shared" si="804"/>
        <v>520.95100000000002</v>
      </c>
      <c r="T332" s="113">
        <f t="shared" si="805"/>
        <v>515.95100000000002</v>
      </c>
      <c r="U332" s="337">
        <f t="shared" si="806"/>
        <v>515.95100000000002</v>
      </c>
      <c r="V332" s="113">
        <f t="shared" si="807"/>
        <v>512.95100000000002</v>
      </c>
      <c r="W332" s="337">
        <f t="shared" si="808"/>
        <v>512.95100000000002</v>
      </c>
      <c r="X332" s="209"/>
      <c r="Y332" s="210"/>
      <c r="Z332" s="210"/>
      <c r="AA332" s="209"/>
      <c r="AB332" s="614">
        <v>2193</v>
      </c>
    </row>
    <row r="333" spans="1:34" ht="12.6" customHeight="1">
      <c r="A333" s="20"/>
      <c r="B333" s="713" t="s">
        <v>248</v>
      </c>
      <c r="C333" s="714"/>
      <c r="D333" s="714"/>
      <c r="E333" s="714"/>
      <c r="F333" s="537">
        <f>0.67*X2</f>
        <v>578.21</v>
      </c>
      <c r="G333" s="409">
        <f t="shared" ref="G333:G340" si="809">+F333*$X$1</f>
        <v>578.21</v>
      </c>
      <c r="H333" s="528"/>
      <c r="I333" s="528"/>
      <c r="J333" s="138"/>
      <c r="K333" s="382"/>
      <c r="L333" s="110">
        <f t="shared" si="799"/>
        <v>638.21</v>
      </c>
      <c r="M333" s="382">
        <f t="shared" si="800"/>
        <v>638.21</v>
      </c>
      <c r="N333" s="576">
        <f t="shared" si="794"/>
        <v>612.21</v>
      </c>
      <c r="O333" s="382">
        <f t="shared" si="801"/>
        <v>612.21</v>
      </c>
      <c r="P333" s="576">
        <f t="shared" si="795"/>
        <v>608.21</v>
      </c>
      <c r="Q333" s="382">
        <f t="shared" si="802"/>
        <v>608.21</v>
      </c>
      <c r="R333" s="576">
        <f t="shared" si="803"/>
        <v>601.21</v>
      </c>
      <c r="S333" s="382">
        <f t="shared" si="804"/>
        <v>601.21</v>
      </c>
      <c r="T333" s="112">
        <f t="shared" si="805"/>
        <v>596.21</v>
      </c>
      <c r="U333" s="409">
        <f t="shared" si="806"/>
        <v>596.21</v>
      </c>
      <c r="V333" s="112">
        <f t="shared" si="807"/>
        <v>593.21</v>
      </c>
      <c r="W333" s="409">
        <f t="shared" si="808"/>
        <v>593.21</v>
      </c>
      <c r="X333" s="150"/>
      <c r="Y333" s="150"/>
      <c r="Z333" s="150"/>
      <c r="AA333" s="150"/>
      <c r="AB333" s="614">
        <v>2194</v>
      </c>
    </row>
    <row r="334" spans="1:34" ht="12.6" customHeight="1">
      <c r="A334" s="20"/>
      <c r="B334" s="754" t="s">
        <v>249</v>
      </c>
      <c r="C334" s="755"/>
      <c r="D334" s="755"/>
      <c r="E334" s="756"/>
      <c r="F334" s="536">
        <f>0.745*X2</f>
        <v>642.93499999999995</v>
      </c>
      <c r="G334" s="337">
        <f t="shared" si="809"/>
        <v>642.93499999999995</v>
      </c>
      <c r="H334" s="421"/>
      <c r="I334" s="421"/>
      <c r="J334" s="139"/>
      <c r="K334" s="381"/>
      <c r="L334" s="572">
        <f t="shared" si="799"/>
        <v>702.93499999999995</v>
      </c>
      <c r="M334" s="381">
        <f t="shared" si="800"/>
        <v>702.93499999999995</v>
      </c>
      <c r="N334" s="421">
        <f t="shared" si="794"/>
        <v>676.93499999999995</v>
      </c>
      <c r="O334" s="381">
        <f t="shared" si="801"/>
        <v>676.93499999999995</v>
      </c>
      <c r="P334" s="421">
        <f t="shared" si="795"/>
        <v>672.93499999999995</v>
      </c>
      <c r="Q334" s="381">
        <f t="shared" si="802"/>
        <v>672.93499999999995</v>
      </c>
      <c r="R334" s="421">
        <f t="shared" si="803"/>
        <v>665.93499999999995</v>
      </c>
      <c r="S334" s="381">
        <f t="shared" si="804"/>
        <v>665.93499999999995</v>
      </c>
      <c r="T334" s="113"/>
      <c r="U334" s="337"/>
      <c r="V334" s="113"/>
      <c r="W334" s="337"/>
      <c r="X334" s="150"/>
      <c r="Y334" s="150"/>
      <c r="Z334" s="150"/>
      <c r="AA334" s="150"/>
      <c r="AB334" s="614">
        <v>2195</v>
      </c>
    </row>
    <row r="335" spans="1:34" ht="12.6" customHeight="1">
      <c r="A335" s="20"/>
      <c r="B335" s="713" t="s">
        <v>250</v>
      </c>
      <c r="C335" s="714"/>
      <c r="D335" s="714"/>
      <c r="E335" s="714"/>
      <c r="F335" s="537">
        <f>0.708*X2</f>
        <v>611.00400000000002</v>
      </c>
      <c r="G335" s="409">
        <f t="shared" si="809"/>
        <v>611.00400000000002</v>
      </c>
      <c r="H335" s="615"/>
      <c r="I335" s="615"/>
      <c r="J335" s="615"/>
      <c r="K335" s="382"/>
      <c r="L335" s="110">
        <f t="shared" ref="L335:L344" si="810">F335+60</f>
        <v>671.00400000000002</v>
      </c>
      <c r="M335" s="382">
        <f t="shared" si="800"/>
        <v>671.00400000000002</v>
      </c>
      <c r="N335" s="615">
        <f t="shared" ref="N335:N344" si="811">F335+34</f>
        <v>645.00400000000002</v>
      </c>
      <c r="O335" s="382">
        <f t="shared" ref="O335:O344" si="812">+N335*$X$1</f>
        <v>645.00400000000002</v>
      </c>
      <c r="P335" s="615">
        <f t="shared" ref="P335:P344" si="813">F335+30</f>
        <v>641.00400000000002</v>
      </c>
      <c r="Q335" s="382">
        <f t="shared" si="802"/>
        <v>641.00400000000002</v>
      </c>
      <c r="R335" s="615">
        <f t="shared" ref="R335:R344" si="814">F335+23</f>
        <v>634.00400000000002</v>
      </c>
      <c r="S335" s="382">
        <f t="shared" ref="S335:S344" si="815">+R335*$X$1</f>
        <v>634.00400000000002</v>
      </c>
      <c r="T335" s="112"/>
      <c r="U335" s="409"/>
      <c r="V335" s="112"/>
      <c r="W335" s="409"/>
      <c r="X335" s="150"/>
      <c r="Y335" s="150"/>
      <c r="Z335" s="150"/>
      <c r="AA335" s="150"/>
      <c r="AB335" s="614">
        <v>2198</v>
      </c>
    </row>
    <row r="336" spans="1:34" ht="12.6" customHeight="1">
      <c r="A336" s="116"/>
      <c r="B336" s="697" t="s">
        <v>390</v>
      </c>
      <c r="C336" s="719"/>
      <c r="D336" s="719"/>
      <c r="E336" s="719"/>
      <c r="F336" s="536">
        <f>0.55*X2</f>
        <v>474.65000000000003</v>
      </c>
      <c r="G336" s="337">
        <f t="shared" si="809"/>
        <v>474.65000000000003</v>
      </c>
      <c r="H336" s="421"/>
      <c r="I336" s="421"/>
      <c r="J336" s="421"/>
      <c r="K336" s="381"/>
      <c r="L336" s="572">
        <f t="shared" si="810"/>
        <v>534.65000000000009</v>
      </c>
      <c r="M336" s="381">
        <f t="shared" si="800"/>
        <v>534.65000000000009</v>
      </c>
      <c r="N336" s="421">
        <f t="shared" si="811"/>
        <v>508.65000000000003</v>
      </c>
      <c r="O336" s="381">
        <f t="shared" si="812"/>
        <v>508.65000000000003</v>
      </c>
      <c r="P336" s="421">
        <f t="shared" si="813"/>
        <v>504.65000000000003</v>
      </c>
      <c r="Q336" s="381">
        <f t="shared" si="802"/>
        <v>504.65000000000003</v>
      </c>
      <c r="R336" s="421">
        <f t="shared" si="814"/>
        <v>497.65000000000003</v>
      </c>
      <c r="S336" s="381">
        <f t="shared" si="815"/>
        <v>497.65000000000003</v>
      </c>
      <c r="T336" s="113">
        <f t="shared" ref="T336:T344" si="816">F336+18</f>
        <v>492.65000000000003</v>
      </c>
      <c r="U336" s="337">
        <f t="shared" ref="U336:U344" si="817">+T336*$X$1</f>
        <v>492.65000000000003</v>
      </c>
      <c r="V336" s="113">
        <f t="shared" ref="V336:V344" si="818">F336+15</f>
        <v>489.65000000000003</v>
      </c>
      <c r="W336" s="337">
        <f t="shared" ref="W336:W344" si="819">+V336*$X$1</f>
        <v>489.65000000000003</v>
      </c>
      <c r="X336" s="175"/>
      <c r="Y336" s="150"/>
      <c r="Z336" s="150"/>
      <c r="AA336" s="150"/>
      <c r="AB336" s="614">
        <v>2202</v>
      </c>
    </row>
    <row r="337" spans="1:31" ht="12.6" customHeight="1">
      <c r="A337" s="116"/>
      <c r="B337" s="713" t="s">
        <v>391</v>
      </c>
      <c r="C337" s="760"/>
      <c r="D337" s="760"/>
      <c r="E337" s="760"/>
      <c r="F337" s="537">
        <f>0.55*X2</f>
        <v>474.65000000000003</v>
      </c>
      <c r="G337" s="409">
        <f t="shared" si="809"/>
        <v>474.65000000000003</v>
      </c>
      <c r="H337" s="615"/>
      <c r="I337" s="615"/>
      <c r="J337" s="615"/>
      <c r="K337" s="382"/>
      <c r="L337" s="110">
        <f t="shared" si="810"/>
        <v>534.65000000000009</v>
      </c>
      <c r="M337" s="382">
        <f t="shared" si="800"/>
        <v>534.65000000000009</v>
      </c>
      <c r="N337" s="615">
        <f t="shared" si="811"/>
        <v>508.65000000000003</v>
      </c>
      <c r="O337" s="382">
        <f t="shared" si="812"/>
        <v>508.65000000000003</v>
      </c>
      <c r="P337" s="615">
        <f t="shared" si="813"/>
        <v>504.65000000000003</v>
      </c>
      <c r="Q337" s="382">
        <f t="shared" si="802"/>
        <v>504.65000000000003</v>
      </c>
      <c r="R337" s="615">
        <f t="shared" si="814"/>
        <v>497.65000000000003</v>
      </c>
      <c r="S337" s="382">
        <f t="shared" si="815"/>
        <v>497.65000000000003</v>
      </c>
      <c r="T337" s="112">
        <f t="shared" si="816"/>
        <v>492.65000000000003</v>
      </c>
      <c r="U337" s="409">
        <f t="shared" si="817"/>
        <v>492.65000000000003</v>
      </c>
      <c r="V337" s="112">
        <f t="shared" si="818"/>
        <v>489.65000000000003</v>
      </c>
      <c r="W337" s="409">
        <f t="shared" si="819"/>
        <v>489.65000000000003</v>
      </c>
      <c r="X337" s="150"/>
      <c r="Y337" s="150"/>
      <c r="Z337" s="150"/>
      <c r="AA337" s="150"/>
      <c r="AB337" s="614" t="s">
        <v>251</v>
      </c>
    </row>
    <row r="338" spans="1:31" ht="12.6" customHeight="1">
      <c r="A338" s="116"/>
      <c r="B338" s="697" t="s">
        <v>392</v>
      </c>
      <c r="C338" s="719"/>
      <c r="D338" s="719"/>
      <c r="E338" s="719"/>
      <c r="F338" s="536">
        <f>0.627*X2</f>
        <v>541.101</v>
      </c>
      <c r="G338" s="337">
        <f t="shared" ref="G338:G341" si="820">+F338*$X$1</f>
        <v>541.101</v>
      </c>
      <c r="H338" s="421"/>
      <c r="I338" s="421"/>
      <c r="J338" s="421"/>
      <c r="K338" s="381"/>
      <c r="L338" s="572">
        <f t="shared" si="810"/>
        <v>601.101</v>
      </c>
      <c r="M338" s="381">
        <f t="shared" si="800"/>
        <v>601.101</v>
      </c>
      <c r="N338" s="421">
        <f t="shared" si="811"/>
        <v>575.101</v>
      </c>
      <c r="O338" s="381">
        <f t="shared" si="812"/>
        <v>575.101</v>
      </c>
      <c r="P338" s="421">
        <f t="shared" si="813"/>
        <v>571.101</v>
      </c>
      <c r="Q338" s="381">
        <f t="shared" si="802"/>
        <v>571.101</v>
      </c>
      <c r="R338" s="421">
        <f t="shared" si="814"/>
        <v>564.101</v>
      </c>
      <c r="S338" s="381">
        <f t="shared" si="815"/>
        <v>564.101</v>
      </c>
      <c r="T338" s="113">
        <f t="shared" si="816"/>
        <v>559.101</v>
      </c>
      <c r="U338" s="337">
        <f t="shared" si="817"/>
        <v>559.101</v>
      </c>
      <c r="V338" s="113">
        <f t="shared" si="818"/>
        <v>556.101</v>
      </c>
      <c r="W338" s="337">
        <f t="shared" si="819"/>
        <v>556.101</v>
      </c>
      <c r="X338" s="150"/>
      <c r="Y338" s="150"/>
      <c r="Z338" s="150"/>
      <c r="AA338" s="150"/>
      <c r="AB338" s="614" t="s">
        <v>252</v>
      </c>
    </row>
    <row r="339" spans="1:31" ht="12.6" customHeight="1">
      <c r="A339" s="116"/>
      <c r="B339" s="916" t="s">
        <v>835</v>
      </c>
      <c r="C339" s="917"/>
      <c r="D339" s="917"/>
      <c r="E339" s="918"/>
      <c r="F339" s="537">
        <f>0.78*X2</f>
        <v>673.14</v>
      </c>
      <c r="G339" s="409">
        <f t="shared" si="820"/>
        <v>673.14</v>
      </c>
      <c r="H339" s="615"/>
      <c r="I339" s="615"/>
      <c r="J339" s="615"/>
      <c r="K339" s="382"/>
      <c r="L339" s="110">
        <f t="shared" ref="L339" si="821">F339+60</f>
        <v>733.14</v>
      </c>
      <c r="M339" s="382">
        <f t="shared" ref="M339" si="822">+L339*$X$1</f>
        <v>733.14</v>
      </c>
      <c r="N339" s="615">
        <f t="shared" ref="N339" si="823">F339+34</f>
        <v>707.14</v>
      </c>
      <c r="O339" s="382">
        <f t="shared" ref="O339" si="824">+N339*$X$1</f>
        <v>707.14</v>
      </c>
      <c r="P339" s="615">
        <f t="shared" ref="P339" si="825">F339+30</f>
        <v>703.14</v>
      </c>
      <c r="Q339" s="382">
        <f t="shared" ref="Q339" si="826">+P339*$X$1</f>
        <v>703.14</v>
      </c>
      <c r="R339" s="615">
        <f t="shared" ref="R339" si="827">F339+23</f>
        <v>696.14</v>
      </c>
      <c r="S339" s="382">
        <f t="shared" ref="S339" si="828">+R339*$X$1</f>
        <v>696.14</v>
      </c>
      <c r="T339" s="112">
        <f t="shared" ref="T339:T340" si="829">F339+18</f>
        <v>691.14</v>
      </c>
      <c r="U339" s="409">
        <f t="shared" ref="U339:U340" si="830">+T339*$X$1</f>
        <v>691.14</v>
      </c>
      <c r="V339" s="112">
        <f t="shared" ref="V339:V340" si="831">F339+15</f>
        <v>688.14</v>
      </c>
      <c r="W339" s="409">
        <f t="shared" ref="W339:W340" si="832">+V339*$X$1</f>
        <v>688.14</v>
      </c>
      <c r="X339" s="695"/>
      <c r="Y339" s="695"/>
      <c r="Z339" s="695"/>
      <c r="AA339" s="696"/>
      <c r="AB339" s="614" t="s">
        <v>839</v>
      </c>
      <c r="AC339" s="72"/>
      <c r="AE339" s="94"/>
    </row>
    <row r="340" spans="1:31" ht="12.6" customHeight="1">
      <c r="A340" s="116"/>
      <c r="B340" s="783" t="s">
        <v>253</v>
      </c>
      <c r="C340" s="963"/>
      <c r="D340" s="963"/>
      <c r="E340" s="964"/>
      <c r="F340" s="536">
        <f>0.8*X2</f>
        <v>690.40000000000009</v>
      </c>
      <c r="G340" s="337">
        <f t="shared" si="809"/>
        <v>690.40000000000009</v>
      </c>
      <c r="H340" s="421"/>
      <c r="I340" s="421"/>
      <c r="J340" s="421"/>
      <c r="K340" s="381"/>
      <c r="L340" s="572">
        <f t="shared" si="810"/>
        <v>750.40000000000009</v>
      </c>
      <c r="M340" s="381">
        <f t="shared" si="800"/>
        <v>750.40000000000009</v>
      </c>
      <c r="N340" s="421">
        <f t="shared" si="811"/>
        <v>724.40000000000009</v>
      </c>
      <c r="O340" s="381">
        <f t="shared" si="812"/>
        <v>724.40000000000009</v>
      </c>
      <c r="P340" s="421">
        <f t="shared" si="813"/>
        <v>720.40000000000009</v>
      </c>
      <c r="Q340" s="381">
        <f t="shared" si="802"/>
        <v>720.40000000000009</v>
      </c>
      <c r="R340" s="421">
        <f t="shared" si="814"/>
        <v>713.40000000000009</v>
      </c>
      <c r="S340" s="381">
        <f t="shared" si="815"/>
        <v>713.40000000000009</v>
      </c>
      <c r="T340" s="113">
        <f t="shared" si="829"/>
        <v>708.40000000000009</v>
      </c>
      <c r="U340" s="337">
        <f t="shared" si="830"/>
        <v>708.40000000000009</v>
      </c>
      <c r="V340" s="113">
        <f t="shared" si="831"/>
        <v>705.40000000000009</v>
      </c>
      <c r="W340" s="337">
        <f t="shared" si="832"/>
        <v>705.40000000000009</v>
      </c>
      <c r="X340" s="695"/>
      <c r="Y340" s="695"/>
      <c r="Z340" s="695"/>
      <c r="AA340" s="696"/>
      <c r="AB340" s="614" t="s">
        <v>254</v>
      </c>
      <c r="AC340" s="72"/>
      <c r="AE340" s="94"/>
    </row>
    <row r="341" spans="1:31" ht="12.6" customHeight="1">
      <c r="A341" s="106"/>
      <c r="B341" s="721" t="s">
        <v>255</v>
      </c>
      <c r="C341" s="726"/>
      <c r="D341" s="726"/>
      <c r="E341" s="727"/>
      <c r="F341" s="537">
        <f>0.852*X2</f>
        <v>735.27599999999995</v>
      </c>
      <c r="G341" s="409">
        <f t="shared" si="820"/>
        <v>735.27599999999995</v>
      </c>
      <c r="H341" s="528"/>
      <c r="I341" s="528"/>
      <c r="J341" s="528"/>
      <c r="K341" s="382"/>
      <c r="L341" s="110">
        <f t="shared" si="810"/>
        <v>795.27599999999995</v>
      </c>
      <c r="M341" s="382">
        <f t="shared" si="800"/>
        <v>795.27599999999995</v>
      </c>
      <c r="N341" s="576">
        <f t="shared" si="811"/>
        <v>769.27599999999995</v>
      </c>
      <c r="O341" s="382">
        <f t="shared" si="812"/>
        <v>769.27599999999995</v>
      </c>
      <c r="P341" s="576">
        <f t="shared" si="813"/>
        <v>765.27599999999995</v>
      </c>
      <c r="Q341" s="382">
        <f t="shared" si="802"/>
        <v>765.27599999999995</v>
      </c>
      <c r="R341" s="576">
        <f t="shared" si="814"/>
        <v>758.27599999999995</v>
      </c>
      <c r="S341" s="382">
        <f t="shared" si="815"/>
        <v>758.27599999999995</v>
      </c>
      <c r="T341" s="112">
        <f t="shared" si="816"/>
        <v>753.27599999999995</v>
      </c>
      <c r="U341" s="409">
        <f t="shared" si="817"/>
        <v>753.27599999999995</v>
      </c>
      <c r="V341" s="112">
        <f t="shared" si="818"/>
        <v>750.27599999999995</v>
      </c>
      <c r="W341" s="409">
        <f t="shared" si="819"/>
        <v>750.27599999999995</v>
      </c>
      <c r="X341" s="194"/>
      <c r="Y341" s="150"/>
      <c r="Z341" s="150"/>
      <c r="AA341" s="150"/>
      <c r="AB341" s="614">
        <v>2203</v>
      </c>
      <c r="AC341" s="265"/>
    </row>
    <row r="342" spans="1:31" ht="12.6" customHeight="1">
      <c r="A342" s="106"/>
      <c r="B342" s="715" t="s">
        <v>256</v>
      </c>
      <c r="C342" s="728"/>
      <c r="D342" s="728"/>
      <c r="E342" s="728"/>
      <c r="F342" s="536">
        <f>0.909*X2</f>
        <v>784.46699999999998</v>
      </c>
      <c r="G342" s="337">
        <f>+F342*$X$1</f>
        <v>784.46699999999998</v>
      </c>
      <c r="H342" s="421"/>
      <c r="I342" s="421"/>
      <c r="J342" s="421"/>
      <c r="K342" s="381"/>
      <c r="L342" s="572">
        <f t="shared" si="810"/>
        <v>844.46699999999998</v>
      </c>
      <c r="M342" s="381">
        <f t="shared" si="800"/>
        <v>844.46699999999998</v>
      </c>
      <c r="N342" s="421">
        <f t="shared" si="811"/>
        <v>818.46699999999998</v>
      </c>
      <c r="O342" s="381">
        <f t="shared" si="812"/>
        <v>818.46699999999998</v>
      </c>
      <c r="P342" s="421">
        <f t="shared" si="813"/>
        <v>814.46699999999998</v>
      </c>
      <c r="Q342" s="381">
        <f t="shared" si="802"/>
        <v>814.46699999999998</v>
      </c>
      <c r="R342" s="421">
        <f t="shared" si="814"/>
        <v>807.46699999999998</v>
      </c>
      <c r="S342" s="381">
        <f t="shared" si="815"/>
        <v>807.46699999999998</v>
      </c>
      <c r="T342" s="113">
        <f t="shared" si="816"/>
        <v>802.46699999999998</v>
      </c>
      <c r="U342" s="337">
        <f t="shared" si="817"/>
        <v>802.46699999999998</v>
      </c>
      <c r="V342" s="113">
        <f t="shared" si="818"/>
        <v>799.46699999999998</v>
      </c>
      <c r="W342" s="337">
        <f t="shared" si="819"/>
        <v>799.46699999999998</v>
      </c>
      <c r="X342" s="195"/>
      <c r="Y342" s="154"/>
      <c r="Z342" s="154"/>
      <c r="AA342" s="157"/>
      <c r="AB342" s="614">
        <v>2205</v>
      </c>
      <c r="AC342" s="72"/>
    </row>
    <row r="343" spans="1:31" ht="12.6" customHeight="1">
      <c r="A343" s="106"/>
      <c r="B343" s="713" t="s">
        <v>257</v>
      </c>
      <c r="C343" s="760"/>
      <c r="D343" s="760"/>
      <c r="E343" s="760"/>
      <c r="F343" s="537">
        <f>0.577*X2</f>
        <v>497.95099999999996</v>
      </c>
      <c r="G343" s="409">
        <f>+F343*$X$1</f>
        <v>497.95099999999996</v>
      </c>
      <c r="H343" s="528"/>
      <c r="I343" s="528"/>
      <c r="J343" s="528"/>
      <c r="K343" s="382"/>
      <c r="L343" s="110">
        <f t="shared" si="810"/>
        <v>557.95100000000002</v>
      </c>
      <c r="M343" s="382">
        <f t="shared" si="800"/>
        <v>557.95100000000002</v>
      </c>
      <c r="N343" s="576">
        <f t="shared" si="811"/>
        <v>531.95100000000002</v>
      </c>
      <c r="O343" s="382">
        <f t="shared" si="812"/>
        <v>531.95100000000002</v>
      </c>
      <c r="P343" s="576">
        <f t="shared" si="813"/>
        <v>527.95100000000002</v>
      </c>
      <c r="Q343" s="382">
        <f t="shared" si="802"/>
        <v>527.95100000000002</v>
      </c>
      <c r="R343" s="576">
        <f t="shared" si="814"/>
        <v>520.95100000000002</v>
      </c>
      <c r="S343" s="382">
        <f t="shared" si="815"/>
        <v>520.95100000000002</v>
      </c>
      <c r="T343" s="112">
        <f t="shared" si="816"/>
        <v>515.95100000000002</v>
      </c>
      <c r="U343" s="409">
        <f t="shared" si="817"/>
        <v>515.95100000000002</v>
      </c>
      <c r="V343" s="112">
        <f t="shared" si="818"/>
        <v>512.95100000000002</v>
      </c>
      <c r="W343" s="409">
        <f t="shared" si="819"/>
        <v>512.95100000000002</v>
      </c>
      <c r="X343" s="154"/>
      <c r="Y343" s="154"/>
      <c r="Z343" s="154"/>
      <c r="AA343" s="157"/>
      <c r="AB343" s="614">
        <v>2207</v>
      </c>
    </row>
    <row r="344" spans="1:31" ht="12.6" customHeight="1">
      <c r="A344" s="106"/>
      <c r="B344" s="697" t="s">
        <v>258</v>
      </c>
      <c r="C344" s="719"/>
      <c r="D344" s="719"/>
      <c r="E344" s="719"/>
      <c r="F344" s="536">
        <f>0.42*X2</f>
        <v>362.46</v>
      </c>
      <c r="G344" s="470">
        <f>+F344*$X$1</f>
        <v>362.46</v>
      </c>
      <c r="H344" s="125"/>
      <c r="I344" s="125"/>
      <c r="J344" s="125"/>
      <c r="K344" s="383"/>
      <c r="L344" s="572">
        <f t="shared" si="810"/>
        <v>422.46</v>
      </c>
      <c r="M344" s="381">
        <f t="shared" si="800"/>
        <v>422.46</v>
      </c>
      <c r="N344" s="421">
        <f t="shared" si="811"/>
        <v>396.46</v>
      </c>
      <c r="O344" s="381">
        <f t="shared" si="812"/>
        <v>396.46</v>
      </c>
      <c r="P344" s="421">
        <f t="shared" si="813"/>
        <v>392.46</v>
      </c>
      <c r="Q344" s="381">
        <f t="shared" si="802"/>
        <v>392.46</v>
      </c>
      <c r="R344" s="421">
        <f t="shared" si="814"/>
        <v>385.46</v>
      </c>
      <c r="S344" s="381">
        <f t="shared" si="815"/>
        <v>385.46</v>
      </c>
      <c r="T344" s="113">
        <f t="shared" si="816"/>
        <v>380.46</v>
      </c>
      <c r="U344" s="337">
        <f t="shared" si="817"/>
        <v>380.46</v>
      </c>
      <c r="V344" s="113">
        <f t="shared" si="818"/>
        <v>377.46</v>
      </c>
      <c r="W344" s="337">
        <f t="shared" si="819"/>
        <v>377.46</v>
      </c>
      <c r="X344" s="154"/>
      <c r="Y344" s="154"/>
      <c r="Z344" s="154"/>
      <c r="AA344" s="157"/>
      <c r="AB344" s="614">
        <v>2209</v>
      </c>
    </row>
    <row r="345" spans="1:31" ht="12.6" customHeight="1">
      <c r="A345" s="106"/>
      <c r="B345" s="761" t="s">
        <v>259</v>
      </c>
      <c r="C345" s="762"/>
      <c r="D345" s="762"/>
      <c r="E345" s="762"/>
      <c r="F345" s="537">
        <f>5.05*X2</f>
        <v>4358.1499999999996</v>
      </c>
      <c r="G345" s="382">
        <f t="shared" ref="G345" si="833">+F345*$X$1</f>
        <v>4358.1499999999996</v>
      </c>
      <c r="H345" s="528">
        <f>F345+170</f>
        <v>4528.1499999999996</v>
      </c>
      <c r="I345" s="382">
        <f>+H345*$X$1</f>
        <v>4528.1499999999996</v>
      </c>
      <c r="J345" s="528">
        <f>F345+65</f>
        <v>4423.1499999999996</v>
      </c>
      <c r="K345" s="382">
        <f t="shared" ref="K345" si="834">+J345*$X$1</f>
        <v>4423.1499999999996</v>
      </c>
      <c r="L345" s="528">
        <f>F345+50</f>
        <v>4408.1499999999996</v>
      </c>
      <c r="M345" s="382">
        <f t="shared" ref="M345" si="835">+L345*$X$1</f>
        <v>4408.1499999999996</v>
      </c>
      <c r="N345" s="528">
        <f>F345+36</f>
        <v>4394.1499999999996</v>
      </c>
      <c r="O345" s="382">
        <f t="shared" ref="O345" si="836">+N345*$X$1</f>
        <v>4394.1499999999996</v>
      </c>
      <c r="P345" s="528">
        <f>F345+33</f>
        <v>4391.1499999999996</v>
      </c>
      <c r="Q345" s="382">
        <f t="shared" ref="Q345" si="837">+P345*$X$1</f>
        <v>4391.1499999999996</v>
      </c>
      <c r="R345" s="528">
        <f>F345+30</f>
        <v>4388.1499999999996</v>
      </c>
      <c r="S345" s="382">
        <f t="shared" ref="S345" si="838">+R345*$X$1</f>
        <v>4388.1499999999996</v>
      </c>
      <c r="T345" s="528">
        <f>F345+26</f>
        <v>4384.1499999999996</v>
      </c>
      <c r="U345" s="382">
        <f t="shared" ref="U345" si="839">+T345*$X$1</f>
        <v>4384.1499999999996</v>
      </c>
      <c r="V345" s="528">
        <f>F345+22</f>
        <v>4380.1499999999996</v>
      </c>
      <c r="W345" s="382">
        <f t="shared" ref="W345" si="840">+V345*$X$1</f>
        <v>4380.1499999999996</v>
      </c>
      <c r="X345" s="694"/>
      <c r="Y345" s="695"/>
      <c r="Z345" s="695"/>
      <c r="AA345" s="696"/>
      <c r="AB345" s="614">
        <v>2216</v>
      </c>
      <c r="AC345" s="72"/>
    </row>
    <row r="346" spans="1:31" ht="12.6" customHeight="1">
      <c r="A346" s="116"/>
      <c r="B346" s="752" t="s">
        <v>435</v>
      </c>
      <c r="C346" s="753"/>
      <c r="D346" s="753"/>
      <c r="E346" s="753"/>
      <c r="F346" s="540">
        <f>1.25*X2</f>
        <v>1078.75</v>
      </c>
      <c r="G346" s="450">
        <f>+F346*$X$1</f>
        <v>1078.75</v>
      </c>
      <c r="H346" s="527">
        <f>F346+170</f>
        <v>1248.75</v>
      </c>
      <c r="I346" s="450">
        <f>+H346*$X$1</f>
        <v>1248.75</v>
      </c>
      <c r="J346" s="527">
        <f>F346+65</f>
        <v>1143.75</v>
      </c>
      <c r="K346" s="450">
        <f>+J346*$X$1</f>
        <v>1143.75</v>
      </c>
      <c r="L346" s="527">
        <f>F346+50</f>
        <v>1128.75</v>
      </c>
      <c r="M346" s="450">
        <f>+L346*$X$1</f>
        <v>1128.75</v>
      </c>
      <c r="N346" s="527">
        <f>F346+36</f>
        <v>1114.75</v>
      </c>
      <c r="O346" s="450">
        <f t="shared" ref="O346" si="841">+N346*$X$1</f>
        <v>1114.75</v>
      </c>
      <c r="P346" s="114"/>
      <c r="Q346" s="746" t="s">
        <v>155</v>
      </c>
      <c r="R346" s="747"/>
      <c r="S346" s="747"/>
      <c r="T346" s="747"/>
      <c r="U346" s="747"/>
      <c r="V346" s="747"/>
      <c r="W346" s="748"/>
      <c r="X346" s="694"/>
      <c r="Y346" s="695"/>
      <c r="Z346" s="695"/>
      <c r="AA346" s="696"/>
      <c r="AB346" s="614">
        <v>2222</v>
      </c>
    </row>
    <row r="347" spans="1:31" ht="12.6" customHeight="1">
      <c r="A347" s="106"/>
      <c r="B347" s="752" t="s">
        <v>479</v>
      </c>
      <c r="C347" s="753"/>
      <c r="D347" s="753"/>
      <c r="E347" s="753"/>
      <c r="F347" s="540">
        <f>0.4*X2</f>
        <v>345.20000000000005</v>
      </c>
      <c r="G347" s="450">
        <f t="shared" ref="G347:G351" si="842">+F347*$X$1</f>
        <v>345.20000000000005</v>
      </c>
      <c r="H347" s="527"/>
      <c r="I347" s="450"/>
      <c r="J347" s="527"/>
      <c r="K347" s="450"/>
      <c r="L347" s="527">
        <f>F347+90</f>
        <v>435.20000000000005</v>
      </c>
      <c r="M347" s="450">
        <f t="shared" ref="M347" si="843">+L347*$X$1</f>
        <v>435.20000000000005</v>
      </c>
      <c r="N347" s="527">
        <f>F347+51</f>
        <v>396.20000000000005</v>
      </c>
      <c r="O347" s="450">
        <f t="shared" ref="O347" si="844">+N347*$X$1</f>
        <v>396.20000000000005</v>
      </c>
      <c r="P347" s="527">
        <f>F347+45</f>
        <v>390.20000000000005</v>
      </c>
      <c r="Q347" s="450">
        <f t="shared" ref="Q347:Q369" si="845">+P347*$X$1</f>
        <v>390.20000000000005</v>
      </c>
      <c r="R347" s="527">
        <f>F347+35</f>
        <v>380.20000000000005</v>
      </c>
      <c r="S347" s="450">
        <f t="shared" ref="S347" si="846">+R347*$X$1</f>
        <v>380.20000000000005</v>
      </c>
      <c r="T347" s="527">
        <f>F347+27</f>
        <v>372.20000000000005</v>
      </c>
      <c r="U347" s="450">
        <f t="shared" ref="U347" si="847">+T347*$X$1</f>
        <v>372.20000000000005</v>
      </c>
      <c r="V347" s="379"/>
      <c r="W347" s="471"/>
      <c r="X347" s="158"/>
      <c r="Y347" s="154"/>
      <c r="Z347" s="154"/>
      <c r="AA347" s="157"/>
      <c r="AB347" s="614">
        <v>2234</v>
      </c>
    </row>
    <row r="348" spans="1:31" ht="12.6" customHeight="1">
      <c r="A348" s="106"/>
      <c r="B348" s="713" t="s">
        <v>480</v>
      </c>
      <c r="C348" s="714"/>
      <c r="D348" s="714"/>
      <c r="E348" s="714"/>
      <c r="F348" s="537">
        <f>0.67*X2</f>
        <v>578.21</v>
      </c>
      <c r="G348" s="382">
        <f t="shared" si="842"/>
        <v>578.21</v>
      </c>
      <c r="H348" s="370"/>
      <c r="I348" s="465"/>
      <c r="J348" s="656"/>
      <c r="K348" s="382"/>
      <c r="L348" s="656">
        <f>F348+90</f>
        <v>668.21</v>
      </c>
      <c r="M348" s="382">
        <f t="shared" ref="M348:M349" si="848">+L348*$X$1</f>
        <v>668.21</v>
      </c>
      <c r="N348" s="656">
        <f>F348+51</f>
        <v>629.21</v>
      </c>
      <c r="O348" s="382">
        <f t="shared" ref="O348" si="849">+N348*$X$1</f>
        <v>629.21</v>
      </c>
      <c r="P348" s="656">
        <f>F348+45</f>
        <v>623.21</v>
      </c>
      <c r="Q348" s="382">
        <f t="shared" ref="Q348:Q350" si="850">+P348*$X$1</f>
        <v>623.21</v>
      </c>
      <c r="R348" s="656">
        <f>F348+35</f>
        <v>613.21</v>
      </c>
      <c r="S348" s="382">
        <f t="shared" ref="S348" si="851">+R348*$X$1</f>
        <v>613.21</v>
      </c>
      <c r="T348" s="656">
        <f>F348+27</f>
        <v>605.21</v>
      </c>
      <c r="U348" s="382">
        <f t="shared" ref="U348" si="852">+T348*$X$1</f>
        <v>605.21</v>
      </c>
      <c r="V348" s="656">
        <f>F348+23</f>
        <v>601.21</v>
      </c>
      <c r="W348" s="382">
        <f t="shared" ref="W348" si="853">+V348*$X$1</f>
        <v>601.21</v>
      </c>
      <c r="X348" s="158"/>
      <c r="Y348" s="154"/>
      <c r="Z348" s="154"/>
      <c r="AA348" s="157"/>
      <c r="AB348" s="614" t="s">
        <v>260</v>
      </c>
    </row>
    <row r="349" spans="1:31" ht="12.6" customHeight="1">
      <c r="A349" s="106"/>
      <c r="B349" s="697" t="s">
        <v>261</v>
      </c>
      <c r="C349" s="698"/>
      <c r="D349" s="698"/>
      <c r="E349" s="698"/>
      <c r="F349" s="536">
        <f>0.484*X2</f>
        <v>417.69200000000001</v>
      </c>
      <c r="G349" s="381">
        <f t="shared" si="842"/>
        <v>417.69200000000001</v>
      </c>
      <c r="H349" s="371"/>
      <c r="I349" s="464"/>
      <c r="J349" s="421"/>
      <c r="K349" s="381"/>
      <c r="L349" s="572">
        <f>F349+60</f>
        <v>477.69200000000001</v>
      </c>
      <c r="M349" s="381">
        <f t="shared" si="848"/>
        <v>477.69200000000001</v>
      </c>
      <c r="N349" s="421">
        <f>F349+34</f>
        <v>451.69200000000001</v>
      </c>
      <c r="O349" s="381">
        <f t="shared" ref="O349:O357" si="854">+N349*$X$1</f>
        <v>451.69200000000001</v>
      </c>
      <c r="P349" s="421">
        <f>F349+30</f>
        <v>447.69200000000001</v>
      </c>
      <c r="Q349" s="381">
        <f t="shared" si="850"/>
        <v>447.69200000000001</v>
      </c>
      <c r="R349" s="421">
        <f t="shared" ref="R349:R357" si="855">F349+23</f>
        <v>440.69200000000001</v>
      </c>
      <c r="S349" s="381">
        <f t="shared" ref="S349:S357" si="856">+R349*$X$1</f>
        <v>440.69200000000001</v>
      </c>
      <c r="T349" s="113">
        <f t="shared" ref="T349:T357" si="857">F349+18</f>
        <v>435.69200000000001</v>
      </c>
      <c r="U349" s="337">
        <f t="shared" ref="U349:U357" si="858">+T349*$X$1</f>
        <v>435.69200000000001</v>
      </c>
      <c r="V349" s="113">
        <f t="shared" ref="V349:V357" si="859">F349+15</f>
        <v>432.69200000000001</v>
      </c>
      <c r="W349" s="337">
        <f t="shared" ref="W349:W357" si="860">+V349*$X$1</f>
        <v>432.69200000000001</v>
      </c>
      <c r="X349" s="158"/>
      <c r="Y349" s="154"/>
      <c r="Z349" s="154"/>
      <c r="AA349" s="157"/>
      <c r="AB349" s="614">
        <v>2238</v>
      </c>
    </row>
    <row r="350" spans="1:31" ht="12.6" customHeight="1">
      <c r="A350" s="116"/>
      <c r="B350" s="699" t="s">
        <v>262</v>
      </c>
      <c r="C350" s="724"/>
      <c r="D350" s="724"/>
      <c r="E350" s="725"/>
      <c r="F350" s="537">
        <f>0.464*X2</f>
        <v>400.43200000000002</v>
      </c>
      <c r="G350" s="382">
        <f t="shared" si="842"/>
        <v>400.43200000000002</v>
      </c>
      <c r="H350" s="370"/>
      <c r="I350" s="465"/>
      <c r="J350" s="656"/>
      <c r="K350" s="382"/>
      <c r="L350" s="110"/>
      <c r="M350" s="382"/>
      <c r="N350" s="656">
        <f>F350+34</f>
        <v>434.43200000000002</v>
      </c>
      <c r="O350" s="382">
        <f t="shared" si="854"/>
        <v>434.43200000000002</v>
      </c>
      <c r="P350" s="656">
        <f>F350+30</f>
        <v>430.43200000000002</v>
      </c>
      <c r="Q350" s="382">
        <f t="shared" si="850"/>
        <v>430.43200000000002</v>
      </c>
      <c r="R350" s="656">
        <f t="shared" si="855"/>
        <v>423.43200000000002</v>
      </c>
      <c r="S350" s="382">
        <f t="shared" si="856"/>
        <v>423.43200000000002</v>
      </c>
      <c r="T350" s="112">
        <f t="shared" si="857"/>
        <v>418.43200000000002</v>
      </c>
      <c r="U350" s="409">
        <f t="shared" si="858"/>
        <v>418.43200000000002</v>
      </c>
      <c r="V350" s="112">
        <f t="shared" si="859"/>
        <v>415.43200000000002</v>
      </c>
      <c r="W350" s="409">
        <f t="shared" si="860"/>
        <v>415.43200000000002</v>
      </c>
      <c r="X350" s="158"/>
      <c r="Y350" s="154"/>
      <c r="Z350" s="154"/>
      <c r="AA350" s="157"/>
      <c r="AB350" s="614">
        <v>2239</v>
      </c>
    </row>
    <row r="351" spans="1:31" ht="12.6" customHeight="1">
      <c r="A351" s="106"/>
      <c r="B351" s="697" t="s">
        <v>263</v>
      </c>
      <c r="C351" s="698"/>
      <c r="D351" s="698"/>
      <c r="E351" s="698"/>
      <c r="F351" s="604">
        <f>0.34*X2</f>
        <v>293.42</v>
      </c>
      <c r="G351" s="381">
        <f t="shared" si="842"/>
        <v>293.42</v>
      </c>
      <c r="H351" s="371"/>
      <c r="I351" s="464"/>
      <c r="J351" s="421"/>
      <c r="K351" s="381"/>
      <c r="L351" s="572">
        <f>F351+60</f>
        <v>353.42</v>
      </c>
      <c r="M351" s="381">
        <f t="shared" ref="M351" si="861">+L351*$X$1</f>
        <v>353.42</v>
      </c>
      <c r="N351" s="421">
        <f>F351+34</f>
        <v>327.42</v>
      </c>
      <c r="O351" s="381">
        <f t="shared" si="854"/>
        <v>327.42</v>
      </c>
      <c r="P351" s="421">
        <f>F351+30</f>
        <v>323.42</v>
      </c>
      <c r="Q351" s="381">
        <f t="shared" ref="Q351" si="862">+P351*$X$1</f>
        <v>323.42</v>
      </c>
      <c r="R351" s="421">
        <f t="shared" si="855"/>
        <v>316.42</v>
      </c>
      <c r="S351" s="381">
        <f t="shared" si="856"/>
        <v>316.42</v>
      </c>
      <c r="T351" s="113">
        <f t="shared" si="857"/>
        <v>311.42</v>
      </c>
      <c r="U351" s="337">
        <f t="shared" si="858"/>
        <v>311.42</v>
      </c>
      <c r="V351" s="113">
        <f t="shared" si="859"/>
        <v>308.42</v>
      </c>
      <c r="W351" s="337">
        <f t="shared" si="860"/>
        <v>308.42</v>
      </c>
      <c r="X351" s="158"/>
      <c r="Y351" s="154"/>
      <c r="Z351" s="154"/>
      <c r="AA351" s="157"/>
      <c r="AB351" s="614">
        <v>2244</v>
      </c>
    </row>
    <row r="352" spans="1:31" ht="12.6" customHeight="1">
      <c r="A352" s="20"/>
      <c r="B352" s="713" t="s">
        <v>387</v>
      </c>
      <c r="C352" s="714"/>
      <c r="D352" s="714"/>
      <c r="E352" s="714"/>
      <c r="F352" s="554">
        <f>0.28*X2</f>
        <v>241.64000000000001</v>
      </c>
      <c r="G352" s="382">
        <f t="shared" ref="G352" si="863">+F352*$X$1</f>
        <v>241.64000000000001</v>
      </c>
      <c r="H352" s="370"/>
      <c r="I352" s="465"/>
      <c r="J352" s="656"/>
      <c r="K352" s="382"/>
      <c r="L352" s="110">
        <f>F352+60</f>
        <v>301.64</v>
      </c>
      <c r="M352" s="382">
        <f t="shared" ref="M352" si="864">+L352*$X$1</f>
        <v>301.64</v>
      </c>
      <c r="N352" s="656">
        <f>F352+34</f>
        <v>275.64</v>
      </c>
      <c r="O352" s="382">
        <f t="shared" si="854"/>
        <v>275.64</v>
      </c>
      <c r="P352" s="656">
        <f>F352+30</f>
        <v>271.64</v>
      </c>
      <c r="Q352" s="382">
        <f t="shared" ref="Q352" si="865">+P352*$X$1</f>
        <v>271.64</v>
      </c>
      <c r="R352" s="656">
        <f t="shared" si="855"/>
        <v>264.64</v>
      </c>
      <c r="S352" s="382">
        <f t="shared" si="856"/>
        <v>264.64</v>
      </c>
      <c r="T352" s="112">
        <f t="shared" si="857"/>
        <v>259.64</v>
      </c>
      <c r="U352" s="409">
        <f t="shared" si="858"/>
        <v>259.64</v>
      </c>
      <c r="V352" s="112">
        <f t="shared" si="859"/>
        <v>256.64</v>
      </c>
      <c r="W352" s="409">
        <f t="shared" si="860"/>
        <v>256.64</v>
      </c>
      <c r="X352" s="158"/>
      <c r="Y352" s="154"/>
      <c r="Z352" s="154"/>
      <c r="AA352" s="157"/>
      <c r="AB352" s="614">
        <v>2245</v>
      </c>
    </row>
    <row r="353" spans="1:29" ht="12.6" customHeight="1">
      <c r="A353" s="106"/>
      <c r="B353" s="697" t="s">
        <v>654</v>
      </c>
      <c r="C353" s="698"/>
      <c r="D353" s="698"/>
      <c r="E353" s="698"/>
      <c r="F353" s="439">
        <v>1460</v>
      </c>
      <c r="G353" s="381">
        <f>+F353*$X$1</f>
        <v>1460</v>
      </c>
      <c r="H353" s="371"/>
      <c r="I353" s="464"/>
      <c r="J353" s="421"/>
      <c r="K353" s="381"/>
      <c r="L353" s="421">
        <f t="shared" ref="L353:L359" si="866">F353+60</f>
        <v>1520</v>
      </c>
      <c r="M353" s="381">
        <f t="shared" ref="M353:M354" si="867">+L353*$X$1</f>
        <v>1520</v>
      </c>
      <c r="N353" s="421">
        <f t="shared" ref="N353:N359" si="868">F353+34</f>
        <v>1494</v>
      </c>
      <c r="O353" s="381">
        <f t="shared" si="854"/>
        <v>1494</v>
      </c>
      <c r="P353" s="421">
        <f t="shared" ref="P353:P359" si="869">F353+30</f>
        <v>1490</v>
      </c>
      <c r="Q353" s="381">
        <f t="shared" ref="Q353:Q354" si="870">+P353*$X$1</f>
        <v>1490</v>
      </c>
      <c r="R353" s="421">
        <f t="shared" si="855"/>
        <v>1483</v>
      </c>
      <c r="S353" s="381">
        <f t="shared" si="856"/>
        <v>1483</v>
      </c>
      <c r="T353" s="113">
        <f t="shared" si="857"/>
        <v>1478</v>
      </c>
      <c r="U353" s="337">
        <f t="shared" si="858"/>
        <v>1478</v>
      </c>
      <c r="V353" s="113">
        <f t="shared" si="859"/>
        <v>1475</v>
      </c>
      <c r="W353" s="337">
        <f t="shared" si="860"/>
        <v>1475</v>
      </c>
      <c r="X353" s="158"/>
      <c r="Y353" s="154"/>
      <c r="Z353" s="154"/>
      <c r="AA353" s="157"/>
      <c r="AB353" s="614">
        <v>2246</v>
      </c>
    </row>
    <row r="354" spans="1:29" ht="12.6" customHeight="1">
      <c r="A354" s="20"/>
      <c r="B354" s="699" t="s">
        <v>591</v>
      </c>
      <c r="C354" s="717"/>
      <c r="D354" s="717"/>
      <c r="E354" s="718"/>
      <c r="F354" s="541">
        <f>0.465*X2</f>
        <v>401.29500000000002</v>
      </c>
      <c r="G354" s="382">
        <f t="shared" ref="G354:G360" si="871">+F354*$X$1</f>
        <v>401.29500000000002</v>
      </c>
      <c r="H354" s="370"/>
      <c r="I354" s="465"/>
      <c r="J354" s="675"/>
      <c r="K354" s="382"/>
      <c r="L354" s="675">
        <f t="shared" ref="L354" si="872">F354+60</f>
        <v>461.29500000000002</v>
      </c>
      <c r="M354" s="382">
        <f t="shared" si="867"/>
        <v>461.29500000000002</v>
      </c>
      <c r="N354" s="675">
        <f t="shared" ref="N354" si="873">F354+34</f>
        <v>435.29500000000002</v>
      </c>
      <c r="O354" s="382">
        <f t="shared" si="854"/>
        <v>435.29500000000002</v>
      </c>
      <c r="P354" s="675">
        <f t="shared" ref="P354" si="874">F354+30</f>
        <v>431.29500000000002</v>
      </c>
      <c r="Q354" s="382">
        <f t="shared" si="870"/>
        <v>431.29500000000002</v>
      </c>
      <c r="R354" s="675">
        <f t="shared" si="855"/>
        <v>424.29500000000002</v>
      </c>
      <c r="S354" s="382">
        <f t="shared" si="856"/>
        <v>424.29500000000002</v>
      </c>
      <c r="T354" s="112">
        <f t="shared" si="857"/>
        <v>419.29500000000002</v>
      </c>
      <c r="U354" s="409">
        <f t="shared" si="858"/>
        <v>419.29500000000002</v>
      </c>
      <c r="V354" s="112">
        <f t="shared" si="859"/>
        <v>416.29500000000002</v>
      </c>
      <c r="W354" s="409">
        <f t="shared" si="860"/>
        <v>416.29500000000002</v>
      </c>
      <c r="X354" s="150"/>
      <c r="Y354" s="150"/>
      <c r="Z354" s="150"/>
      <c r="AA354" s="150"/>
      <c r="AB354" s="643">
        <v>2251</v>
      </c>
    </row>
    <row r="355" spans="1:29" ht="12.6" customHeight="1">
      <c r="A355" s="20"/>
      <c r="B355" s="702" t="s">
        <v>475</v>
      </c>
      <c r="C355" s="924"/>
      <c r="D355" s="924"/>
      <c r="E355" s="925"/>
      <c r="F355" s="542">
        <f>0.563*X2</f>
        <v>485.86899999999997</v>
      </c>
      <c r="G355" s="381">
        <f t="shared" si="871"/>
        <v>485.86899999999997</v>
      </c>
      <c r="H355" s="371"/>
      <c r="I355" s="464"/>
      <c r="J355" s="421"/>
      <c r="K355" s="381"/>
      <c r="L355" s="421">
        <f t="shared" si="866"/>
        <v>545.86899999999991</v>
      </c>
      <c r="M355" s="381">
        <f t="shared" ref="M355:M357" si="875">+L355*$X$1</f>
        <v>545.86899999999991</v>
      </c>
      <c r="N355" s="421">
        <f t="shared" si="868"/>
        <v>519.86899999999991</v>
      </c>
      <c r="O355" s="381">
        <f t="shared" si="854"/>
        <v>519.86899999999991</v>
      </c>
      <c r="P355" s="421">
        <f t="shared" si="869"/>
        <v>515.86899999999991</v>
      </c>
      <c r="Q355" s="381">
        <f t="shared" ref="Q355:Q357" si="876">+P355*$X$1</f>
        <v>515.86899999999991</v>
      </c>
      <c r="R355" s="421">
        <f t="shared" si="855"/>
        <v>508.86899999999997</v>
      </c>
      <c r="S355" s="381">
        <f t="shared" si="856"/>
        <v>508.86899999999997</v>
      </c>
      <c r="T355" s="113">
        <f t="shared" si="857"/>
        <v>503.86899999999997</v>
      </c>
      <c r="U355" s="337">
        <f t="shared" si="858"/>
        <v>503.86899999999997</v>
      </c>
      <c r="V355" s="113">
        <f t="shared" si="859"/>
        <v>500.86899999999997</v>
      </c>
      <c r="W355" s="337">
        <f t="shared" si="860"/>
        <v>500.86899999999997</v>
      </c>
      <c r="X355" s="150"/>
      <c r="Y355" s="150"/>
      <c r="Z355" s="150"/>
      <c r="AA355" s="150"/>
      <c r="AB355" s="614">
        <v>2252</v>
      </c>
    </row>
    <row r="356" spans="1:29" ht="12.6" customHeight="1">
      <c r="A356" s="116"/>
      <c r="B356" s="699" t="s">
        <v>264</v>
      </c>
      <c r="C356" s="700"/>
      <c r="D356" s="700"/>
      <c r="E356" s="701"/>
      <c r="F356" s="537">
        <f>0.372*X2</f>
        <v>321.036</v>
      </c>
      <c r="G356" s="382">
        <f t="shared" si="871"/>
        <v>321.036</v>
      </c>
      <c r="H356" s="370"/>
      <c r="I356" s="465"/>
      <c r="J356" s="675"/>
      <c r="K356" s="382"/>
      <c r="L356" s="675">
        <f t="shared" si="866"/>
        <v>381.036</v>
      </c>
      <c r="M356" s="382">
        <f t="shared" si="875"/>
        <v>381.036</v>
      </c>
      <c r="N356" s="675">
        <f t="shared" si="868"/>
        <v>355.036</v>
      </c>
      <c r="O356" s="382">
        <f t="shared" si="854"/>
        <v>355.036</v>
      </c>
      <c r="P356" s="675">
        <f t="shared" si="869"/>
        <v>351.036</v>
      </c>
      <c r="Q356" s="382">
        <f t="shared" si="876"/>
        <v>351.036</v>
      </c>
      <c r="R356" s="675">
        <f t="shared" si="855"/>
        <v>344.036</v>
      </c>
      <c r="S356" s="382">
        <f t="shared" si="856"/>
        <v>344.036</v>
      </c>
      <c r="T356" s="112">
        <f t="shared" si="857"/>
        <v>339.036</v>
      </c>
      <c r="U356" s="409">
        <f t="shared" si="858"/>
        <v>339.036</v>
      </c>
      <c r="V356" s="112">
        <f t="shared" si="859"/>
        <v>336.036</v>
      </c>
      <c r="W356" s="409">
        <f t="shared" si="860"/>
        <v>336.036</v>
      </c>
      <c r="X356" s="194"/>
      <c r="Y356" s="150"/>
      <c r="Z356" s="150"/>
      <c r="AA356" s="170"/>
      <c r="AB356" s="614">
        <v>2254</v>
      </c>
      <c r="AC356" s="72"/>
    </row>
    <row r="357" spans="1:29" ht="12.6" customHeight="1">
      <c r="A357" s="116"/>
      <c r="B357" s="702" t="s">
        <v>608</v>
      </c>
      <c r="C357" s="741"/>
      <c r="D357" s="741"/>
      <c r="E357" s="742"/>
      <c r="F357" s="536">
        <f>0.429*X2</f>
        <v>370.22699999999998</v>
      </c>
      <c r="G357" s="381">
        <f t="shared" si="871"/>
        <v>370.22699999999998</v>
      </c>
      <c r="H357" s="371"/>
      <c r="I357" s="464"/>
      <c r="J357" s="421"/>
      <c r="K357" s="381"/>
      <c r="L357" s="421">
        <f t="shared" si="866"/>
        <v>430.22699999999998</v>
      </c>
      <c r="M357" s="381">
        <f t="shared" si="875"/>
        <v>430.22699999999998</v>
      </c>
      <c r="N357" s="421">
        <f t="shared" si="868"/>
        <v>404.22699999999998</v>
      </c>
      <c r="O357" s="381">
        <f t="shared" si="854"/>
        <v>404.22699999999998</v>
      </c>
      <c r="P357" s="421">
        <f t="shared" si="869"/>
        <v>400.22699999999998</v>
      </c>
      <c r="Q357" s="381">
        <f t="shared" si="876"/>
        <v>400.22699999999998</v>
      </c>
      <c r="R357" s="421">
        <f t="shared" si="855"/>
        <v>393.22699999999998</v>
      </c>
      <c r="S357" s="381">
        <f t="shared" si="856"/>
        <v>393.22699999999998</v>
      </c>
      <c r="T357" s="113">
        <f t="shared" si="857"/>
        <v>388.22699999999998</v>
      </c>
      <c r="U357" s="337">
        <f t="shared" si="858"/>
        <v>388.22699999999998</v>
      </c>
      <c r="V357" s="113">
        <f t="shared" si="859"/>
        <v>385.22699999999998</v>
      </c>
      <c r="W357" s="337">
        <f t="shared" si="860"/>
        <v>385.22699999999998</v>
      </c>
      <c r="X357" s="194"/>
      <c r="Y357" s="150"/>
      <c r="Z357" s="150"/>
      <c r="AA357" s="170"/>
      <c r="AB357" s="614" t="s">
        <v>644</v>
      </c>
      <c r="AC357" s="72"/>
    </row>
    <row r="358" spans="1:29" ht="12.6" customHeight="1">
      <c r="A358" s="116"/>
      <c r="B358" s="699" t="s">
        <v>614</v>
      </c>
      <c r="C358" s="700"/>
      <c r="D358" s="700"/>
      <c r="E358" s="701"/>
      <c r="F358" s="537">
        <f>0.372*X2</f>
        <v>321.036</v>
      </c>
      <c r="G358" s="382">
        <f t="shared" si="871"/>
        <v>321.036</v>
      </c>
      <c r="H358" s="370"/>
      <c r="I358" s="465"/>
      <c r="J358" s="675"/>
      <c r="K358" s="382"/>
      <c r="L358" s="675">
        <f t="shared" si="866"/>
        <v>381.036</v>
      </c>
      <c r="M358" s="382">
        <f t="shared" ref="M358:M359" si="877">+L358*$X$1</f>
        <v>381.036</v>
      </c>
      <c r="N358" s="675">
        <f t="shared" si="868"/>
        <v>355.036</v>
      </c>
      <c r="O358" s="382">
        <f t="shared" ref="O358" si="878">+N358*$X$1</f>
        <v>355.036</v>
      </c>
      <c r="P358" s="675">
        <f t="shared" si="869"/>
        <v>351.036</v>
      </c>
      <c r="Q358" s="382">
        <f t="shared" ref="Q358:Q359" si="879">+P358*$X$1</f>
        <v>351.036</v>
      </c>
      <c r="R358" s="675"/>
      <c r="S358" s="382"/>
      <c r="T358" s="112"/>
      <c r="U358" s="409"/>
      <c r="V358" s="112"/>
      <c r="W358" s="409"/>
      <c r="X358" s="194"/>
      <c r="Y358" s="150"/>
      <c r="Z358" s="150"/>
      <c r="AA358" s="170"/>
      <c r="AB358" s="614" t="s">
        <v>643</v>
      </c>
      <c r="AC358" s="72"/>
    </row>
    <row r="359" spans="1:29" ht="12.6" customHeight="1">
      <c r="A359" s="116"/>
      <c r="B359" s="702" t="s">
        <v>265</v>
      </c>
      <c r="C359" s="703"/>
      <c r="D359" s="703"/>
      <c r="E359" s="704"/>
      <c r="F359" s="439">
        <v>619</v>
      </c>
      <c r="G359" s="381">
        <f t="shared" si="871"/>
        <v>619</v>
      </c>
      <c r="H359" s="371"/>
      <c r="I359" s="464"/>
      <c r="J359" s="421"/>
      <c r="K359" s="381"/>
      <c r="L359" s="421">
        <f t="shared" si="866"/>
        <v>679</v>
      </c>
      <c r="M359" s="381">
        <f t="shared" si="877"/>
        <v>679</v>
      </c>
      <c r="N359" s="421">
        <f t="shared" si="868"/>
        <v>653</v>
      </c>
      <c r="O359" s="381">
        <f>+N359*$X$1</f>
        <v>653</v>
      </c>
      <c r="P359" s="421">
        <f t="shared" si="869"/>
        <v>649</v>
      </c>
      <c r="Q359" s="381">
        <f t="shared" si="879"/>
        <v>649</v>
      </c>
      <c r="R359" s="421">
        <f>F359+23</f>
        <v>642</v>
      </c>
      <c r="S359" s="381">
        <f>+R359*$X$1</f>
        <v>642</v>
      </c>
      <c r="T359" s="113">
        <f>F359+18</f>
        <v>637</v>
      </c>
      <c r="U359" s="337">
        <f>+T359*$X$1</f>
        <v>637</v>
      </c>
      <c r="V359" s="113">
        <f>F359+15</f>
        <v>634</v>
      </c>
      <c r="W359" s="337">
        <f>+V359*$X$1</f>
        <v>634</v>
      </c>
      <c r="X359" s="194"/>
      <c r="Y359" s="150"/>
      <c r="Z359" s="150"/>
      <c r="AA359" s="150"/>
      <c r="AB359" s="614">
        <v>2255</v>
      </c>
      <c r="AC359" s="72"/>
    </row>
    <row r="360" spans="1:29" ht="12.6" customHeight="1">
      <c r="A360" s="20"/>
      <c r="B360" s="711" t="s">
        <v>698</v>
      </c>
      <c r="C360" s="765"/>
      <c r="D360" s="765"/>
      <c r="E360" s="765"/>
      <c r="F360" s="438">
        <v>2998</v>
      </c>
      <c r="G360" s="382">
        <f t="shared" si="871"/>
        <v>2998</v>
      </c>
      <c r="H360" s="675">
        <f>F360+170</f>
        <v>3168</v>
      </c>
      <c r="I360" s="382">
        <f>+H360*$X$1</f>
        <v>3168</v>
      </c>
      <c r="J360" s="675">
        <f>F360+65</f>
        <v>3063</v>
      </c>
      <c r="K360" s="382">
        <f t="shared" ref="K360:K367" si="880">+J360*$X$1</f>
        <v>3063</v>
      </c>
      <c r="L360" s="675">
        <f>F360+50</f>
        <v>3048</v>
      </c>
      <c r="M360" s="382">
        <f t="shared" ref="M360:M369" si="881">+L360*$X$1</f>
        <v>3048</v>
      </c>
      <c r="N360" s="675">
        <f>F360+36</f>
        <v>3034</v>
      </c>
      <c r="O360" s="382">
        <f t="shared" ref="O360:O367" si="882">+N360*$X$1</f>
        <v>3034</v>
      </c>
      <c r="P360" s="675">
        <f>F360+33</f>
        <v>3031</v>
      </c>
      <c r="Q360" s="382">
        <f t="shared" si="845"/>
        <v>3031</v>
      </c>
      <c r="R360" s="675">
        <f>F360+30</f>
        <v>3028</v>
      </c>
      <c r="S360" s="382">
        <f t="shared" ref="S360:S367" si="883">+R360*$X$1</f>
        <v>3028</v>
      </c>
      <c r="T360" s="675">
        <f>F360+26</f>
        <v>3024</v>
      </c>
      <c r="U360" s="382">
        <f t="shared" ref="U360:U367" si="884">+T360*$X$1</f>
        <v>3024</v>
      </c>
      <c r="V360" s="675">
        <f>F360+22</f>
        <v>3020</v>
      </c>
      <c r="W360" s="382">
        <f t="shared" ref="W360:W367" si="885">+V360*$X$1</f>
        <v>3020</v>
      </c>
      <c r="X360" s="694"/>
      <c r="Y360" s="729"/>
      <c r="Z360" s="729"/>
      <c r="AA360" s="696"/>
      <c r="AB360" s="614">
        <v>2257</v>
      </c>
      <c r="AC360" s="72"/>
    </row>
    <row r="361" spans="1:29" ht="12.6" customHeight="1">
      <c r="A361" s="20"/>
      <c r="B361" s="715" t="s">
        <v>732</v>
      </c>
      <c r="C361" s="786"/>
      <c r="D361" s="786"/>
      <c r="E361" s="786"/>
      <c r="F361" s="439"/>
      <c r="G361" s="381"/>
      <c r="H361" s="421"/>
      <c r="I361" s="381"/>
      <c r="J361" s="421"/>
      <c r="K361" s="381"/>
      <c r="L361" s="421"/>
      <c r="M361" s="381"/>
      <c r="N361" s="421"/>
      <c r="O361" s="381"/>
      <c r="P361" s="421"/>
      <c r="Q361" s="381"/>
      <c r="R361" s="421"/>
      <c r="S361" s="381"/>
      <c r="T361" s="421"/>
      <c r="U361" s="381"/>
      <c r="V361" s="421"/>
      <c r="W361" s="381"/>
      <c r="X361" s="694"/>
      <c r="Y361" s="729"/>
      <c r="Z361" s="729"/>
      <c r="AA361" s="696"/>
      <c r="AB361" s="614">
        <v>2258</v>
      </c>
      <c r="AC361" s="72"/>
    </row>
    <row r="362" spans="1:29" ht="12.6" customHeight="1">
      <c r="A362" s="20"/>
      <c r="B362" s="709" t="s">
        <v>879</v>
      </c>
      <c r="C362" s="763"/>
      <c r="D362" s="763"/>
      <c r="E362" s="763"/>
      <c r="F362" s="537">
        <f>0.702*X2</f>
        <v>605.82599999999991</v>
      </c>
      <c r="G362" s="382">
        <f t="shared" ref="G362" si="886">+F362*$X$1</f>
        <v>605.82599999999991</v>
      </c>
      <c r="H362" s="675"/>
      <c r="I362" s="382"/>
      <c r="J362" s="675"/>
      <c r="K362" s="382"/>
      <c r="L362" s="675">
        <f>F362+60</f>
        <v>665.82599999999991</v>
      </c>
      <c r="M362" s="382">
        <f t="shared" si="881"/>
        <v>665.82599999999991</v>
      </c>
      <c r="N362" s="675">
        <f>F362+34</f>
        <v>639.82599999999991</v>
      </c>
      <c r="O362" s="382">
        <f>+N362*$X$1</f>
        <v>639.82599999999991</v>
      </c>
      <c r="P362" s="675">
        <f>F362+30</f>
        <v>635.82599999999991</v>
      </c>
      <c r="Q362" s="382">
        <f t="shared" si="845"/>
        <v>635.82599999999991</v>
      </c>
      <c r="R362" s="675">
        <f>F362+23</f>
        <v>628.82599999999991</v>
      </c>
      <c r="S362" s="382">
        <f>+R362*$X$1</f>
        <v>628.82599999999991</v>
      </c>
      <c r="T362" s="112">
        <f>F362+18</f>
        <v>623.82599999999991</v>
      </c>
      <c r="U362" s="409">
        <f>+T362*$X$1</f>
        <v>623.82599999999991</v>
      </c>
      <c r="V362" s="112">
        <f>F362+15</f>
        <v>620.82599999999991</v>
      </c>
      <c r="W362" s="409">
        <f>+V362*$X$1</f>
        <v>620.82599999999991</v>
      </c>
      <c r="X362" s="694"/>
      <c r="Y362" s="729"/>
      <c r="Z362" s="729"/>
      <c r="AA362" s="696"/>
      <c r="AB362" s="614">
        <v>2260</v>
      </c>
      <c r="AC362" s="72"/>
    </row>
    <row r="363" spans="1:29" ht="12.6" customHeight="1">
      <c r="A363" s="20"/>
      <c r="B363" s="709" t="s">
        <v>845</v>
      </c>
      <c r="C363" s="763"/>
      <c r="D363" s="763"/>
      <c r="E363" s="763"/>
      <c r="F363" s="536">
        <f>0.667*X2</f>
        <v>575.62099999999998</v>
      </c>
      <c r="G363" s="381">
        <f t="shared" ref="G363:G364" si="887">+F363*$X$1</f>
        <v>575.62099999999998</v>
      </c>
      <c r="H363" s="421"/>
      <c r="I363" s="381"/>
      <c r="J363" s="421"/>
      <c r="K363" s="381"/>
      <c r="L363" s="421">
        <f>F363+60</f>
        <v>635.62099999999998</v>
      </c>
      <c r="M363" s="381">
        <f t="shared" ref="M363:M364" si="888">+L363*$X$1</f>
        <v>635.62099999999998</v>
      </c>
      <c r="N363" s="421">
        <f>F363+34</f>
        <v>609.62099999999998</v>
      </c>
      <c r="O363" s="381">
        <f>+N363*$X$1</f>
        <v>609.62099999999998</v>
      </c>
      <c r="P363" s="421">
        <f>F363+30</f>
        <v>605.62099999999998</v>
      </c>
      <c r="Q363" s="381">
        <f t="shared" ref="Q363:Q364" si="889">+P363*$X$1</f>
        <v>605.62099999999998</v>
      </c>
      <c r="R363" s="421">
        <f>F363+23</f>
        <v>598.62099999999998</v>
      </c>
      <c r="S363" s="381">
        <f>+R363*$X$1</f>
        <v>598.62099999999998</v>
      </c>
      <c r="T363" s="113">
        <f>F363+18</f>
        <v>593.62099999999998</v>
      </c>
      <c r="U363" s="337">
        <f>+T363*$X$1</f>
        <v>593.62099999999998</v>
      </c>
      <c r="V363" s="113">
        <f>F363+15</f>
        <v>590.62099999999998</v>
      </c>
      <c r="W363" s="337">
        <f>+V363*$X$1</f>
        <v>590.62099999999998</v>
      </c>
      <c r="X363" s="694"/>
      <c r="Y363" s="729"/>
      <c r="Z363" s="729"/>
      <c r="AA363" s="696"/>
      <c r="AB363" s="614">
        <v>2261</v>
      </c>
      <c r="AC363" s="72"/>
    </row>
    <row r="364" spans="1:29" ht="12.6" customHeight="1">
      <c r="A364" s="20"/>
      <c r="B364" s="709" t="s">
        <v>881</v>
      </c>
      <c r="C364" s="763"/>
      <c r="D364" s="763"/>
      <c r="E364" s="763"/>
      <c r="F364" s="537">
        <f>0.704*X2</f>
        <v>607.55200000000002</v>
      </c>
      <c r="G364" s="382">
        <f t="shared" si="887"/>
        <v>607.55200000000002</v>
      </c>
      <c r="H364" s="676"/>
      <c r="I364" s="382"/>
      <c r="J364" s="676"/>
      <c r="K364" s="382"/>
      <c r="L364" s="676">
        <f>F364+60</f>
        <v>667.55200000000002</v>
      </c>
      <c r="M364" s="382">
        <f t="shared" si="888"/>
        <v>667.55200000000002</v>
      </c>
      <c r="N364" s="676">
        <f>F364+34</f>
        <v>641.55200000000002</v>
      </c>
      <c r="O364" s="382">
        <f>+N364*$X$1</f>
        <v>641.55200000000002</v>
      </c>
      <c r="P364" s="676">
        <f>F364+30</f>
        <v>637.55200000000002</v>
      </c>
      <c r="Q364" s="382">
        <f t="shared" si="889"/>
        <v>637.55200000000002</v>
      </c>
      <c r="R364" s="676">
        <f>F364+23</f>
        <v>630.55200000000002</v>
      </c>
      <c r="S364" s="382">
        <f>+R364*$X$1</f>
        <v>630.55200000000002</v>
      </c>
      <c r="T364" s="112">
        <f>F364+18</f>
        <v>625.55200000000002</v>
      </c>
      <c r="U364" s="409">
        <f>+T364*$X$1</f>
        <v>625.55200000000002</v>
      </c>
      <c r="V364" s="112">
        <f>F364+15</f>
        <v>622.55200000000002</v>
      </c>
      <c r="W364" s="409">
        <f>+V364*$X$1</f>
        <v>622.55200000000002</v>
      </c>
      <c r="X364" s="694"/>
      <c r="Y364" s="729"/>
      <c r="Z364" s="729"/>
      <c r="AA364" s="696"/>
      <c r="AB364" s="614">
        <v>2262</v>
      </c>
      <c r="AC364" s="72"/>
    </row>
    <row r="365" spans="1:29" ht="12.6" customHeight="1">
      <c r="A365" s="20"/>
      <c r="B365" s="709" t="s">
        <v>799</v>
      </c>
      <c r="C365" s="763"/>
      <c r="D365" s="763"/>
      <c r="E365" s="763"/>
      <c r="F365" s="536">
        <f>1.2*X2</f>
        <v>1035.5999999999999</v>
      </c>
      <c r="G365" s="381">
        <f t="shared" ref="G365" si="890">+F365*$X$1</f>
        <v>1035.5999999999999</v>
      </c>
      <c r="H365" s="421"/>
      <c r="I365" s="381"/>
      <c r="J365" s="421"/>
      <c r="K365" s="381"/>
      <c r="L365" s="421">
        <f>F365+60</f>
        <v>1095.5999999999999</v>
      </c>
      <c r="M365" s="381">
        <f t="shared" si="881"/>
        <v>1095.5999999999999</v>
      </c>
      <c r="N365" s="421">
        <f>F365+34</f>
        <v>1069.5999999999999</v>
      </c>
      <c r="O365" s="381">
        <f>+N365*$X$1</f>
        <v>1069.5999999999999</v>
      </c>
      <c r="P365" s="421">
        <f>F365+30</f>
        <v>1065.5999999999999</v>
      </c>
      <c r="Q365" s="381">
        <f t="shared" si="845"/>
        <v>1065.5999999999999</v>
      </c>
      <c r="R365" s="421">
        <f>F365+23</f>
        <v>1058.5999999999999</v>
      </c>
      <c r="S365" s="381">
        <f>+R365*$X$1</f>
        <v>1058.5999999999999</v>
      </c>
      <c r="T365" s="113">
        <f>F365+18</f>
        <v>1053.5999999999999</v>
      </c>
      <c r="U365" s="337">
        <f>+T365*$X$1</f>
        <v>1053.5999999999999</v>
      </c>
      <c r="V365" s="113">
        <f>F365+15</f>
        <v>1050.5999999999999</v>
      </c>
      <c r="W365" s="337">
        <f>+V365*$X$1</f>
        <v>1050.5999999999999</v>
      </c>
      <c r="X365" s="694"/>
      <c r="Y365" s="729"/>
      <c r="Z365" s="729"/>
      <c r="AA365" s="696"/>
      <c r="AB365" s="614">
        <v>2264</v>
      </c>
      <c r="AC365" s="72"/>
    </row>
    <row r="366" spans="1:29" ht="12.6" customHeight="1">
      <c r="A366" s="20"/>
      <c r="B366" s="711" t="s">
        <v>880</v>
      </c>
      <c r="C366" s="765"/>
      <c r="D366" s="765"/>
      <c r="E366" s="765"/>
      <c r="F366" s="537">
        <f>0.908*X2</f>
        <v>783.60400000000004</v>
      </c>
      <c r="G366" s="382">
        <f t="shared" ref="G366" si="891">+F366*$X$1</f>
        <v>783.60400000000004</v>
      </c>
      <c r="H366" s="676"/>
      <c r="I366" s="382"/>
      <c r="J366" s="676"/>
      <c r="K366" s="382"/>
      <c r="L366" s="676">
        <f>F366+60</f>
        <v>843.60400000000004</v>
      </c>
      <c r="M366" s="382">
        <f t="shared" ref="M366" si="892">+L366*$X$1</f>
        <v>843.60400000000004</v>
      </c>
      <c r="N366" s="676">
        <f>F366+34</f>
        <v>817.60400000000004</v>
      </c>
      <c r="O366" s="382">
        <f>+N366*$X$1</f>
        <v>817.60400000000004</v>
      </c>
      <c r="P366" s="676">
        <f>F366+30</f>
        <v>813.60400000000004</v>
      </c>
      <c r="Q366" s="382">
        <f t="shared" ref="Q366" si="893">+P366*$X$1</f>
        <v>813.60400000000004</v>
      </c>
      <c r="R366" s="676">
        <f>F366+23</f>
        <v>806.60400000000004</v>
      </c>
      <c r="S366" s="382">
        <f>+R366*$X$1</f>
        <v>806.60400000000004</v>
      </c>
      <c r="T366" s="112">
        <f>F366+18</f>
        <v>801.60400000000004</v>
      </c>
      <c r="U366" s="409">
        <f>+T366*$X$1</f>
        <v>801.60400000000004</v>
      </c>
      <c r="V366" s="112">
        <f>F366+15</f>
        <v>798.60400000000004</v>
      </c>
      <c r="W366" s="409">
        <f>+V366*$X$1</f>
        <v>798.60400000000004</v>
      </c>
      <c r="X366" s="694"/>
      <c r="Y366" s="729"/>
      <c r="Z366" s="729"/>
      <c r="AA366" s="696"/>
      <c r="AB366" s="614">
        <v>2266</v>
      </c>
      <c r="AC366" s="72"/>
    </row>
    <row r="367" spans="1:29" ht="12.6" customHeight="1">
      <c r="A367" s="20"/>
      <c r="B367" s="928" t="s">
        <v>266</v>
      </c>
      <c r="C367" s="929"/>
      <c r="D367" s="929"/>
      <c r="E367" s="929"/>
      <c r="F367" s="544">
        <f>2.15*X2</f>
        <v>1855.4499999999998</v>
      </c>
      <c r="G367" s="381">
        <f t="shared" ref="G367:G368" si="894">+F367*$X$1</f>
        <v>1855.4499999999998</v>
      </c>
      <c r="H367" s="421">
        <f t="shared" ref="H367" si="895">F367+190</f>
        <v>2045.4499999999998</v>
      </c>
      <c r="I367" s="381">
        <f t="shared" ref="I367" si="896">+H367*$X$1</f>
        <v>2045.4499999999998</v>
      </c>
      <c r="J367" s="421">
        <f>F367+70</f>
        <v>1925.4499999999998</v>
      </c>
      <c r="K367" s="381">
        <f t="shared" si="880"/>
        <v>1925.4499999999998</v>
      </c>
      <c r="L367" s="421">
        <f>F367+54</f>
        <v>1909.4499999999998</v>
      </c>
      <c r="M367" s="381">
        <f t="shared" si="881"/>
        <v>1909.4499999999998</v>
      </c>
      <c r="N367" s="421">
        <f>F367+40</f>
        <v>1895.4499999999998</v>
      </c>
      <c r="O367" s="381">
        <f t="shared" si="882"/>
        <v>1895.4499999999998</v>
      </c>
      <c r="P367" s="421">
        <f>F367+36</f>
        <v>1891.4499999999998</v>
      </c>
      <c r="Q367" s="381">
        <f t="shared" si="845"/>
        <v>1891.4499999999998</v>
      </c>
      <c r="R367" s="421">
        <f>F367+33</f>
        <v>1888.4499999999998</v>
      </c>
      <c r="S367" s="381">
        <f t="shared" si="883"/>
        <v>1888.4499999999998</v>
      </c>
      <c r="T367" s="421">
        <f>F367+28</f>
        <v>1883.4499999999998</v>
      </c>
      <c r="U367" s="381">
        <f t="shared" si="884"/>
        <v>1883.4499999999998</v>
      </c>
      <c r="V367" s="421">
        <f>F367+24</f>
        <v>1879.4499999999998</v>
      </c>
      <c r="W367" s="381">
        <f t="shared" si="885"/>
        <v>1879.4499999999998</v>
      </c>
      <c r="X367" s="695"/>
      <c r="Y367" s="729"/>
      <c r="Z367" s="729"/>
      <c r="AA367" s="696"/>
      <c r="AB367" s="614">
        <v>2268</v>
      </c>
      <c r="AC367" s="72"/>
    </row>
    <row r="368" spans="1:29" ht="12.6" customHeight="1">
      <c r="A368" s="20"/>
      <c r="B368" s="711" t="s">
        <v>267</v>
      </c>
      <c r="C368" s="712"/>
      <c r="D368" s="712"/>
      <c r="E368" s="712"/>
      <c r="F368" s="537">
        <f>0.393*X2</f>
        <v>339.15899999999999</v>
      </c>
      <c r="G368" s="382">
        <f t="shared" si="894"/>
        <v>339.15899999999999</v>
      </c>
      <c r="H368" s="370"/>
      <c r="I368" s="370"/>
      <c r="J368" s="676"/>
      <c r="K368" s="676"/>
      <c r="L368" s="676">
        <f t="shared" ref="L368:L374" si="897">F368+60</f>
        <v>399.15899999999999</v>
      </c>
      <c r="M368" s="382">
        <f t="shared" si="881"/>
        <v>399.15899999999999</v>
      </c>
      <c r="N368" s="676">
        <f t="shared" ref="N368:N375" si="898">F368+34</f>
        <v>373.15899999999999</v>
      </c>
      <c r="O368" s="382">
        <f t="shared" ref="O368:O375" si="899">+N368*$X$1</f>
        <v>373.15899999999999</v>
      </c>
      <c r="P368" s="676">
        <f t="shared" ref="P368:P375" si="900">F368+30</f>
        <v>369.15899999999999</v>
      </c>
      <c r="Q368" s="382">
        <f t="shared" si="845"/>
        <v>369.15899999999999</v>
      </c>
      <c r="R368" s="676">
        <f t="shared" ref="R368:R375" si="901">F368+23</f>
        <v>362.15899999999999</v>
      </c>
      <c r="S368" s="382">
        <f t="shared" ref="S368:S375" si="902">+R368*$X$1</f>
        <v>362.15899999999999</v>
      </c>
      <c r="T368" s="112">
        <f t="shared" ref="T368:T375" si="903">F368+18</f>
        <v>357.15899999999999</v>
      </c>
      <c r="U368" s="409">
        <f t="shared" ref="U368:U375" si="904">+T368*$X$1</f>
        <v>357.15899999999999</v>
      </c>
      <c r="V368" s="112">
        <f>F368+15</f>
        <v>354.15899999999999</v>
      </c>
      <c r="W368" s="409">
        <f>+V368*$X$1</f>
        <v>354.15899999999999</v>
      </c>
      <c r="X368" s="202"/>
      <c r="Y368" s="204"/>
      <c r="Z368" s="204"/>
      <c r="AA368" s="202"/>
      <c r="AB368" s="614">
        <v>2270</v>
      </c>
      <c r="AC368" s="72"/>
    </row>
    <row r="369" spans="1:29" ht="12.6" customHeight="1">
      <c r="A369" s="20"/>
      <c r="B369" s="715" t="s">
        <v>268</v>
      </c>
      <c r="C369" s="728"/>
      <c r="D369" s="728"/>
      <c r="E369" s="728"/>
      <c r="F369" s="536">
        <f>0.48*X2</f>
        <v>414.24</v>
      </c>
      <c r="G369" s="381">
        <f>+F369*$X$1</f>
        <v>414.24</v>
      </c>
      <c r="H369" s="371"/>
      <c r="I369" s="371"/>
      <c r="J369" s="421"/>
      <c r="K369" s="421"/>
      <c r="L369" s="421">
        <f t="shared" si="897"/>
        <v>474.24</v>
      </c>
      <c r="M369" s="381">
        <f t="shared" si="881"/>
        <v>474.24</v>
      </c>
      <c r="N369" s="421">
        <f t="shared" si="898"/>
        <v>448.24</v>
      </c>
      <c r="O369" s="381">
        <f t="shared" si="899"/>
        <v>448.24</v>
      </c>
      <c r="P369" s="421">
        <f t="shared" si="900"/>
        <v>444.24</v>
      </c>
      <c r="Q369" s="381">
        <f t="shared" si="845"/>
        <v>444.24</v>
      </c>
      <c r="R369" s="421">
        <f t="shared" si="901"/>
        <v>437.24</v>
      </c>
      <c r="S369" s="381">
        <f t="shared" si="902"/>
        <v>437.24</v>
      </c>
      <c r="T369" s="113">
        <f t="shared" si="903"/>
        <v>432.24</v>
      </c>
      <c r="U369" s="337">
        <f t="shared" si="904"/>
        <v>432.24</v>
      </c>
      <c r="V369" s="113">
        <f>F369+15</f>
        <v>429.24</v>
      </c>
      <c r="W369" s="337">
        <f>+V369*$X$1</f>
        <v>429.24</v>
      </c>
      <c r="X369" s="202"/>
      <c r="Y369" s="204"/>
      <c r="Z369" s="204"/>
      <c r="AA369" s="202"/>
      <c r="AB369" s="614">
        <v>2271</v>
      </c>
      <c r="AC369" s="72"/>
    </row>
    <row r="370" spans="1:29" ht="12.6" customHeight="1">
      <c r="A370" s="20"/>
      <c r="B370" s="711" t="s">
        <v>269</v>
      </c>
      <c r="C370" s="712"/>
      <c r="D370" s="712"/>
      <c r="E370" s="712"/>
      <c r="F370" s="537">
        <f>0.73*X2</f>
        <v>629.99</v>
      </c>
      <c r="G370" s="382">
        <f t="shared" ref="G370" si="905">+F370*$X$1</f>
        <v>629.99</v>
      </c>
      <c r="H370" s="370"/>
      <c r="I370" s="370"/>
      <c r="J370" s="676"/>
      <c r="K370" s="676"/>
      <c r="L370" s="676">
        <f t="shared" si="897"/>
        <v>689.99</v>
      </c>
      <c r="M370" s="382">
        <f t="shared" ref="M370" si="906">+L370*$X$1</f>
        <v>689.99</v>
      </c>
      <c r="N370" s="676">
        <f t="shared" si="898"/>
        <v>663.99</v>
      </c>
      <c r="O370" s="382">
        <f t="shared" si="899"/>
        <v>663.99</v>
      </c>
      <c r="P370" s="676">
        <f t="shared" si="900"/>
        <v>659.99</v>
      </c>
      <c r="Q370" s="382">
        <f t="shared" ref="Q370" si="907">+P370*$X$1</f>
        <v>659.99</v>
      </c>
      <c r="R370" s="676">
        <f t="shared" si="901"/>
        <v>652.99</v>
      </c>
      <c r="S370" s="382">
        <f t="shared" si="902"/>
        <v>652.99</v>
      </c>
      <c r="T370" s="112">
        <f t="shared" si="903"/>
        <v>647.99</v>
      </c>
      <c r="U370" s="409">
        <f t="shared" si="904"/>
        <v>647.99</v>
      </c>
      <c r="V370" s="112"/>
      <c r="W370" s="409"/>
      <c r="X370" s="202"/>
      <c r="Y370" s="204"/>
      <c r="Z370" s="204"/>
      <c r="AA370" s="202"/>
      <c r="AB370" s="614">
        <v>2272</v>
      </c>
      <c r="AC370" s="72"/>
    </row>
    <row r="371" spans="1:29" ht="12.6" customHeight="1">
      <c r="A371" s="20"/>
      <c r="B371" s="715" t="s">
        <v>270</v>
      </c>
      <c r="C371" s="716"/>
      <c r="D371" s="716"/>
      <c r="E371" s="716"/>
      <c r="F371" s="536">
        <f>0.648*X2</f>
        <v>559.22400000000005</v>
      </c>
      <c r="G371" s="381">
        <f>+F371*$X$1</f>
        <v>559.22400000000005</v>
      </c>
      <c r="H371" s="371"/>
      <c r="I371" s="371"/>
      <c r="J371" s="421"/>
      <c r="K371" s="421"/>
      <c r="L371" s="421">
        <f t="shared" si="897"/>
        <v>619.22400000000005</v>
      </c>
      <c r="M371" s="381">
        <f t="shared" ref="M371:M374" si="908">+L371*$X$1</f>
        <v>619.22400000000005</v>
      </c>
      <c r="N371" s="421">
        <f t="shared" si="898"/>
        <v>593.22400000000005</v>
      </c>
      <c r="O371" s="381">
        <f t="shared" si="899"/>
        <v>593.22400000000005</v>
      </c>
      <c r="P371" s="421">
        <f t="shared" si="900"/>
        <v>589.22400000000005</v>
      </c>
      <c r="Q371" s="381">
        <f t="shared" ref="Q371:Q374" si="909">+P371*$X$1</f>
        <v>589.22400000000005</v>
      </c>
      <c r="R371" s="421">
        <f t="shared" si="901"/>
        <v>582.22400000000005</v>
      </c>
      <c r="S371" s="381">
        <f t="shared" si="902"/>
        <v>582.22400000000005</v>
      </c>
      <c r="T371" s="113">
        <f t="shared" si="903"/>
        <v>577.22400000000005</v>
      </c>
      <c r="U371" s="337">
        <f t="shared" si="904"/>
        <v>577.22400000000005</v>
      </c>
      <c r="V371" s="113">
        <f>F371+15</f>
        <v>574.22400000000005</v>
      </c>
      <c r="W371" s="337">
        <f>+V371*$X$1</f>
        <v>574.22400000000005</v>
      </c>
      <c r="X371" s="202"/>
      <c r="Y371" s="204"/>
      <c r="Z371" s="204"/>
      <c r="AA371" s="202"/>
      <c r="AB371" s="614">
        <v>2275</v>
      </c>
      <c r="AC371" s="72"/>
    </row>
    <row r="372" spans="1:29" ht="12.6" customHeight="1">
      <c r="A372" s="20"/>
      <c r="B372" s="711" t="s">
        <v>606</v>
      </c>
      <c r="C372" s="720"/>
      <c r="D372" s="720"/>
      <c r="E372" s="720"/>
      <c r="F372" s="537"/>
      <c r="G372" s="382"/>
      <c r="H372" s="370"/>
      <c r="I372" s="370"/>
      <c r="J372" s="676"/>
      <c r="K372" s="676"/>
      <c r="L372" s="676"/>
      <c r="M372" s="382"/>
      <c r="N372" s="676"/>
      <c r="O372" s="382"/>
      <c r="P372" s="676"/>
      <c r="Q372" s="382"/>
      <c r="R372" s="676"/>
      <c r="S372" s="382"/>
      <c r="T372" s="112"/>
      <c r="U372" s="409"/>
      <c r="V372" s="112"/>
      <c r="W372" s="409"/>
      <c r="X372" s="202"/>
      <c r="Y372" s="204"/>
      <c r="Z372" s="204"/>
      <c r="AA372" s="202"/>
      <c r="AB372" s="614">
        <v>2278</v>
      </c>
      <c r="AC372" s="72"/>
    </row>
    <row r="373" spans="1:29" ht="12.6" customHeight="1">
      <c r="A373" s="20"/>
      <c r="B373" s="715" t="s">
        <v>797</v>
      </c>
      <c r="C373" s="716"/>
      <c r="D373" s="716"/>
      <c r="E373" s="716"/>
      <c r="F373" s="536">
        <f>0.82*X2</f>
        <v>707.66</v>
      </c>
      <c r="G373" s="381">
        <f t="shared" ref="G373:G374" si="910">+F373*$X$1</f>
        <v>707.66</v>
      </c>
      <c r="H373" s="371"/>
      <c r="I373" s="371"/>
      <c r="J373" s="421"/>
      <c r="K373" s="421"/>
      <c r="L373" s="421">
        <f t="shared" si="897"/>
        <v>767.66</v>
      </c>
      <c r="M373" s="381">
        <f t="shared" si="908"/>
        <v>767.66</v>
      </c>
      <c r="N373" s="421">
        <f t="shared" si="898"/>
        <v>741.66</v>
      </c>
      <c r="O373" s="381">
        <f t="shared" si="899"/>
        <v>741.66</v>
      </c>
      <c r="P373" s="421">
        <f t="shared" si="900"/>
        <v>737.66</v>
      </c>
      <c r="Q373" s="381">
        <f t="shared" si="909"/>
        <v>737.66</v>
      </c>
      <c r="R373" s="421">
        <f t="shared" si="901"/>
        <v>730.66</v>
      </c>
      <c r="S373" s="381">
        <f t="shared" si="902"/>
        <v>730.66</v>
      </c>
      <c r="T373" s="113">
        <f t="shared" si="903"/>
        <v>725.66</v>
      </c>
      <c r="U373" s="337">
        <f t="shared" si="904"/>
        <v>725.66</v>
      </c>
      <c r="V373" s="113">
        <f>F373+15</f>
        <v>722.66</v>
      </c>
      <c r="W373" s="337">
        <f>+V373*$X$1</f>
        <v>722.66</v>
      </c>
      <c r="X373" s="263"/>
      <c r="Y373" s="264"/>
      <c r="Z373" s="264"/>
      <c r="AA373" s="263"/>
      <c r="AB373" s="614">
        <v>2279</v>
      </c>
      <c r="AC373" s="72"/>
    </row>
    <row r="374" spans="1:29" ht="12.6" customHeight="1">
      <c r="A374" s="20"/>
      <c r="B374" s="711" t="s">
        <v>271</v>
      </c>
      <c r="C374" s="720"/>
      <c r="D374" s="720"/>
      <c r="E374" s="720"/>
      <c r="F374" s="537">
        <f>0.54*X2</f>
        <v>466.02000000000004</v>
      </c>
      <c r="G374" s="382">
        <f t="shared" si="910"/>
        <v>466.02000000000004</v>
      </c>
      <c r="H374" s="370"/>
      <c r="I374" s="370"/>
      <c r="J374" s="676"/>
      <c r="K374" s="676"/>
      <c r="L374" s="676">
        <f t="shared" si="897"/>
        <v>526.02</v>
      </c>
      <c r="M374" s="382">
        <f t="shared" si="908"/>
        <v>526.02</v>
      </c>
      <c r="N374" s="676">
        <f t="shared" si="898"/>
        <v>500.02000000000004</v>
      </c>
      <c r="O374" s="382">
        <f t="shared" si="899"/>
        <v>500.02000000000004</v>
      </c>
      <c r="P374" s="676">
        <f t="shared" si="900"/>
        <v>496.02000000000004</v>
      </c>
      <c r="Q374" s="382">
        <f t="shared" si="909"/>
        <v>496.02000000000004</v>
      </c>
      <c r="R374" s="676">
        <f t="shared" si="901"/>
        <v>489.02000000000004</v>
      </c>
      <c r="S374" s="382">
        <f t="shared" si="902"/>
        <v>489.02000000000004</v>
      </c>
      <c r="T374" s="112">
        <f t="shared" si="903"/>
        <v>484.02000000000004</v>
      </c>
      <c r="U374" s="409">
        <f t="shared" si="904"/>
        <v>484.02000000000004</v>
      </c>
      <c r="V374" s="112">
        <f>F374+15</f>
        <v>481.02000000000004</v>
      </c>
      <c r="W374" s="409">
        <f>+V374*$X$1</f>
        <v>481.02000000000004</v>
      </c>
      <c r="X374" s="202"/>
      <c r="Y374" s="204"/>
      <c r="Z374" s="204"/>
      <c r="AA374" s="202"/>
      <c r="AB374" s="614">
        <v>2280</v>
      </c>
      <c r="AC374" s="72"/>
    </row>
    <row r="375" spans="1:29" ht="12.6" customHeight="1">
      <c r="A375" s="20"/>
      <c r="B375" s="715" t="s">
        <v>599</v>
      </c>
      <c r="C375" s="716"/>
      <c r="D375" s="716"/>
      <c r="E375" s="716"/>
      <c r="F375" s="536">
        <f>0.55*X2</f>
        <v>474.65000000000003</v>
      </c>
      <c r="G375" s="381">
        <f t="shared" ref="G375:G378" si="911">+F375*$X$1</f>
        <v>474.65000000000003</v>
      </c>
      <c r="H375" s="371"/>
      <c r="I375" s="371"/>
      <c r="J375" s="421"/>
      <c r="K375" s="421"/>
      <c r="L375" s="421"/>
      <c r="M375" s="381"/>
      <c r="N375" s="421">
        <f t="shared" si="898"/>
        <v>508.65000000000003</v>
      </c>
      <c r="O375" s="381">
        <f t="shared" si="899"/>
        <v>508.65000000000003</v>
      </c>
      <c r="P375" s="421">
        <f t="shared" si="900"/>
        <v>504.65000000000003</v>
      </c>
      <c r="Q375" s="381">
        <f t="shared" ref="Q375" si="912">+P375*$X$1</f>
        <v>504.65000000000003</v>
      </c>
      <c r="R375" s="421">
        <f t="shared" si="901"/>
        <v>497.65000000000003</v>
      </c>
      <c r="S375" s="381">
        <f t="shared" si="902"/>
        <v>497.65000000000003</v>
      </c>
      <c r="T375" s="113">
        <f t="shared" si="903"/>
        <v>492.65000000000003</v>
      </c>
      <c r="U375" s="337">
        <f t="shared" si="904"/>
        <v>492.65000000000003</v>
      </c>
      <c r="V375" s="113">
        <f>F375+15</f>
        <v>489.65000000000003</v>
      </c>
      <c r="W375" s="337">
        <f>+V375*$X$1</f>
        <v>489.65000000000003</v>
      </c>
      <c r="X375" s="202"/>
      <c r="Y375" s="204"/>
      <c r="Z375" s="204"/>
      <c r="AA375" s="202"/>
      <c r="AB375" s="614">
        <v>2281</v>
      </c>
      <c r="AC375" s="72"/>
    </row>
    <row r="376" spans="1:29" ht="12.6" customHeight="1">
      <c r="A376" s="20"/>
      <c r="B376" s="711" t="s">
        <v>272</v>
      </c>
      <c r="C376" s="720"/>
      <c r="D376" s="720"/>
      <c r="E376" s="720"/>
      <c r="F376" s="537"/>
      <c r="G376" s="382"/>
      <c r="H376" s="370"/>
      <c r="I376" s="370"/>
      <c r="J376" s="693"/>
      <c r="K376" s="693"/>
      <c r="L376" s="693"/>
      <c r="M376" s="382"/>
      <c r="N376" s="693"/>
      <c r="O376" s="382"/>
      <c r="P376" s="693"/>
      <c r="Q376" s="382"/>
      <c r="R376" s="693"/>
      <c r="S376" s="382"/>
      <c r="T376" s="112"/>
      <c r="U376" s="409"/>
      <c r="V376" s="112"/>
      <c r="W376" s="409"/>
      <c r="X376" s="202"/>
      <c r="Y376" s="204"/>
      <c r="Z376" s="204"/>
      <c r="AA376" s="202"/>
      <c r="AB376" s="614">
        <v>2284</v>
      </c>
      <c r="AC376" s="72"/>
    </row>
    <row r="377" spans="1:29" ht="12.6" customHeight="1">
      <c r="A377" s="20"/>
      <c r="B377" s="715" t="s">
        <v>400</v>
      </c>
      <c r="C377" s="716"/>
      <c r="D377" s="716"/>
      <c r="E377" s="716"/>
      <c r="F377" s="536">
        <f>0.745*X2</f>
        <v>642.93499999999995</v>
      </c>
      <c r="G377" s="381">
        <f t="shared" si="911"/>
        <v>642.93499999999995</v>
      </c>
      <c r="H377" s="371"/>
      <c r="I377" s="371"/>
      <c r="J377" s="421"/>
      <c r="K377" s="421"/>
      <c r="L377" s="421">
        <f t="shared" ref="L377:L382" si="913">F377+60</f>
        <v>702.93499999999995</v>
      </c>
      <c r="M377" s="381">
        <f t="shared" ref="M377:M379" si="914">+L377*$X$1</f>
        <v>702.93499999999995</v>
      </c>
      <c r="N377" s="421">
        <f t="shared" ref="N377:N382" si="915">F377+34</f>
        <v>676.93499999999995</v>
      </c>
      <c r="O377" s="381">
        <f t="shared" ref="O377:O382" si="916">+N377*$X$1</f>
        <v>676.93499999999995</v>
      </c>
      <c r="P377" s="421">
        <f t="shared" ref="P377:P382" si="917">F377+30</f>
        <v>672.93499999999995</v>
      </c>
      <c r="Q377" s="381">
        <f t="shared" ref="Q377:Q379" si="918">+P377*$X$1</f>
        <v>672.93499999999995</v>
      </c>
      <c r="R377" s="421">
        <f t="shared" ref="R377:R382" si="919">F377+23</f>
        <v>665.93499999999995</v>
      </c>
      <c r="S377" s="381">
        <f t="shared" ref="S377:S382" si="920">+R377*$X$1</f>
        <v>665.93499999999995</v>
      </c>
      <c r="T377" s="113">
        <f t="shared" ref="T377:T382" si="921">F377+18</f>
        <v>660.93499999999995</v>
      </c>
      <c r="U377" s="337">
        <f t="shared" ref="U377:U382" si="922">+T377*$X$1</f>
        <v>660.93499999999995</v>
      </c>
      <c r="V377" s="113">
        <f t="shared" ref="V377:V382" si="923">F377+15</f>
        <v>657.93499999999995</v>
      </c>
      <c r="W377" s="337">
        <f t="shared" ref="W377:W382" si="924">+V377*$X$1</f>
        <v>657.93499999999995</v>
      </c>
      <c r="X377" s="216"/>
      <c r="Y377" s="215"/>
      <c r="Z377" s="215"/>
      <c r="AA377" s="216"/>
      <c r="AB377" s="614">
        <v>2285</v>
      </c>
      <c r="AC377" s="72"/>
    </row>
    <row r="378" spans="1:29" ht="12.6" customHeight="1">
      <c r="A378" s="20"/>
      <c r="B378" s="711" t="s">
        <v>401</v>
      </c>
      <c r="C378" s="720"/>
      <c r="D378" s="720"/>
      <c r="E378" s="720"/>
      <c r="F378" s="537">
        <f>0.41*X2</f>
        <v>353.83</v>
      </c>
      <c r="G378" s="382">
        <f t="shared" si="911"/>
        <v>353.83</v>
      </c>
      <c r="H378" s="370"/>
      <c r="I378" s="370"/>
      <c r="J378" s="528"/>
      <c r="K378" s="576"/>
      <c r="L378" s="576">
        <f t="shared" si="913"/>
        <v>413.83</v>
      </c>
      <c r="M378" s="382">
        <f t="shared" si="914"/>
        <v>413.83</v>
      </c>
      <c r="N378" s="576">
        <f t="shared" si="915"/>
        <v>387.83</v>
      </c>
      <c r="O378" s="382">
        <f t="shared" si="916"/>
        <v>387.83</v>
      </c>
      <c r="P378" s="576">
        <f t="shared" si="917"/>
        <v>383.83</v>
      </c>
      <c r="Q378" s="382">
        <f t="shared" si="918"/>
        <v>383.83</v>
      </c>
      <c r="R378" s="576">
        <f t="shared" si="919"/>
        <v>376.83</v>
      </c>
      <c r="S378" s="382">
        <f t="shared" si="920"/>
        <v>376.83</v>
      </c>
      <c r="T378" s="112">
        <f t="shared" si="921"/>
        <v>371.83</v>
      </c>
      <c r="U378" s="409">
        <f t="shared" si="922"/>
        <v>371.83</v>
      </c>
      <c r="V378" s="112">
        <f t="shared" si="923"/>
        <v>368.83</v>
      </c>
      <c r="W378" s="409">
        <f t="shared" si="924"/>
        <v>368.83</v>
      </c>
      <c r="X378" s="217"/>
      <c r="Y378" s="218"/>
      <c r="Z378" s="218"/>
      <c r="AA378" s="217"/>
      <c r="AB378" s="614">
        <v>2286</v>
      </c>
      <c r="AC378" s="72"/>
    </row>
    <row r="379" spans="1:29" ht="12.6" customHeight="1">
      <c r="A379" s="20"/>
      <c r="B379" s="926" t="s">
        <v>452</v>
      </c>
      <c r="C379" s="927"/>
      <c r="D379" s="927"/>
      <c r="E379" s="927"/>
      <c r="F379" s="542">
        <f>0.577*X2</f>
        <v>497.95099999999996</v>
      </c>
      <c r="G379" s="410">
        <f t="shared" ref="G379:G380" si="925">+F379*$X$1</f>
        <v>497.95099999999996</v>
      </c>
      <c r="H379" s="408"/>
      <c r="I379" s="408"/>
      <c r="J379" s="113"/>
      <c r="K379" s="113"/>
      <c r="L379" s="421">
        <f t="shared" si="913"/>
        <v>557.95100000000002</v>
      </c>
      <c r="M379" s="381">
        <f t="shared" si="914"/>
        <v>557.95100000000002</v>
      </c>
      <c r="N379" s="421">
        <f t="shared" si="915"/>
        <v>531.95100000000002</v>
      </c>
      <c r="O379" s="381">
        <f t="shared" si="916"/>
        <v>531.95100000000002</v>
      </c>
      <c r="P379" s="421">
        <f t="shared" si="917"/>
        <v>527.95100000000002</v>
      </c>
      <c r="Q379" s="381">
        <f t="shared" si="918"/>
        <v>527.95100000000002</v>
      </c>
      <c r="R379" s="421">
        <f t="shared" si="919"/>
        <v>520.95100000000002</v>
      </c>
      <c r="S379" s="381">
        <f t="shared" si="920"/>
        <v>520.95100000000002</v>
      </c>
      <c r="T379" s="113">
        <f t="shared" si="921"/>
        <v>515.95100000000002</v>
      </c>
      <c r="U379" s="337">
        <f t="shared" si="922"/>
        <v>515.95100000000002</v>
      </c>
      <c r="V379" s="113">
        <f t="shared" si="923"/>
        <v>512.95100000000002</v>
      </c>
      <c r="W379" s="337">
        <f t="shared" si="924"/>
        <v>512.95100000000002</v>
      </c>
      <c r="X379" s="256"/>
      <c r="Y379" s="255"/>
      <c r="Z379" s="255"/>
      <c r="AA379" s="256"/>
      <c r="AB379" s="614">
        <v>2287</v>
      </c>
      <c r="AC379" s="72"/>
    </row>
    <row r="380" spans="1:29" ht="12.6" customHeight="1">
      <c r="A380" s="20"/>
      <c r="B380" s="932" t="s">
        <v>464</v>
      </c>
      <c r="C380" s="933"/>
      <c r="D380" s="933"/>
      <c r="E380" s="934"/>
      <c r="F380" s="537">
        <f>1.19*X2</f>
        <v>1026.97</v>
      </c>
      <c r="G380" s="382">
        <f t="shared" si="925"/>
        <v>1026.97</v>
      </c>
      <c r="H380" s="370"/>
      <c r="I380" s="370"/>
      <c r="J380" s="600"/>
      <c r="K380" s="600"/>
      <c r="L380" s="600">
        <f t="shared" si="913"/>
        <v>1086.97</v>
      </c>
      <c r="M380" s="382">
        <f t="shared" ref="M380" si="926">+L380*$X$1</f>
        <v>1086.97</v>
      </c>
      <c r="N380" s="600">
        <f t="shared" si="915"/>
        <v>1060.97</v>
      </c>
      <c r="O380" s="382">
        <f t="shared" si="916"/>
        <v>1060.97</v>
      </c>
      <c r="P380" s="600">
        <f t="shared" si="917"/>
        <v>1056.97</v>
      </c>
      <c r="Q380" s="382">
        <f t="shared" ref="Q380" si="927">+P380*$X$1</f>
        <v>1056.97</v>
      </c>
      <c r="R380" s="600">
        <f t="shared" si="919"/>
        <v>1049.97</v>
      </c>
      <c r="S380" s="382">
        <f t="shared" si="920"/>
        <v>1049.97</v>
      </c>
      <c r="T380" s="112">
        <f t="shared" si="921"/>
        <v>1044.97</v>
      </c>
      <c r="U380" s="409">
        <f t="shared" si="922"/>
        <v>1044.97</v>
      </c>
      <c r="V380" s="112">
        <f t="shared" si="923"/>
        <v>1041.97</v>
      </c>
      <c r="W380" s="409">
        <f t="shared" si="924"/>
        <v>1041.97</v>
      </c>
      <c r="X380" s="259"/>
      <c r="Y380" s="260"/>
      <c r="Z380" s="260"/>
      <c r="AA380" s="259"/>
      <c r="AB380" s="614">
        <v>2289</v>
      </c>
      <c r="AC380" s="72"/>
    </row>
    <row r="381" spans="1:29" ht="12.6" customHeight="1">
      <c r="A381" s="20"/>
      <c r="B381" s="783" t="s">
        <v>597</v>
      </c>
      <c r="C381" s="784"/>
      <c r="D381" s="784"/>
      <c r="E381" s="785"/>
      <c r="F381" s="542">
        <f>0.546*X2</f>
        <v>471.19800000000004</v>
      </c>
      <c r="G381" s="381">
        <f t="shared" ref="G381" si="928">+F381*$X$1</f>
        <v>471.19800000000004</v>
      </c>
      <c r="H381" s="371"/>
      <c r="I381" s="371"/>
      <c r="J381" s="421"/>
      <c r="K381" s="421"/>
      <c r="L381" s="421">
        <f t="shared" si="913"/>
        <v>531.19800000000009</v>
      </c>
      <c r="M381" s="381">
        <f t="shared" ref="M381:M382" si="929">+L381*$X$1</f>
        <v>531.19800000000009</v>
      </c>
      <c r="N381" s="421">
        <f t="shared" si="915"/>
        <v>505.19800000000004</v>
      </c>
      <c r="O381" s="381">
        <f t="shared" si="916"/>
        <v>505.19800000000004</v>
      </c>
      <c r="P381" s="421">
        <f t="shared" si="917"/>
        <v>501.19800000000004</v>
      </c>
      <c r="Q381" s="381">
        <f t="shared" ref="Q381:Q382" si="930">+P381*$X$1</f>
        <v>501.19800000000004</v>
      </c>
      <c r="R381" s="421">
        <f t="shared" si="919"/>
        <v>494.19800000000004</v>
      </c>
      <c r="S381" s="381">
        <f t="shared" si="920"/>
        <v>494.19800000000004</v>
      </c>
      <c r="T381" s="113">
        <f t="shared" si="921"/>
        <v>489.19800000000004</v>
      </c>
      <c r="U381" s="337">
        <f t="shared" si="922"/>
        <v>489.19800000000004</v>
      </c>
      <c r="V381" s="113">
        <f t="shared" si="923"/>
        <v>486.19800000000004</v>
      </c>
      <c r="W381" s="337">
        <f t="shared" si="924"/>
        <v>486.19800000000004</v>
      </c>
      <c r="X381" s="320"/>
      <c r="Y381" s="324"/>
      <c r="Z381" s="324"/>
      <c r="AA381" s="320"/>
      <c r="AB381" s="614">
        <v>2291</v>
      </c>
      <c r="AC381" s="72"/>
    </row>
    <row r="382" spans="1:29" ht="12.6" customHeight="1">
      <c r="A382" s="20"/>
      <c r="B382" s="721" t="s">
        <v>798</v>
      </c>
      <c r="C382" s="722"/>
      <c r="D382" s="722"/>
      <c r="E382" s="723"/>
      <c r="F382" s="541">
        <f>0.55*X2</f>
        <v>474.65000000000003</v>
      </c>
      <c r="G382" s="382">
        <f t="shared" ref="G382" si="931">+F382*$X$1</f>
        <v>474.65000000000003</v>
      </c>
      <c r="H382" s="370"/>
      <c r="I382" s="370"/>
      <c r="J382" s="528"/>
      <c r="K382" s="576"/>
      <c r="L382" s="576">
        <f t="shared" si="913"/>
        <v>534.65000000000009</v>
      </c>
      <c r="M382" s="382">
        <f t="shared" si="929"/>
        <v>534.65000000000009</v>
      </c>
      <c r="N382" s="576">
        <f t="shared" si="915"/>
        <v>508.65000000000003</v>
      </c>
      <c r="O382" s="382">
        <f t="shared" si="916"/>
        <v>508.65000000000003</v>
      </c>
      <c r="P382" s="576">
        <f t="shared" si="917"/>
        <v>504.65000000000003</v>
      </c>
      <c r="Q382" s="382">
        <f t="shared" si="930"/>
        <v>504.65000000000003</v>
      </c>
      <c r="R382" s="576">
        <f t="shared" si="919"/>
        <v>497.65000000000003</v>
      </c>
      <c r="S382" s="382">
        <f t="shared" si="920"/>
        <v>497.65000000000003</v>
      </c>
      <c r="T382" s="112">
        <f t="shared" si="921"/>
        <v>492.65000000000003</v>
      </c>
      <c r="U382" s="409">
        <f t="shared" si="922"/>
        <v>492.65000000000003</v>
      </c>
      <c r="V382" s="112">
        <f t="shared" si="923"/>
        <v>489.65000000000003</v>
      </c>
      <c r="W382" s="409">
        <f t="shared" si="924"/>
        <v>489.65000000000003</v>
      </c>
      <c r="X382" s="335"/>
      <c r="Y382" s="336"/>
      <c r="Z382" s="336"/>
      <c r="AA382" s="335"/>
      <c r="AB382" s="614">
        <v>2292</v>
      </c>
      <c r="AC382" s="72"/>
    </row>
    <row r="383" spans="1:29" ht="12.6" customHeight="1">
      <c r="A383" s="20"/>
      <c r="B383" s="783" t="s">
        <v>625</v>
      </c>
      <c r="C383" s="784"/>
      <c r="D383" s="784"/>
      <c r="E383" s="785"/>
      <c r="F383" s="542"/>
      <c r="G383" s="381"/>
      <c r="H383" s="371"/>
      <c r="I383" s="371"/>
      <c r="J383" s="421"/>
      <c r="K383" s="421"/>
      <c r="L383" s="421"/>
      <c r="M383" s="381"/>
      <c r="N383" s="421"/>
      <c r="O383" s="381"/>
      <c r="P383" s="421"/>
      <c r="Q383" s="381"/>
      <c r="R383" s="421"/>
      <c r="S383" s="381"/>
      <c r="T383" s="421"/>
      <c r="U383" s="381"/>
      <c r="V383" s="421"/>
      <c r="W383" s="381"/>
      <c r="X383" s="339"/>
      <c r="Y383" s="340"/>
      <c r="Z383" s="340"/>
      <c r="AA383" s="339"/>
      <c r="AB383" s="614">
        <v>2293</v>
      </c>
      <c r="AC383" s="72"/>
    </row>
    <row r="384" spans="1:29" ht="12.6" customHeight="1">
      <c r="A384" s="20"/>
      <c r="B384" s="721" t="s">
        <v>701</v>
      </c>
      <c r="C384" s="722"/>
      <c r="D384" s="722"/>
      <c r="E384" s="723"/>
      <c r="F384" s="577">
        <v>440</v>
      </c>
      <c r="G384" s="382">
        <f t="shared" ref="G384" si="932">+F384*$X$1</f>
        <v>440</v>
      </c>
      <c r="H384" s="370"/>
      <c r="I384" s="370"/>
      <c r="J384" s="528"/>
      <c r="K384" s="576"/>
      <c r="L384" s="576">
        <f>F384+60</f>
        <v>500</v>
      </c>
      <c r="M384" s="382">
        <f t="shared" ref="M384:M386" si="933">+L384*$X$1</f>
        <v>500</v>
      </c>
      <c r="N384" s="576">
        <f>F384+34</f>
        <v>474</v>
      </c>
      <c r="O384" s="382">
        <f>+N384*$X$1</f>
        <v>474</v>
      </c>
      <c r="P384" s="576">
        <f>F384+30</f>
        <v>470</v>
      </c>
      <c r="Q384" s="382">
        <f t="shared" ref="Q384:Q386" si="934">+P384*$X$1</f>
        <v>470</v>
      </c>
      <c r="R384" s="576">
        <f>F384+23</f>
        <v>463</v>
      </c>
      <c r="S384" s="382">
        <f>+R384*$X$1</f>
        <v>463</v>
      </c>
      <c r="T384" s="112">
        <f>F384+18</f>
        <v>458</v>
      </c>
      <c r="U384" s="409">
        <f>+T384*$X$1</f>
        <v>458</v>
      </c>
      <c r="V384" s="112">
        <f>F384+15</f>
        <v>455</v>
      </c>
      <c r="W384" s="409">
        <f>+V384*$X$1</f>
        <v>455</v>
      </c>
      <c r="X384" s="436"/>
      <c r="Y384" s="437"/>
      <c r="Z384" s="437"/>
      <c r="AA384" s="436"/>
      <c r="AB384" s="614">
        <v>2294</v>
      </c>
      <c r="AC384" s="72"/>
    </row>
    <row r="385" spans="1:34" ht="12.6" customHeight="1">
      <c r="A385" s="20"/>
      <c r="B385" s="783" t="s">
        <v>548</v>
      </c>
      <c r="C385" s="784"/>
      <c r="D385" s="784"/>
      <c r="E385" s="785"/>
      <c r="F385" s="542">
        <f>0.857*X2</f>
        <v>739.59100000000001</v>
      </c>
      <c r="G385" s="381">
        <f t="shared" ref="G385" si="935">+F385*$X$1</f>
        <v>739.59100000000001</v>
      </c>
      <c r="H385" s="371"/>
      <c r="I385" s="371"/>
      <c r="J385" s="421"/>
      <c r="K385" s="421"/>
      <c r="L385" s="421">
        <f>F385+60</f>
        <v>799.59100000000001</v>
      </c>
      <c r="M385" s="381">
        <f t="shared" si="933"/>
        <v>799.59100000000001</v>
      </c>
      <c r="N385" s="421">
        <f>F385+34</f>
        <v>773.59100000000001</v>
      </c>
      <c r="O385" s="381">
        <f>+N385*$X$1</f>
        <v>773.59100000000001</v>
      </c>
      <c r="P385" s="421">
        <f>F385+30</f>
        <v>769.59100000000001</v>
      </c>
      <c r="Q385" s="381">
        <f t="shared" si="934"/>
        <v>769.59100000000001</v>
      </c>
      <c r="R385" s="421">
        <f>F385+23</f>
        <v>762.59100000000001</v>
      </c>
      <c r="S385" s="381">
        <f>+R385*$X$1</f>
        <v>762.59100000000001</v>
      </c>
      <c r="T385" s="113">
        <f>F385+18</f>
        <v>757.59100000000001</v>
      </c>
      <c r="U385" s="337">
        <f>+T385*$X$1</f>
        <v>757.59100000000001</v>
      </c>
      <c r="V385" s="113">
        <f>F385+15</f>
        <v>754.59100000000001</v>
      </c>
      <c r="W385" s="337">
        <f>+V385*$X$1</f>
        <v>754.59100000000001</v>
      </c>
      <c r="X385" s="261"/>
      <c r="Y385" s="262"/>
      <c r="Z385" s="262"/>
      <c r="AA385" s="261"/>
      <c r="AB385" s="614">
        <v>2295</v>
      </c>
      <c r="AC385" s="72"/>
    </row>
    <row r="386" spans="1:34" ht="12.6" customHeight="1">
      <c r="A386" s="20"/>
      <c r="B386" s="721" t="s">
        <v>467</v>
      </c>
      <c r="C386" s="722"/>
      <c r="D386" s="722"/>
      <c r="E386" s="723"/>
      <c r="F386" s="541">
        <f>0.931*X2</f>
        <v>803.45300000000009</v>
      </c>
      <c r="G386" s="382">
        <f t="shared" ref="G386" si="936">+F386*$X$1</f>
        <v>803.45300000000009</v>
      </c>
      <c r="H386" s="370"/>
      <c r="I386" s="370"/>
      <c r="J386" s="528"/>
      <c r="K386" s="576"/>
      <c r="L386" s="576">
        <f>F386+60</f>
        <v>863.45300000000009</v>
      </c>
      <c r="M386" s="382">
        <f t="shared" si="933"/>
        <v>863.45300000000009</v>
      </c>
      <c r="N386" s="576">
        <f>F386+34</f>
        <v>837.45300000000009</v>
      </c>
      <c r="O386" s="382">
        <f>+N386*$X$1</f>
        <v>837.45300000000009</v>
      </c>
      <c r="P386" s="576">
        <f>F386+30</f>
        <v>833.45300000000009</v>
      </c>
      <c r="Q386" s="382">
        <f t="shared" si="934"/>
        <v>833.45300000000009</v>
      </c>
      <c r="R386" s="576">
        <f>F386+23</f>
        <v>826.45300000000009</v>
      </c>
      <c r="S386" s="382">
        <f>+R386*$X$1</f>
        <v>826.45300000000009</v>
      </c>
      <c r="T386" s="112">
        <f>F386+18</f>
        <v>821.45300000000009</v>
      </c>
      <c r="U386" s="409">
        <f>+T386*$X$1</f>
        <v>821.45300000000009</v>
      </c>
      <c r="V386" s="112">
        <f>F386+15</f>
        <v>818.45300000000009</v>
      </c>
      <c r="W386" s="409">
        <f>+V386*$X$1</f>
        <v>818.45300000000009</v>
      </c>
      <c r="X386" s="261"/>
      <c r="Y386" s="262"/>
      <c r="Z386" s="262"/>
      <c r="AA386" s="261"/>
      <c r="AB386" s="614">
        <v>2296</v>
      </c>
      <c r="AC386" s="72"/>
    </row>
    <row r="387" spans="1:34" ht="12.6" customHeight="1">
      <c r="A387" s="20"/>
      <c r="B387" s="783" t="s">
        <v>512</v>
      </c>
      <c r="C387" s="784"/>
      <c r="D387" s="784"/>
      <c r="E387" s="785"/>
      <c r="F387" s="542">
        <f>0.706*X2</f>
        <v>609.27800000000002</v>
      </c>
      <c r="G387" s="381">
        <f t="shared" ref="G387" si="937">+F387*$X$1</f>
        <v>609.27800000000002</v>
      </c>
      <c r="H387" s="371"/>
      <c r="I387" s="371"/>
      <c r="J387" s="421"/>
      <c r="K387" s="421"/>
      <c r="L387" s="421">
        <f>F387+60</f>
        <v>669.27800000000002</v>
      </c>
      <c r="M387" s="381">
        <f t="shared" ref="M387:M388" si="938">+L387*$X$1</f>
        <v>669.27800000000002</v>
      </c>
      <c r="N387" s="421">
        <f>F387+34</f>
        <v>643.27800000000002</v>
      </c>
      <c r="O387" s="381">
        <f t="shared" ref="O387" si="939">+N387*$X$1</f>
        <v>643.27800000000002</v>
      </c>
      <c r="P387" s="421"/>
      <c r="Q387" s="381"/>
      <c r="R387" s="421"/>
      <c r="S387" s="381"/>
      <c r="T387" s="421"/>
      <c r="U387" s="381"/>
      <c r="V387" s="421"/>
      <c r="W387" s="381"/>
      <c r="X387" s="282"/>
      <c r="Y387" s="281"/>
      <c r="Z387" s="281"/>
      <c r="AA387" s="282"/>
      <c r="AB387" s="614">
        <v>2298</v>
      </c>
      <c r="AC387" s="72"/>
    </row>
    <row r="388" spans="1:34" ht="12.6" customHeight="1">
      <c r="A388" s="20"/>
      <c r="B388" s="721" t="s">
        <v>676</v>
      </c>
      <c r="C388" s="722"/>
      <c r="D388" s="722"/>
      <c r="E388" s="723"/>
      <c r="F388" s="541">
        <f>0.741*X2</f>
        <v>639.48299999999995</v>
      </c>
      <c r="G388" s="382">
        <f t="shared" ref="G388" si="940">+F388*$X$1</f>
        <v>639.48299999999995</v>
      </c>
      <c r="H388" s="370"/>
      <c r="I388" s="370"/>
      <c r="J388" s="682"/>
      <c r="K388" s="382"/>
      <c r="L388" s="682">
        <f>F388+60</f>
        <v>699.48299999999995</v>
      </c>
      <c r="M388" s="382">
        <f t="shared" si="938"/>
        <v>699.48299999999995</v>
      </c>
      <c r="N388" s="682">
        <f>F388+34</f>
        <v>673.48299999999995</v>
      </c>
      <c r="O388" s="382">
        <f>+N388*$X$1</f>
        <v>673.48299999999995</v>
      </c>
      <c r="P388" s="682">
        <f>F388+30</f>
        <v>669.48299999999995</v>
      </c>
      <c r="Q388" s="382">
        <f t="shared" ref="Q388" si="941">+P388*$X$1</f>
        <v>669.48299999999995</v>
      </c>
      <c r="R388" s="682">
        <f>F388+23</f>
        <v>662.48299999999995</v>
      </c>
      <c r="S388" s="382">
        <f>+R388*$X$1</f>
        <v>662.48299999999995</v>
      </c>
      <c r="T388" s="112">
        <f>F388+18</f>
        <v>657.48299999999995</v>
      </c>
      <c r="U388" s="409">
        <f>+T388*$X$1</f>
        <v>657.48299999999995</v>
      </c>
      <c r="V388" s="112">
        <f>F388+15</f>
        <v>654.48299999999995</v>
      </c>
      <c r="W388" s="409">
        <f>+V388*$X$1</f>
        <v>654.48299999999995</v>
      </c>
      <c r="X388" s="418"/>
      <c r="Y388" s="419"/>
      <c r="Z388" s="419"/>
      <c r="AA388" s="418"/>
      <c r="AB388" s="614">
        <v>2299</v>
      </c>
      <c r="AC388" s="72"/>
    </row>
    <row r="389" spans="1:34" ht="12.6" customHeight="1">
      <c r="A389" s="20"/>
      <c r="B389" s="702" t="s">
        <v>273</v>
      </c>
      <c r="C389" s="920"/>
      <c r="D389" s="920"/>
      <c r="E389" s="921"/>
      <c r="F389" s="542"/>
      <c r="G389" s="381"/>
      <c r="H389" s="421"/>
      <c r="I389" s="381"/>
      <c r="J389" s="421"/>
      <c r="K389" s="381"/>
      <c r="L389" s="421"/>
      <c r="M389" s="381"/>
      <c r="N389" s="421"/>
      <c r="O389" s="381"/>
      <c r="P389" s="421"/>
      <c r="Q389" s="381"/>
      <c r="R389" s="421"/>
      <c r="S389" s="381"/>
      <c r="T389" s="421"/>
      <c r="U389" s="381"/>
      <c r="V389" s="421"/>
      <c r="W389" s="381"/>
      <c r="X389" s="694"/>
      <c r="Y389" s="729"/>
      <c r="Z389" s="729"/>
      <c r="AA389" s="696"/>
      <c r="AB389" s="614">
        <v>2310</v>
      </c>
      <c r="AC389" s="72"/>
    </row>
    <row r="390" spans="1:34" ht="12.6" customHeight="1">
      <c r="A390" s="20"/>
      <c r="B390" s="711" t="s">
        <v>274</v>
      </c>
      <c r="C390" s="765"/>
      <c r="D390" s="765"/>
      <c r="E390" s="765"/>
      <c r="F390" s="537">
        <f>2.998*X2</f>
        <v>2587.2740000000003</v>
      </c>
      <c r="G390" s="382">
        <f t="shared" ref="G390:G391" si="942">+F390*$X$1</f>
        <v>2587.2740000000003</v>
      </c>
      <c r="H390" s="682">
        <f>F390+170</f>
        <v>2757.2740000000003</v>
      </c>
      <c r="I390" s="382">
        <f>+H390*$X$1</f>
        <v>2757.2740000000003</v>
      </c>
      <c r="J390" s="682">
        <f>F390+65</f>
        <v>2652.2740000000003</v>
      </c>
      <c r="K390" s="382">
        <f t="shared" ref="K390:K391" si="943">+J390*$X$1</f>
        <v>2652.2740000000003</v>
      </c>
      <c r="L390" s="682">
        <f>F390+50</f>
        <v>2637.2740000000003</v>
      </c>
      <c r="M390" s="382">
        <f t="shared" ref="M390:M391" si="944">+L390*$X$1</f>
        <v>2637.2740000000003</v>
      </c>
      <c r="N390" s="682">
        <f>F390+36</f>
        <v>2623.2740000000003</v>
      </c>
      <c r="O390" s="382">
        <f t="shared" ref="O390:O391" si="945">+N390*$X$1</f>
        <v>2623.2740000000003</v>
      </c>
      <c r="P390" s="682">
        <f>F390+33</f>
        <v>2620.2740000000003</v>
      </c>
      <c r="Q390" s="382">
        <f t="shared" ref="Q390:Q391" si="946">+P390*$X$1</f>
        <v>2620.2740000000003</v>
      </c>
      <c r="R390" s="682"/>
      <c r="S390" s="382"/>
      <c r="T390" s="682"/>
      <c r="U390" s="382"/>
      <c r="V390" s="682"/>
      <c r="W390" s="382"/>
      <c r="X390" s="694"/>
      <c r="Y390" s="729"/>
      <c r="Z390" s="729"/>
      <c r="AA390" s="696"/>
      <c r="AB390" s="614">
        <v>2321</v>
      </c>
      <c r="AC390" s="72"/>
    </row>
    <row r="391" spans="1:34" ht="12.6" customHeight="1">
      <c r="A391" s="20"/>
      <c r="B391" s="715" t="s">
        <v>532</v>
      </c>
      <c r="C391" s="786"/>
      <c r="D391" s="786"/>
      <c r="E391" s="786"/>
      <c r="F391" s="536">
        <f>1.57*X2</f>
        <v>1354.91</v>
      </c>
      <c r="G391" s="381">
        <f t="shared" si="942"/>
        <v>1354.91</v>
      </c>
      <c r="H391" s="421"/>
      <c r="I391" s="381"/>
      <c r="J391" s="421">
        <f>F391+65</f>
        <v>1419.91</v>
      </c>
      <c r="K391" s="381">
        <f t="shared" si="943"/>
        <v>1419.91</v>
      </c>
      <c r="L391" s="421">
        <f>F391+50</f>
        <v>1404.91</v>
      </c>
      <c r="M391" s="381">
        <f t="shared" si="944"/>
        <v>1404.91</v>
      </c>
      <c r="N391" s="421">
        <f>F391+36</f>
        <v>1390.91</v>
      </c>
      <c r="O391" s="381">
        <f t="shared" si="945"/>
        <v>1390.91</v>
      </c>
      <c r="P391" s="421">
        <f>F391+33</f>
        <v>1387.91</v>
      </c>
      <c r="Q391" s="381">
        <f t="shared" si="946"/>
        <v>1387.91</v>
      </c>
      <c r="R391" s="421">
        <f>F391+30</f>
        <v>1384.91</v>
      </c>
      <c r="S391" s="381">
        <f t="shared" ref="S391" si="947">+R391*$X$1</f>
        <v>1384.91</v>
      </c>
      <c r="T391" s="421">
        <f>F391+26</f>
        <v>1380.91</v>
      </c>
      <c r="U391" s="381">
        <f t="shared" ref="U391" si="948">+T391*$X$1</f>
        <v>1380.91</v>
      </c>
      <c r="V391" s="421">
        <f>F391+22</f>
        <v>1376.91</v>
      </c>
      <c r="W391" s="381">
        <f t="shared" ref="W391" si="949">+V391*$X$1</f>
        <v>1376.91</v>
      </c>
      <c r="X391" s="694"/>
      <c r="Y391" s="729"/>
      <c r="Z391" s="729"/>
      <c r="AA391" s="696"/>
      <c r="AB391" s="614">
        <v>2322</v>
      </c>
      <c r="AC391" s="72"/>
    </row>
    <row r="392" spans="1:34" ht="12.6" customHeight="1">
      <c r="A392" s="20"/>
      <c r="B392" s="699" t="s">
        <v>659</v>
      </c>
      <c r="C392" s="922"/>
      <c r="D392" s="922"/>
      <c r="E392" s="923"/>
      <c r="F392" s="537"/>
      <c r="G392" s="382"/>
      <c r="H392" s="370"/>
      <c r="I392" s="465"/>
      <c r="J392" s="682"/>
      <c r="K392" s="382"/>
      <c r="L392" s="682"/>
      <c r="M392" s="382"/>
      <c r="N392" s="682"/>
      <c r="O392" s="382"/>
      <c r="P392" s="682"/>
      <c r="Q392" s="382"/>
      <c r="R392" s="682"/>
      <c r="S392" s="382"/>
      <c r="T392" s="682"/>
      <c r="U392" s="382"/>
      <c r="V392" s="682"/>
      <c r="W392" s="382"/>
      <c r="X392" s="694"/>
      <c r="Y392" s="729"/>
      <c r="Z392" s="729"/>
      <c r="AA392" s="696"/>
      <c r="AB392" s="35"/>
      <c r="AC392" s="72"/>
    </row>
    <row r="393" spans="1:34" ht="12.6" customHeight="1">
      <c r="A393" s="20"/>
      <c r="B393" s="702" t="s">
        <v>275</v>
      </c>
      <c r="C393" s="741"/>
      <c r="D393" s="741"/>
      <c r="E393" s="742"/>
      <c r="F393" s="536">
        <f>3.75*X2</f>
        <v>3236.25</v>
      </c>
      <c r="G393" s="381">
        <f>+F393*$X$1</f>
        <v>3236.25</v>
      </c>
      <c r="H393" s="421">
        <f t="shared" ref="H393" si="950">F393+190</f>
        <v>3426.25</v>
      </c>
      <c r="I393" s="381">
        <f t="shared" ref="I393" si="951">+H393*$X$1</f>
        <v>3426.25</v>
      </c>
      <c r="J393" s="421">
        <f>F393+70</f>
        <v>3306.25</v>
      </c>
      <c r="K393" s="381">
        <f t="shared" ref="K393" si="952">+J393*$X$1</f>
        <v>3306.25</v>
      </c>
      <c r="L393" s="421">
        <f>F393+54</f>
        <v>3290.25</v>
      </c>
      <c r="M393" s="381">
        <f t="shared" ref="M393" si="953">+L393*$X$1</f>
        <v>3290.25</v>
      </c>
      <c r="N393" s="421">
        <f>F393+40</f>
        <v>3276.25</v>
      </c>
      <c r="O393" s="381">
        <f t="shared" ref="O393" si="954">+N393*$X$1</f>
        <v>3276.25</v>
      </c>
      <c r="P393" s="421">
        <f>F393+36</f>
        <v>3272.25</v>
      </c>
      <c r="Q393" s="381">
        <f t="shared" ref="Q393" si="955">+P393*$X$1</f>
        <v>3272.25</v>
      </c>
      <c r="R393" s="421">
        <f>F393+33</f>
        <v>3269.25</v>
      </c>
      <c r="S393" s="381">
        <f t="shared" ref="S393" si="956">+R393*$X$1</f>
        <v>3269.25</v>
      </c>
      <c r="T393" s="421">
        <f>F393+28</f>
        <v>3264.25</v>
      </c>
      <c r="U393" s="381">
        <f t="shared" ref="U393" si="957">+T393*$X$1</f>
        <v>3264.25</v>
      </c>
      <c r="V393" s="421">
        <f>F393+24</f>
        <v>3260.25</v>
      </c>
      <c r="W393" s="381">
        <f t="shared" ref="W393" si="958">+V393*$X$1</f>
        <v>3260.25</v>
      </c>
      <c r="X393" s="694"/>
      <c r="Y393" s="729"/>
      <c r="Z393" s="729"/>
      <c r="AA393" s="696"/>
      <c r="AB393" s="614">
        <v>2330</v>
      </c>
      <c r="AC393" s="72"/>
    </row>
    <row r="394" spans="1:34" ht="12.6" customHeight="1">
      <c r="A394" s="116"/>
      <c r="B394" s="699" t="s">
        <v>468</v>
      </c>
      <c r="C394" s="724"/>
      <c r="D394" s="724"/>
      <c r="E394" s="725"/>
      <c r="F394" s="537">
        <f>1.38*X2</f>
        <v>1190.9399999999998</v>
      </c>
      <c r="G394" s="382">
        <f t="shared" ref="G394" si="959">+F394*$X$1</f>
        <v>1190.9399999999998</v>
      </c>
      <c r="H394" s="689">
        <f>F394+200</f>
        <v>1390.9399999999998</v>
      </c>
      <c r="I394" s="382">
        <f>+H394*$X$1</f>
        <v>1390.9399999999998</v>
      </c>
      <c r="J394" s="689">
        <f>F394+70</f>
        <v>1260.9399999999998</v>
      </c>
      <c r="K394" s="382">
        <f t="shared" ref="K394" si="960">+J394*$X$1</f>
        <v>1260.9399999999998</v>
      </c>
      <c r="L394" s="689">
        <f>F394+54</f>
        <v>1244.9399999999998</v>
      </c>
      <c r="M394" s="382">
        <f t="shared" ref="M394" si="961">+L394*$X$1</f>
        <v>1244.9399999999998</v>
      </c>
      <c r="N394" s="689">
        <f>F394+40</f>
        <v>1230.9399999999998</v>
      </c>
      <c r="O394" s="382">
        <f t="shared" ref="O394" si="962">+N394*$X$1</f>
        <v>1230.9399999999998</v>
      </c>
      <c r="P394" s="689">
        <f>F394+36</f>
        <v>1226.9399999999998</v>
      </c>
      <c r="Q394" s="382">
        <f t="shared" ref="Q394" si="963">+P394*$X$1</f>
        <v>1226.9399999999998</v>
      </c>
      <c r="R394" s="689">
        <f>F394+33</f>
        <v>1223.9399999999998</v>
      </c>
      <c r="S394" s="382">
        <f t="shared" ref="S394" si="964">+R394*$X$1</f>
        <v>1223.9399999999998</v>
      </c>
      <c r="T394" s="689">
        <f>F394+28</f>
        <v>1218.9399999999998</v>
      </c>
      <c r="U394" s="382">
        <f t="shared" ref="U394" si="965">+T394*$X$1</f>
        <v>1218.9399999999998</v>
      </c>
      <c r="V394" s="689">
        <f>F394+24</f>
        <v>1214.9399999999998</v>
      </c>
      <c r="W394" s="382">
        <f t="shared" ref="W394" si="966">+V394*$X$1</f>
        <v>1214.9399999999998</v>
      </c>
      <c r="X394" s="694"/>
      <c r="Y394" s="729"/>
      <c r="Z394" s="729"/>
      <c r="AA394" s="696"/>
      <c r="AB394" s="614">
        <v>2334</v>
      </c>
      <c r="AC394" s="72"/>
    </row>
    <row r="395" spans="1:34" s="4" customFormat="1" ht="12.6" customHeight="1">
      <c r="A395" s="21"/>
      <c r="B395" s="18"/>
      <c r="C395" s="14"/>
      <c r="D395" s="14"/>
      <c r="E395" s="14"/>
      <c r="F395" s="65"/>
      <c r="G395" s="1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34" s="4" customFormat="1" ht="12.6" customHeight="1">
      <c r="A396" s="21"/>
      <c r="B396" s="18"/>
      <c r="C396" s="14"/>
      <c r="D396" s="14"/>
      <c r="E396" s="14"/>
      <c r="F396" s="6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thickBot="1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ht="15.75" customHeight="1">
      <c r="A398" s="20"/>
      <c r="B398" s="739" t="s">
        <v>11</v>
      </c>
      <c r="C398" s="965" t="s">
        <v>12</v>
      </c>
      <c r="D398" s="966"/>
      <c r="E398" s="966"/>
      <c r="F398" s="787" t="s">
        <v>13</v>
      </c>
      <c r="G398" s="787" t="s">
        <v>13</v>
      </c>
      <c r="H398" s="1019" t="s">
        <v>14</v>
      </c>
      <c r="I398" s="1019"/>
      <c r="J398" s="1020"/>
      <c r="K398" s="1020"/>
      <c r="L398" s="1020"/>
      <c r="M398" s="1020"/>
      <c r="N398" s="1020"/>
      <c r="O398" s="1020"/>
      <c r="P398" s="1020"/>
      <c r="Q398" s="1020"/>
      <c r="R398" s="1020"/>
      <c r="S398" s="1020"/>
      <c r="T398" s="1020"/>
      <c r="U398" s="1020"/>
      <c r="V398" s="1020"/>
      <c r="W398" s="1021"/>
      <c r="X398" s="777" t="s">
        <v>15</v>
      </c>
      <c r="Y398" s="778"/>
      <c r="Z398" s="778"/>
      <c r="AA398" s="778"/>
      <c r="AB398" s="831" t="s">
        <v>16</v>
      </c>
      <c r="AE398" s="71"/>
      <c r="AF398" s="815" t="s">
        <v>3</v>
      </c>
      <c r="AG398" s="816"/>
      <c r="AH398" s="816"/>
    </row>
    <row r="399" spans="1:34" ht="12" customHeight="1" thickBot="1">
      <c r="A399" s="20"/>
      <c r="B399" s="740"/>
      <c r="C399" s="967"/>
      <c r="D399" s="967"/>
      <c r="E399" s="967"/>
      <c r="F399" s="788"/>
      <c r="G399" s="788"/>
      <c r="H399" s="329"/>
      <c r="I399" s="326" t="s">
        <v>318</v>
      </c>
      <c r="J399" s="330"/>
      <c r="K399" s="326" t="s">
        <v>18</v>
      </c>
      <c r="L399" s="331"/>
      <c r="M399" s="331" t="s">
        <v>19</v>
      </c>
      <c r="N399" s="331"/>
      <c r="O399" s="326" t="s">
        <v>20</v>
      </c>
      <c r="P399" s="331"/>
      <c r="Q399" s="331" t="s">
        <v>320</v>
      </c>
      <c r="R399" s="331"/>
      <c r="S399" s="331" t="s">
        <v>21</v>
      </c>
      <c r="T399" s="331"/>
      <c r="U399" s="331" t="s">
        <v>22</v>
      </c>
      <c r="V399" s="331"/>
      <c r="W399" s="333" t="s">
        <v>23</v>
      </c>
      <c r="X399" s="779"/>
      <c r="Y399" s="780"/>
      <c r="Z399" s="780"/>
      <c r="AA399" s="780"/>
      <c r="AB399" s="832"/>
    </row>
    <row r="400" spans="1:34" ht="12.6" customHeight="1">
      <c r="A400" s="116"/>
      <c r="B400" s="702" t="s">
        <v>276</v>
      </c>
      <c r="C400" s="703"/>
      <c r="D400" s="703"/>
      <c r="E400" s="704"/>
      <c r="F400" s="536">
        <f>1.5*X2</f>
        <v>1294.5</v>
      </c>
      <c r="G400" s="381">
        <f t="shared" ref="G400" si="967">+F400*$X$1</f>
        <v>1294.5</v>
      </c>
      <c r="H400" s="421">
        <f>F400+210</f>
        <v>1504.5</v>
      </c>
      <c r="I400" s="381">
        <f t="shared" ref="I400" si="968">+H400*$X$1</f>
        <v>1504.5</v>
      </c>
      <c r="J400" s="421">
        <f>F400+70</f>
        <v>1364.5</v>
      </c>
      <c r="K400" s="381">
        <f t="shared" ref="K400" si="969">+J400*$X$1</f>
        <v>1364.5</v>
      </c>
      <c r="L400" s="421">
        <f>F400+54</f>
        <v>1348.5</v>
      </c>
      <c r="M400" s="381">
        <f t="shared" ref="M400" si="970">+L400*$X$1</f>
        <v>1348.5</v>
      </c>
      <c r="N400" s="421">
        <f>F400+40</f>
        <v>1334.5</v>
      </c>
      <c r="O400" s="381">
        <f t="shared" ref="O400" si="971">+N400*$X$1</f>
        <v>1334.5</v>
      </c>
      <c r="P400" s="421">
        <f>F400+36</f>
        <v>1330.5</v>
      </c>
      <c r="Q400" s="381">
        <f t="shared" ref="Q400" si="972">+P400*$X$1</f>
        <v>1330.5</v>
      </c>
      <c r="R400" s="421">
        <f>F400+33</f>
        <v>1327.5</v>
      </c>
      <c r="S400" s="381">
        <f t="shared" ref="S400" si="973">+R400*$X$1</f>
        <v>1327.5</v>
      </c>
      <c r="T400" s="421">
        <f>F400+28</f>
        <v>1322.5</v>
      </c>
      <c r="U400" s="381">
        <f t="shared" ref="U400" si="974">+T400*$X$1</f>
        <v>1322.5</v>
      </c>
      <c r="V400" s="421">
        <f>F400+24</f>
        <v>1318.5</v>
      </c>
      <c r="W400" s="381">
        <f t="shared" ref="W400" si="975">+V400*$X$1</f>
        <v>1318.5</v>
      </c>
      <c r="X400" s="694"/>
      <c r="Y400" s="729"/>
      <c r="Z400" s="729"/>
      <c r="AA400" s="696"/>
      <c r="AB400" s="614">
        <v>2336</v>
      </c>
      <c r="AC400" s="72"/>
    </row>
    <row r="401" spans="1:35" ht="12.6" customHeight="1">
      <c r="A401" s="20"/>
      <c r="B401" s="699" t="s">
        <v>277</v>
      </c>
      <c r="C401" s="724"/>
      <c r="D401" s="724"/>
      <c r="E401" s="725"/>
      <c r="F401" s="537">
        <f>1.49*X2</f>
        <v>1285.8699999999999</v>
      </c>
      <c r="G401" s="382">
        <f t="shared" ref="G401:G404" si="976">+F401*$X$1</f>
        <v>1285.8699999999999</v>
      </c>
      <c r="H401" s="692">
        <f>F401+210</f>
        <v>1495.87</v>
      </c>
      <c r="I401" s="382">
        <f t="shared" ref="I401" si="977">+H401*$X$1</f>
        <v>1495.87</v>
      </c>
      <c r="J401" s="692">
        <f>F401+70</f>
        <v>1355.87</v>
      </c>
      <c r="K401" s="382">
        <f t="shared" ref="K401" si="978">+J401*$X$1</f>
        <v>1355.87</v>
      </c>
      <c r="L401" s="692">
        <f>F401+54</f>
        <v>1339.87</v>
      </c>
      <c r="M401" s="382">
        <f t="shared" ref="M401" si="979">+L401*$X$1</f>
        <v>1339.87</v>
      </c>
      <c r="N401" s="692">
        <f>F401+40</f>
        <v>1325.87</v>
      </c>
      <c r="O401" s="382">
        <f t="shared" ref="O401" si="980">+N401*$X$1</f>
        <v>1325.87</v>
      </c>
      <c r="P401" s="692">
        <f>F401+36</f>
        <v>1321.87</v>
      </c>
      <c r="Q401" s="382">
        <f t="shared" ref="Q401:Q402" si="981">+P401*$X$1</f>
        <v>1321.87</v>
      </c>
      <c r="R401" s="692">
        <f>F401+33</f>
        <v>1318.87</v>
      </c>
      <c r="S401" s="382">
        <f t="shared" ref="S401" si="982">+R401*$X$1</f>
        <v>1318.87</v>
      </c>
      <c r="T401" s="692">
        <f>F401+28</f>
        <v>1313.87</v>
      </c>
      <c r="U401" s="382">
        <f t="shared" ref="U401:U402" si="983">+T401*$X$1</f>
        <v>1313.87</v>
      </c>
      <c r="V401" s="692">
        <f>F401+24</f>
        <v>1309.8699999999999</v>
      </c>
      <c r="W401" s="382">
        <f t="shared" ref="W401:W402" si="984">+V401*$X$1</f>
        <v>1309.8699999999999</v>
      </c>
      <c r="X401" s="694"/>
      <c r="Y401" s="729"/>
      <c r="Z401" s="729"/>
      <c r="AA401" s="696"/>
      <c r="AB401" s="614">
        <v>2337</v>
      </c>
      <c r="AC401" s="72"/>
    </row>
    <row r="402" spans="1:35" ht="12.6" customHeight="1">
      <c r="A402" s="20"/>
      <c r="B402" s="702" t="s">
        <v>278</v>
      </c>
      <c r="C402" s="703"/>
      <c r="D402" s="703"/>
      <c r="E402" s="704"/>
      <c r="F402" s="536">
        <f>2.02*X2</f>
        <v>1743.26</v>
      </c>
      <c r="G402" s="381">
        <f t="shared" ref="G402" si="985">+F402*$X$1</f>
        <v>1743.26</v>
      </c>
      <c r="H402" s="421">
        <f>F402+210</f>
        <v>1953.26</v>
      </c>
      <c r="I402" s="381">
        <f t="shared" ref="I402" si="986">+H402*$X$1</f>
        <v>1953.26</v>
      </c>
      <c r="J402" s="421">
        <f>F402+65</f>
        <v>1808.26</v>
      </c>
      <c r="K402" s="381">
        <f t="shared" ref="K402" si="987">+J402*$X$1</f>
        <v>1808.26</v>
      </c>
      <c r="L402" s="421">
        <f>F402+50</f>
        <v>1793.26</v>
      </c>
      <c r="M402" s="381">
        <f t="shared" ref="M402" si="988">+L402*$X$1</f>
        <v>1793.26</v>
      </c>
      <c r="N402" s="421">
        <f>F402+54</f>
        <v>1797.26</v>
      </c>
      <c r="O402" s="381">
        <f>+N402*$X$1</f>
        <v>1797.26</v>
      </c>
      <c r="P402" s="421">
        <f>F402+51</f>
        <v>1794.26</v>
      </c>
      <c r="Q402" s="381">
        <f t="shared" si="981"/>
        <v>1794.26</v>
      </c>
      <c r="R402" s="421">
        <f>F402+45</f>
        <v>1788.26</v>
      </c>
      <c r="S402" s="381">
        <f>+R402*$X$1</f>
        <v>1788.26</v>
      </c>
      <c r="T402" s="421">
        <f>F402+37</f>
        <v>1780.26</v>
      </c>
      <c r="U402" s="381">
        <f t="shared" si="983"/>
        <v>1780.26</v>
      </c>
      <c r="V402" s="421">
        <f>F402+32</f>
        <v>1775.26</v>
      </c>
      <c r="W402" s="337">
        <f t="shared" si="984"/>
        <v>1775.26</v>
      </c>
      <c r="X402" s="694"/>
      <c r="Y402" s="729"/>
      <c r="Z402" s="729"/>
      <c r="AA402" s="696"/>
      <c r="AB402" s="614">
        <v>2338</v>
      </c>
      <c r="AC402" s="72"/>
    </row>
    <row r="403" spans="1:35" ht="12.6" customHeight="1">
      <c r="A403" s="20"/>
      <c r="B403" s="699" t="s">
        <v>385</v>
      </c>
      <c r="C403" s="724"/>
      <c r="D403" s="724"/>
      <c r="E403" s="725"/>
      <c r="F403" s="543">
        <f>1.607*X2</f>
        <v>1386.8409999999999</v>
      </c>
      <c r="G403" s="382">
        <f t="shared" si="976"/>
        <v>1386.8409999999999</v>
      </c>
      <c r="H403" s="692">
        <f>F403+210</f>
        <v>1596.8409999999999</v>
      </c>
      <c r="I403" s="382">
        <f t="shared" ref="I403" si="989">+H403*$X$1</f>
        <v>1596.8409999999999</v>
      </c>
      <c r="J403" s="692">
        <f>F403+65</f>
        <v>1451.8409999999999</v>
      </c>
      <c r="K403" s="382">
        <f t="shared" ref="K403" si="990">+J403*$X$1</f>
        <v>1451.8409999999999</v>
      </c>
      <c r="L403" s="692">
        <f>F403+50</f>
        <v>1436.8409999999999</v>
      </c>
      <c r="M403" s="382">
        <f t="shared" ref="M403" si="991">+L403*$X$1</f>
        <v>1436.8409999999999</v>
      </c>
      <c r="N403" s="692">
        <f>F403+36</f>
        <v>1422.8409999999999</v>
      </c>
      <c r="O403" s="382">
        <f t="shared" ref="O403" si="992">+N403*$X$1</f>
        <v>1422.8409999999999</v>
      </c>
      <c r="P403" s="692">
        <f>F403+33</f>
        <v>1419.8409999999999</v>
      </c>
      <c r="Q403" s="382">
        <f t="shared" ref="Q403" si="993">+P403*$X$1</f>
        <v>1419.8409999999999</v>
      </c>
      <c r="R403" s="692">
        <f>F403+30</f>
        <v>1416.8409999999999</v>
      </c>
      <c r="S403" s="382">
        <f t="shared" ref="S403" si="994">+R403*$X$1</f>
        <v>1416.8409999999999</v>
      </c>
      <c r="T403" s="692">
        <f>F403+26</f>
        <v>1412.8409999999999</v>
      </c>
      <c r="U403" s="382">
        <f t="shared" ref="U403" si="995">+T403*$X$1</f>
        <v>1412.8409999999999</v>
      </c>
      <c r="V403" s="692">
        <f>F403+22</f>
        <v>1408.8409999999999</v>
      </c>
      <c r="W403" s="382">
        <f t="shared" ref="W403" si="996">+V403*$X$1</f>
        <v>1408.8409999999999</v>
      </c>
      <c r="X403" s="201"/>
      <c r="Y403" s="204"/>
      <c r="Z403" s="204"/>
      <c r="AA403" s="203"/>
      <c r="AB403" s="614">
        <v>2340</v>
      </c>
      <c r="AC403" s="72"/>
    </row>
    <row r="404" spans="1:35" ht="12.6" customHeight="1">
      <c r="A404" s="20"/>
      <c r="B404" s="702" t="s">
        <v>384</v>
      </c>
      <c r="C404" s="703"/>
      <c r="D404" s="703"/>
      <c r="E404" s="704"/>
      <c r="F404" s="536">
        <f>6.96*X2</f>
        <v>6006.48</v>
      </c>
      <c r="G404" s="381">
        <f t="shared" si="976"/>
        <v>6006.48</v>
      </c>
      <c r="H404" s="421">
        <f>F404+270</f>
        <v>6276.48</v>
      </c>
      <c r="I404" s="381">
        <f t="shared" ref="I404" si="997">+H404*$X$1</f>
        <v>6276.48</v>
      </c>
      <c r="J404" s="421">
        <f>F404+90</f>
        <v>6096.48</v>
      </c>
      <c r="K404" s="381">
        <f t="shared" ref="K404" si="998">+J404*$X$1</f>
        <v>6096.48</v>
      </c>
      <c r="L404" s="421">
        <f>F404+72</f>
        <v>6078.48</v>
      </c>
      <c r="M404" s="381">
        <f t="shared" ref="M404" si="999">+L404*$X$1</f>
        <v>6078.48</v>
      </c>
      <c r="N404" s="421">
        <f>F404+54</f>
        <v>6060.48</v>
      </c>
      <c r="O404" s="381">
        <f>+N404*$X$1</f>
        <v>6060.48</v>
      </c>
      <c r="P404" s="421">
        <f>F404+51</f>
        <v>6057.48</v>
      </c>
      <c r="Q404" s="381">
        <f t="shared" ref="Q404" si="1000">+P404*$X$1</f>
        <v>6057.48</v>
      </c>
      <c r="R404" s="421">
        <f>F404+45</f>
        <v>6051.48</v>
      </c>
      <c r="S404" s="381">
        <f>+R404*$X$1</f>
        <v>6051.48</v>
      </c>
      <c r="T404" s="421">
        <f>F404+37</f>
        <v>6043.48</v>
      </c>
      <c r="U404" s="381">
        <f t="shared" ref="U404" si="1001">+T404*$X$1</f>
        <v>6043.48</v>
      </c>
      <c r="V404" s="421">
        <f>F404+32</f>
        <v>6038.48</v>
      </c>
      <c r="W404" s="337">
        <f t="shared" ref="W404" si="1002">+V404*$X$1</f>
        <v>6038.48</v>
      </c>
      <c r="X404" s="201"/>
      <c r="Y404" s="204"/>
      <c r="Z404" s="204"/>
      <c r="AA404" s="203"/>
      <c r="AB404" s="614">
        <v>2341</v>
      </c>
      <c r="AC404" s="72"/>
    </row>
    <row r="405" spans="1:35" ht="12.6" customHeight="1">
      <c r="A405" s="20"/>
      <c r="B405" s="699" t="s">
        <v>602</v>
      </c>
      <c r="C405" s="724"/>
      <c r="D405" s="724"/>
      <c r="E405" s="725"/>
      <c r="F405" s="537"/>
      <c r="G405" s="382"/>
      <c r="H405" s="692"/>
      <c r="I405" s="382"/>
      <c r="J405" s="692"/>
      <c r="K405" s="382"/>
      <c r="L405" s="692"/>
      <c r="M405" s="382"/>
      <c r="N405" s="692"/>
      <c r="O405" s="382"/>
      <c r="P405" s="692"/>
      <c r="Q405" s="382"/>
      <c r="R405" s="692"/>
      <c r="S405" s="382"/>
      <c r="T405" s="692"/>
      <c r="U405" s="382"/>
      <c r="V405" s="692"/>
      <c r="W405" s="382"/>
      <c r="X405" s="288"/>
      <c r="Y405" s="286"/>
      <c r="Z405" s="286"/>
      <c r="AA405" s="287"/>
      <c r="AB405" s="614" t="s">
        <v>541</v>
      </c>
      <c r="AC405" s="72"/>
    </row>
    <row r="406" spans="1:35" ht="12.6" customHeight="1">
      <c r="A406" s="20"/>
      <c r="B406" s="702" t="s">
        <v>549</v>
      </c>
      <c r="C406" s="703"/>
      <c r="D406" s="703"/>
      <c r="E406" s="704"/>
      <c r="F406" s="439"/>
      <c r="G406" s="381"/>
      <c r="H406" s="421"/>
      <c r="I406" s="439"/>
      <c r="J406" s="572"/>
      <c r="K406" s="439"/>
      <c r="L406" s="572"/>
      <c r="M406" s="439"/>
      <c r="N406" s="572"/>
      <c r="O406" s="439"/>
      <c r="P406" s="572"/>
      <c r="Q406" s="439"/>
      <c r="R406" s="572"/>
      <c r="S406" s="439"/>
      <c r="T406" s="572"/>
      <c r="U406" s="439"/>
      <c r="V406" s="572"/>
      <c r="W406" s="439"/>
      <c r="X406" s="304"/>
      <c r="Y406" s="302"/>
      <c r="Z406" s="302"/>
      <c r="AA406" s="303"/>
      <c r="AB406" s="614">
        <v>2346</v>
      </c>
      <c r="AC406" s="72"/>
    </row>
    <row r="407" spans="1:35" ht="12.6" customHeight="1">
      <c r="A407" s="20"/>
      <c r="B407" s="699" t="s">
        <v>765</v>
      </c>
      <c r="C407" s="724"/>
      <c r="D407" s="724"/>
      <c r="E407" s="725"/>
      <c r="F407" s="537">
        <f>2.985*X2</f>
        <v>2576.0549999999998</v>
      </c>
      <c r="G407" s="382">
        <f t="shared" ref="G407" si="1003">+F407*$X$1</f>
        <v>2576.0549999999998</v>
      </c>
      <c r="H407" s="692">
        <f>F407+210</f>
        <v>2786.0549999999998</v>
      </c>
      <c r="I407" s="382">
        <f t="shared" ref="I407" si="1004">+H407*$X$1</f>
        <v>2786.0549999999998</v>
      </c>
      <c r="J407" s="692">
        <f>F407+65</f>
        <v>2641.0549999999998</v>
      </c>
      <c r="K407" s="382">
        <f t="shared" ref="K407" si="1005">+J407*$X$1</f>
        <v>2641.0549999999998</v>
      </c>
      <c r="L407" s="692">
        <f>F407+50</f>
        <v>2626.0549999999998</v>
      </c>
      <c r="M407" s="382">
        <f t="shared" ref="M407" si="1006">+L407*$X$1</f>
        <v>2626.0549999999998</v>
      </c>
      <c r="N407" s="692">
        <f>F407+36</f>
        <v>2612.0549999999998</v>
      </c>
      <c r="O407" s="382">
        <f t="shared" ref="O407" si="1007">+N407*$X$1</f>
        <v>2612.0549999999998</v>
      </c>
      <c r="P407" s="692">
        <f>F407+33</f>
        <v>2609.0549999999998</v>
      </c>
      <c r="Q407" s="382">
        <f t="shared" ref="Q407" si="1008">+P407*$X$1</f>
        <v>2609.0549999999998</v>
      </c>
      <c r="R407" s="692">
        <f>F407+30</f>
        <v>2606.0549999999998</v>
      </c>
      <c r="S407" s="382">
        <f t="shared" ref="S407" si="1009">+R407*$X$1</f>
        <v>2606.0549999999998</v>
      </c>
      <c r="T407" s="692">
        <f>F407+26</f>
        <v>2602.0549999999998</v>
      </c>
      <c r="U407" s="382">
        <f t="shared" ref="U407" si="1010">+T407*$X$1</f>
        <v>2602.0549999999998</v>
      </c>
      <c r="V407" s="692">
        <f>F407+22</f>
        <v>2598.0549999999998</v>
      </c>
      <c r="W407" s="382">
        <f t="shared" ref="W407" si="1011">+V407*$X$1</f>
        <v>2598.0549999999998</v>
      </c>
      <c r="X407" s="518"/>
      <c r="Y407" s="519"/>
      <c r="Z407" s="519"/>
      <c r="AA407" s="520"/>
      <c r="AB407" s="614">
        <v>2350</v>
      </c>
      <c r="AC407" s="72"/>
    </row>
    <row r="408" spans="1:35" ht="12.6" customHeight="1">
      <c r="A408" s="20"/>
      <c r="B408" s="702" t="s">
        <v>576</v>
      </c>
      <c r="C408" s="703"/>
      <c r="D408" s="703"/>
      <c r="E408" s="704"/>
      <c r="F408" s="536"/>
      <c r="G408" s="381"/>
      <c r="H408" s="421"/>
      <c r="I408" s="439"/>
      <c r="J408" s="78"/>
      <c r="K408" s="381"/>
      <c r="L408" s="421"/>
      <c r="M408" s="381"/>
      <c r="N408" s="421"/>
      <c r="O408" s="381"/>
      <c r="P408" s="421"/>
      <c r="Q408" s="381"/>
      <c r="R408" s="421"/>
      <c r="S408" s="381"/>
      <c r="T408" s="421"/>
      <c r="U408" s="381"/>
      <c r="V408" s="421"/>
      <c r="W408" s="381"/>
      <c r="X408" s="694"/>
      <c r="Y408" s="695"/>
      <c r="Z408" s="695"/>
      <c r="AA408" s="696"/>
      <c r="AB408" s="614">
        <v>2500</v>
      </c>
    </row>
    <row r="409" spans="1:35" ht="12.6" customHeight="1">
      <c r="A409" s="20"/>
      <c r="B409" s="766" t="s">
        <v>786</v>
      </c>
      <c r="C409" s="767"/>
      <c r="D409" s="767"/>
      <c r="E409" s="768"/>
      <c r="F409" s="537">
        <f>0.85*X2</f>
        <v>733.55</v>
      </c>
      <c r="G409" s="382">
        <f t="shared" ref="G409" si="1012">+F409*$X$1</f>
        <v>733.55</v>
      </c>
      <c r="H409" s="692"/>
      <c r="I409" s="382"/>
      <c r="J409" s="98">
        <f>F409+75</f>
        <v>808.55</v>
      </c>
      <c r="K409" s="382">
        <f t="shared" ref="K409" si="1013">+J409*$X$1</f>
        <v>808.55</v>
      </c>
      <c r="L409" s="692">
        <f>F409+55</f>
        <v>788.55</v>
      </c>
      <c r="M409" s="382">
        <f t="shared" ref="M409" si="1014">+L409*$X$1</f>
        <v>788.55</v>
      </c>
      <c r="N409" s="692">
        <f>F409+36</f>
        <v>769.55</v>
      </c>
      <c r="O409" s="382">
        <f t="shared" ref="O409" si="1015">+N409*$X$1</f>
        <v>769.55</v>
      </c>
      <c r="P409" s="692">
        <f>F409+32</f>
        <v>765.55</v>
      </c>
      <c r="Q409" s="382">
        <f t="shared" ref="Q409" si="1016">+P409*$X$1</f>
        <v>765.55</v>
      </c>
      <c r="R409" s="692">
        <f>F409+24</f>
        <v>757.55</v>
      </c>
      <c r="S409" s="382">
        <f t="shared" ref="S409" si="1017">+R409*$X$1</f>
        <v>757.55</v>
      </c>
      <c r="T409" s="692">
        <f>F409+21</f>
        <v>754.55</v>
      </c>
      <c r="U409" s="382">
        <f t="shared" ref="U409" si="1018">+T409*$X$1</f>
        <v>754.55</v>
      </c>
      <c r="V409" s="692">
        <f>F409+18</f>
        <v>751.55</v>
      </c>
      <c r="W409" s="382">
        <f t="shared" ref="W409" si="1019">+V409*$X$1</f>
        <v>751.55</v>
      </c>
      <c r="X409" s="694"/>
      <c r="Y409" s="695"/>
      <c r="Z409" s="695"/>
      <c r="AA409" s="696"/>
      <c r="AB409" s="614">
        <v>2504</v>
      </c>
    </row>
    <row r="410" spans="1:35" ht="12.6" customHeight="1">
      <c r="A410" s="20"/>
      <c r="B410" s="766" t="s">
        <v>886</v>
      </c>
      <c r="C410" s="767"/>
      <c r="D410" s="767"/>
      <c r="E410" s="768"/>
      <c r="F410" s="536">
        <f>3.12*X2</f>
        <v>2692.56</v>
      </c>
      <c r="G410" s="381">
        <f t="shared" ref="G410" si="1020">+F410*$X$1</f>
        <v>2692.56</v>
      </c>
      <c r="H410" s="78">
        <f>F410+220</f>
        <v>2912.56</v>
      </c>
      <c r="I410" s="381">
        <f t="shared" ref="I410" si="1021">+H410*$X$1</f>
        <v>2912.56</v>
      </c>
      <c r="J410" s="78">
        <f>F410+75</f>
        <v>2767.56</v>
      </c>
      <c r="K410" s="381">
        <f t="shared" ref="K410" si="1022">+J410*$X$1</f>
        <v>2767.56</v>
      </c>
      <c r="L410" s="421">
        <f>F410+55</f>
        <v>2747.56</v>
      </c>
      <c r="M410" s="381">
        <f t="shared" ref="M410" si="1023">+L410*$X$1</f>
        <v>2747.56</v>
      </c>
      <c r="N410" s="421">
        <f>F410+36</f>
        <v>2728.56</v>
      </c>
      <c r="O410" s="381">
        <f t="shared" ref="O410" si="1024">+N410*$X$1</f>
        <v>2728.56</v>
      </c>
      <c r="P410" s="421">
        <f>F410+32</f>
        <v>2724.56</v>
      </c>
      <c r="Q410" s="381">
        <f t="shared" ref="Q410" si="1025">+P410*$X$1</f>
        <v>2724.56</v>
      </c>
      <c r="R410" s="421">
        <f>F410+24</f>
        <v>2716.56</v>
      </c>
      <c r="S410" s="381">
        <f t="shared" ref="S410" si="1026">+R410*$X$1</f>
        <v>2716.56</v>
      </c>
      <c r="T410" s="421">
        <f>F410+21</f>
        <v>2713.56</v>
      </c>
      <c r="U410" s="381">
        <f t="shared" ref="U410" si="1027">+T410*$X$1</f>
        <v>2713.56</v>
      </c>
      <c r="V410" s="421">
        <f>F410+18</f>
        <v>2710.56</v>
      </c>
      <c r="W410" s="381">
        <f t="shared" ref="W410" si="1028">+V410*$X$1</f>
        <v>2710.56</v>
      </c>
      <c r="X410" s="694"/>
      <c r="Y410" s="695"/>
      <c r="Z410" s="695"/>
      <c r="AA410" s="696"/>
      <c r="AB410" s="614">
        <v>2505</v>
      </c>
    </row>
    <row r="411" spans="1:35" ht="12.6" customHeight="1">
      <c r="A411" s="20"/>
      <c r="B411" s="699" t="s">
        <v>611</v>
      </c>
      <c r="C411" s="700"/>
      <c r="D411" s="700"/>
      <c r="E411" s="701"/>
      <c r="F411" s="537">
        <f>3.88*X2</f>
        <v>3348.44</v>
      </c>
      <c r="G411" s="382">
        <f t="shared" ref="G411" si="1029">+F411*$X$1</f>
        <v>3348.44</v>
      </c>
      <c r="H411" s="370"/>
      <c r="I411" s="465"/>
      <c r="J411" s="98">
        <f>F411+75</f>
        <v>3423.44</v>
      </c>
      <c r="K411" s="382">
        <f t="shared" ref="K411" si="1030">+J411*$X$1</f>
        <v>3423.44</v>
      </c>
      <c r="L411" s="637">
        <f>F411+55</f>
        <v>3403.44</v>
      </c>
      <c r="M411" s="382">
        <f t="shared" ref="M411" si="1031">+L411*$X$1</f>
        <v>3403.44</v>
      </c>
      <c r="N411" s="637">
        <f>F411+36</f>
        <v>3384.44</v>
      </c>
      <c r="O411" s="382">
        <f t="shared" ref="O411" si="1032">+N411*$X$1</f>
        <v>3384.44</v>
      </c>
      <c r="P411" s="637">
        <f>F411+32</f>
        <v>3380.44</v>
      </c>
      <c r="Q411" s="382">
        <f t="shared" ref="Q411" si="1033">+P411*$X$1</f>
        <v>3380.44</v>
      </c>
      <c r="R411" s="637">
        <f>F411+24</f>
        <v>3372.44</v>
      </c>
      <c r="S411" s="382">
        <f t="shared" ref="S411" si="1034">+R411*$X$1</f>
        <v>3372.44</v>
      </c>
      <c r="T411" s="637">
        <f>F411+21</f>
        <v>3369.44</v>
      </c>
      <c r="U411" s="382">
        <f t="shared" ref="U411" si="1035">+T411*$X$1</f>
        <v>3369.44</v>
      </c>
      <c r="V411" s="637">
        <f>F411+18</f>
        <v>3366.44</v>
      </c>
      <c r="W411" s="382">
        <f t="shared" ref="W411" si="1036">+V411*$X$1</f>
        <v>3366.44</v>
      </c>
      <c r="X411" s="186"/>
      <c r="Y411" s="154"/>
      <c r="Z411" s="154"/>
      <c r="AA411" s="157"/>
      <c r="AB411" s="627">
        <v>3001</v>
      </c>
    </row>
    <row r="412" spans="1:35" ht="12.6" customHeight="1">
      <c r="A412" s="116"/>
      <c r="B412" s="715" t="s">
        <v>670</v>
      </c>
      <c r="C412" s="716"/>
      <c r="D412" s="716"/>
      <c r="E412" s="716"/>
      <c r="F412" s="381">
        <v>3705</v>
      </c>
      <c r="G412" s="381">
        <f t="shared" ref="G412" si="1037">+F412*$X$1</f>
        <v>3705</v>
      </c>
      <c r="H412" s="371"/>
      <c r="I412" s="464"/>
      <c r="J412" s="421"/>
      <c r="K412" s="381"/>
      <c r="L412" s="421">
        <f>F412+805</f>
        <v>4510</v>
      </c>
      <c r="M412" s="381">
        <f>+L412*$X$1</f>
        <v>4510</v>
      </c>
      <c r="N412" s="421">
        <f>F412+720</f>
        <v>4425</v>
      </c>
      <c r="O412" s="381">
        <f t="shared" ref="O412" si="1038">+N412*$X$1</f>
        <v>4425</v>
      </c>
      <c r="P412" s="421">
        <f>F412+695</f>
        <v>4400</v>
      </c>
      <c r="Q412" s="381">
        <f t="shared" ref="Q412" si="1039">+P412*$X$1</f>
        <v>4400</v>
      </c>
      <c r="R412" s="421">
        <f>F412+655</f>
        <v>4360</v>
      </c>
      <c r="S412" s="381">
        <f>+R412*$X$1</f>
        <v>4360</v>
      </c>
      <c r="T412" s="421">
        <f>F412+665</f>
        <v>4370</v>
      </c>
      <c r="U412" s="381">
        <f>+T412*$X$1</f>
        <v>4370</v>
      </c>
      <c r="V412" s="421"/>
      <c r="W412" s="381"/>
      <c r="X412" s="248"/>
      <c r="Y412" s="250"/>
      <c r="Z412" s="250"/>
      <c r="AA412" s="249"/>
      <c r="AB412" s="614">
        <v>5003</v>
      </c>
      <c r="AC412" s="72"/>
    </row>
    <row r="413" spans="1:35" ht="12.6" customHeight="1">
      <c r="A413" s="20"/>
      <c r="B413" s="713" t="s">
        <v>666</v>
      </c>
      <c r="C413" s="714"/>
      <c r="D413" s="714"/>
      <c r="E413" s="714"/>
      <c r="F413" s="382">
        <v>4992</v>
      </c>
      <c r="G413" s="382">
        <f t="shared" ref="G413:G421" si="1040">+F413*$X$1</f>
        <v>4992</v>
      </c>
      <c r="H413" s="370"/>
      <c r="I413" s="465"/>
      <c r="J413" s="637"/>
      <c r="K413" s="382"/>
      <c r="L413" s="637">
        <f>F413+770</f>
        <v>5762</v>
      </c>
      <c r="M413" s="382">
        <f t="shared" ref="M413" si="1041">+L413*$X$1</f>
        <v>5762</v>
      </c>
      <c r="N413" s="637">
        <f>F413+580</f>
        <v>5572</v>
      </c>
      <c r="O413" s="382">
        <f t="shared" ref="O413" si="1042">+N413*$X$1</f>
        <v>5572</v>
      </c>
      <c r="P413" s="637">
        <f>F413+520</f>
        <v>5512</v>
      </c>
      <c r="Q413" s="382">
        <f t="shared" ref="Q413" si="1043">+P413*$X$1</f>
        <v>5512</v>
      </c>
      <c r="R413" s="637">
        <f>F413+500</f>
        <v>5492</v>
      </c>
      <c r="S413" s="382">
        <f>+R413*$X$1</f>
        <v>5492</v>
      </c>
      <c r="T413" s="637">
        <f>F413+486</f>
        <v>5478</v>
      </c>
      <c r="U413" s="382">
        <f>+T413*$X$1</f>
        <v>5478</v>
      </c>
      <c r="V413" s="637"/>
      <c r="W413" s="382"/>
      <c r="X413" s="769"/>
      <c r="Y413" s="770"/>
      <c r="Z413" s="770"/>
      <c r="AA413" s="771"/>
      <c r="AB413" s="221">
        <v>5008</v>
      </c>
      <c r="AC413" s="45"/>
      <c r="AD413" s="45"/>
      <c r="AE413" s="45"/>
      <c r="AF413" s="45"/>
      <c r="AG413" s="45"/>
      <c r="AH413" s="45"/>
      <c r="AI413" s="45"/>
    </row>
    <row r="414" spans="1:35" ht="12.6" customHeight="1">
      <c r="A414" s="20"/>
      <c r="B414" s="702" t="s">
        <v>667</v>
      </c>
      <c r="C414" s="703"/>
      <c r="D414" s="703"/>
      <c r="E414" s="704"/>
      <c r="F414" s="381">
        <v>6786</v>
      </c>
      <c r="G414" s="381">
        <f t="shared" si="1040"/>
        <v>6786</v>
      </c>
      <c r="H414" s="371"/>
      <c r="I414" s="464"/>
      <c r="J414" s="421"/>
      <c r="K414" s="381"/>
      <c r="L414" s="421">
        <f>F414+770</f>
        <v>7556</v>
      </c>
      <c r="M414" s="381">
        <f t="shared" ref="M414:M416" si="1044">+L414*$X$1</f>
        <v>7556</v>
      </c>
      <c r="N414" s="421">
        <f>F414+580</f>
        <v>7366</v>
      </c>
      <c r="O414" s="381">
        <f t="shared" ref="O414:O416" si="1045">+N414*$X$1</f>
        <v>7366</v>
      </c>
      <c r="P414" s="421">
        <f>F414+520</f>
        <v>7306</v>
      </c>
      <c r="Q414" s="381">
        <f t="shared" ref="Q414:Q416" si="1046">+P414*$X$1</f>
        <v>7306</v>
      </c>
      <c r="R414" s="421">
        <f>F414+500</f>
        <v>7286</v>
      </c>
      <c r="S414" s="381">
        <f>+R414*$X$1</f>
        <v>7286</v>
      </c>
      <c r="T414" s="421">
        <f>F414+486</f>
        <v>7272</v>
      </c>
      <c r="U414" s="381">
        <f>+T414*$X$1</f>
        <v>7272</v>
      </c>
      <c r="V414" s="421"/>
      <c r="W414" s="381"/>
      <c r="X414" s="769"/>
      <c r="Y414" s="770"/>
      <c r="Z414" s="770"/>
      <c r="AA414" s="771"/>
      <c r="AB414" s="627">
        <v>5010</v>
      </c>
      <c r="AC414" s="45"/>
      <c r="AD414" s="45"/>
      <c r="AE414" s="45"/>
      <c r="AF414" s="45"/>
      <c r="AG414" s="45"/>
      <c r="AH414" s="45"/>
      <c r="AI414" s="45"/>
    </row>
    <row r="415" spans="1:35" ht="12.6" customHeight="1">
      <c r="A415" s="20"/>
      <c r="B415" s="699" t="s">
        <v>668</v>
      </c>
      <c r="C415" s="724"/>
      <c r="D415" s="724"/>
      <c r="E415" s="725"/>
      <c r="F415" s="382">
        <v>3783</v>
      </c>
      <c r="G415" s="382">
        <f t="shared" ref="G415" si="1047">+F415*$X$1</f>
        <v>3783</v>
      </c>
      <c r="H415" s="370"/>
      <c r="I415" s="465"/>
      <c r="J415" s="637"/>
      <c r="K415" s="382"/>
      <c r="L415" s="637">
        <f>F415+770</f>
        <v>4553</v>
      </c>
      <c r="M415" s="382">
        <f t="shared" si="1044"/>
        <v>4553</v>
      </c>
      <c r="N415" s="637">
        <f>F415+580</f>
        <v>4363</v>
      </c>
      <c r="O415" s="382">
        <f t="shared" si="1045"/>
        <v>4363</v>
      </c>
      <c r="P415" s="637">
        <f>F415+520</f>
        <v>4303</v>
      </c>
      <c r="Q415" s="382">
        <f t="shared" si="1046"/>
        <v>4303</v>
      </c>
      <c r="R415" s="637">
        <f>F415+500</f>
        <v>4283</v>
      </c>
      <c r="S415" s="382">
        <f>+R415*$X$1</f>
        <v>4283</v>
      </c>
      <c r="T415" s="637">
        <f>F415+486</f>
        <v>4269</v>
      </c>
      <c r="U415" s="382">
        <f>+T415*$X$1</f>
        <v>4269</v>
      </c>
      <c r="V415" s="637"/>
      <c r="W415" s="382"/>
      <c r="X415" s="769"/>
      <c r="Y415" s="770"/>
      <c r="Z415" s="770"/>
      <c r="AA415" s="771"/>
      <c r="AB415" s="627"/>
      <c r="AC415" s="45"/>
      <c r="AD415" s="45"/>
      <c r="AE415" s="45"/>
      <c r="AF415" s="45"/>
      <c r="AG415" s="45"/>
      <c r="AH415" s="45"/>
      <c r="AI415" s="45"/>
    </row>
    <row r="416" spans="1:35" ht="12.6" customHeight="1">
      <c r="A416" s="20"/>
      <c r="B416" s="702" t="s">
        <v>669</v>
      </c>
      <c r="C416" s="703"/>
      <c r="D416" s="703"/>
      <c r="E416" s="704"/>
      <c r="F416" s="381">
        <v>5616</v>
      </c>
      <c r="G416" s="381">
        <f t="shared" ref="G416" si="1048">+F416*$X$1</f>
        <v>5616</v>
      </c>
      <c r="H416" s="371"/>
      <c r="I416" s="464"/>
      <c r="J416" s="421"/>
      <c r="K416" s="381"/>
      <c r="L416" s="421">
        <f>F416+770</f>
        <v>6386</v>
      </c>
      <c r="M416" s="381">
        <f t="shared" si="1044"/>
        <v>6386</v>
      </c>
      <c r="N416" s="421">
        <f>F416+580</f>
        <v>6196</v>
      </c>
      <c r="O416" s="381">
        <f t="shared" si="1045"/>
        <v>6196</v>
      </c>
      <c r="P416" s="421">
        <f>F416+520</f>
        <v>6136</v>
      </c>
      <c r="Q416" s="381">
        <f t="shared" si="1046"/>
        <v>6136</v>
      </c>
      <c r="R416" s="421">
        <f>F416+500</f>
        <v>6116</v>
      </c>
      <c r="S416" s="381">
        <f>+R416*$X$1</f>
        <v>6116</v>
      </c>
      <c r="T416" s="421">
        <f>F416+486</f>
        <v>6102</v>
      </c>
      <c r="U416" s="381">
        <f>+T416*$X$1</f>
        <v>6102</v>
      </c>
      <c r="V416" s="421"/>
      <c r="W416" s="381"/>
      <c r="X416" s="769"/>
      <c r="Y416" s="770"/>
      <c r="Z416" s="770"/>
      <c r="AA416" s="771"/>
      <c r="AB416" s="627"/>
      <c r="AC416" s="45"/>
      <c r="AD416" s="45"/>
      <c r="AE416" s="45"/>
      <c r="AF416" s="45"/>
      <c r="AG416" s="45"/>
      <c r="AH416" s="45"/>
      <c r="AI416" s="45"/>
    </row>
    <row r="417" spans="1:33" ht="12.6" customHeight="1">
      <c r="A417" s="20"/>
      <c r="B417" s="713" t="s">
        <v>664</v>
      </c>
      <c r="C417" s="760"/>
      <c r="D417" s="760"/>
      <c r="E417" s="760"/>
      <c r="F417" s="382">
        <v>1410</v>
      </c>
      <c r="G417" s="382">
        <f t="shared" si="1040"/>
        <v>1410</v>
      </c>
      <c r="H417" s="370"/>
      <c r="I417" s="465"/>
      <c r="J417" s="98">
        <f>F417+80</f>
        <v>1490</v>
      </c>
      <c r="K417" s="382">
        <f t="shared" ref="K417" si="1049">+J417*$X$1</f>
        <v>1490</v>
      </c>
      <c r="L417" s="529">
        <f>F417+60</f>
        <v>1470</v>
      </c>
      <c r="M417" s="382">
        <f t="shared" ref="M417" si="1050">+L417*$X$1</f>
        <v>1470</v>
      </c>
      <c r="N417" s="529">
        <f>F417+40</f>
        <v>1450</v>
      </c>
      <c r="O417" s="382">
        <f t="shared" ref="O417" si="1051">+N417*$X$1</f>
        <v>1450</v>
      </c>
      <c r="P417" s="529"/>
      <c r="Q417" s="382"/>
      <c r="R417" s="529"/>
      <c r="S417" s="382"/>
      <c r="T417" s="529"/>
      <c r="U417" s="382"/>
      <c r="V417" s="529"/>
      <c r="W417" s="382"/>
      <c r="X417" s="705"/>
      <c r="Y417" s="706"/>
      <c r="Z417" s="706"/>
      <c r="AA417" s="707"/>
      <c r="AB417" s="627">
        <v>11604</v>
      </c>
    </row>
    <row r="418" spans="1:33" ht="12.6" customHeight="1">
      <c r="A418" s="20"/>
      <c r="B418" s="697" t="s">
        <v>665</v>
      </c>
      <c r="C418" s="719"/>
      <c r="D418" s="719"/>
      <c r="E418" s="719"/>
      <c r="F418" s="421"/>
      <c r="G418" s="421"/>
      <c r="H418" s="371"/>
      <c r="I418" s="464"/>
      <c r="J418" s="78">
        <f>F417+170</f>
        <v>1580</v>
      </c>
      <c r="K418" s="381">
        <f t="shared" ref="K418" si="1052">+J418*$X$1</f>
        <v>1580</v>
      </c>
      <c r="L418" s="421">
        <f>F417+130</f>
        <v>1540</v>
      </c>
      <c r="M418" s="381">
        <f t="shared" ref="M418" si="1053">+L418*$X$1</f>
        <v>1540</v>
      </c>
      <c r="N418" s="421">
        <f>F417+95</f>
        <v>1505</v>
      </c>
      <c r="O418" s="381">
        <f t="shared" ref="O418" si="1054">+N418*$X$1</f>
        <v>1505</v>
      </c>
      <c r="P418" s="421"/>
      <c r="Q418" s="381"/>
      <c r="R418" s="421"/>
      <c r="S418" s="381"/>
      <c r="T418" s="421"/>
      <c r="U418" s="381"/>
      <c r="V418" s="421"/>
      <c r="W418" s="381"/>
      <c r="X418" s="705"/>
      <c r="Y418" s="706"/>
      <c r="Z418" s="706"/>
      <c r="AA418" s="707"/>
      <c r="AB418" s="627">
        <v>11605</v>
      </c>
    </row>
    <row r="419" spans="1:33" ht="12.6" customHeight="1">
      <c r="A419" s="20"/>
      <c r="B419" s="807" t="s">
        <v>658</v>
      </c>
      <c r="C419" s="931"/>
      <c r="D419" s="931"/>
      <c r="E419" s="931"/>
      <c r="F419" s="382">
        <v>321</v>
      </c>
      <c r="G419" s="382">
        <f t="shared" si="1040"/>
        <v>321</v>
      </c>
      <c r="H419" s="370"/>
      <c r="I419" s="370"/>
      <c r="J419" s="529"/>
      <c r="K419" s="529"/>
      <c r="L419" s="529"/>
      <c r="M419" s="529"/>
      <c r="N419" s="529"/>
      <c r="O419" s="529"/>
      <c r="P419" s="370"/>
      <c r="Q419" s="370"/>
      <c r="R419" s="529"/>
      <c r="S419" s="529"/>
      <c r="T419" s="529"/>
      <c r="U419" s="529"/>
      <c r="V419" s="529"/>
      <c r="W419" s="529"/>
      <c r="X419" s="705"/>
      <c r="Y419" s="706"/>
      <c r="Z419" s="706"/>
      <c r="AA419" s="707"/>
      <c r="AB419" s="644"/>
    </row>
    <row r="420" spans="1:33" ht="12.6" customHeight="1">
      <c r="A420" s="20"/>
      <c r="B420" s="697" t="s">
        <v>279</v>
      </c>
      <c r="C420" s="719"/>
      <c r="D420" s="719"/>
      <c r="E420" s="719"/>
      <c r="F420" s="381">
        <v>1067</v>
      </c>
      <c r="G420" s="381">
        <f t="shared" si="1040"/>
        <v>1067</v>
      </c>
      <c r="H420" s="371"/>
      <c r="I420" s="371"/>
      <c r="J420" s="78">
        <f>F420+75</f>
        <v>1142</v>
      </c>
      <c r="K420" s="381">
        <f t="shared" ref="K420" si="1055">+J420*$X$1</f>
        <v>1142</v>
      </c>
      <c r="L420" s="421">
        <f>F420+55</f>
        <v>1122</v>
      </c>
      <c r="M420" s="381">
        <f t="shared" ref="M420" si="1056">+L420*$X$1</f>
        <v>1122</v>
      </c>
      <c r="N420" s="421">
        <f>F420+36</f>
        <v>1103</v>
      </c>
      <c r="O420" s="381">
        <f t="shared" ref="O420" si="1057">+N420*$X$1</f>
        <v>1103</v>
      </c>
      <c r="P420" s="421">
        <f>F420+32</f>
        <v>1099</v>
      </c>
      <c r="Q420" s="381">
        <f t="shared" ref="Q420" si="1058">+P420*$X$1</f>
        <v>1099</v>
      </c>
      <c r="R420" s="421">
        <f>F420+24</f>
        <v>1091</v>
      </c>
      <c r="S420" s="381">
        <f t="shared" ref="S420" si="1059">+R420*$X$1</f>
        <v>1091</v>
      </c>
      <c r="T420" s="421">
        <f>F420+21</f>
        <v>1088</v>
      </c>
      <c r="U420" s="381">
        <f t="shared" ref="U420" si="1060">+T420*$X$1</f>
        <v>1088</v>
      </c>
      <c r="V420" s="421">
        <f>F420+18</f>
        <v>1085</v>
      </c>
      <c r="W420" s="381">
        <f t="shared" ref="W420" si="1061">+V420*$X$1</f>
        <v>1085</v>
      </c>
      <c r="X420" s="173"/>
      <c r="Y420" s="150"/>
      <c r="Z420" s="150"/>
      <c r="AA420" s="150"/>
      <c r="AB420" s="645"/>
    </row>
    <row r="421" spans="1:33" ht="12.6" customHeight="1">
      <c r="A421" s="116"/>
      <c r="B421" s="752" t="s">
        <v>280</v>
      </c>
      <c r="C421" s="915"/>
      <c r="D421" s="915"/>
      <c r="E421" s="915"/>
      <c r="F421" s="450">
        <v>25</v>
      </c>
      <c r="G421" s="450">
        <f t="shared" si="1040"/>
        <v>25</v>
      </c>
      <c r="H421" s="126"/>
      <c r="I421" s="126"/>
      <c r="J421" s="126"/>
      <c r="K421" s="126"/>
      <c r="L421" s="126"/>
      <c r="M421" s="126"/>
      <c r="N421" s="126"/>
      <c r="O421" s="450"/>
      <c r="P421" s="126"/>
      <c r="Q421" s="450"/>
      <c r="R421" s="126"/>
      <c r="S421" s="450"/>
      <c r="T421" s="126"/>
      <c r="U421" s="450"/>
      <c r="V421" s="126"/>
      <c r="W421" s="450"/>
      <c r="X421" s="173"/>
      <c r="Y421" s="150"/>
      <c r="Z421" s="150"/>
      <c r="AA421" s="150"/>
      <c r="AB421" s="221">
        <v>11612</v>
      </c>
    </row>
    <row r="422" spans="1:33" ht="12.6" customHeight="1">
      <c r="A422" s="20"/>
      <c r="B422" s="702" t="s">
        <v>405</v>
      </c>
      <c r="C422" s="703"/>
      <c r="D422" s="703"/>
      <c r="E422" s="704"/>
      <c r="F422" s="381">
        <v>1267</v>
      </c>
      <c r="G422" s="381">
        <f t="shared" ref="G422:G432" si="1062">+F422*$X$1</f>
        <v>1267</v>
      </c>
      <c r="H422" s="19"/>
      <c r="I422" s="795" t="s">
        <v>630</v>
      </c>
      <c r="J422" s="796"/>
      <c r="K422" s="796"/>
      <c r="L422" s="796"/>
      <c r="M422" s="797"/>
      <c r="N422" s="401">
        <v>1790</v>
      </c>
      <c r="O422" s="381">
        <f>+N422*$X$1</f>
        <v>1790</v>
      </c>
      <c r="P422" s="111">
        <v>1780</v>
      </c>
      <c r="Q422" s="381">
        <f t="shared" ref="Q422" si="1063">+P422*$X$1</f>
        <v>1780</v>
      </c>
      <c r="R422" s="421">
        <v>1615</v>
      </c>
      <c r="S422" s="381">
        <f>+R422*$X$1</f>
        <v>1615</v>
      </c>
      <c r="T422" s="421">
        <v>1507</v>
      </c>
      <c r="U422" s="381">
        <f>+T422*$X$1</f>
        <v>1507</v>
      </c>
      <c r="V422" s="421">
        <v>1455</v>
      </c>
      <c r="W422" s="381">
        <f t="shared" ref="W422" si="1064">+V422*$X$1</f>
        <v>1455</v>
      </c>
      <c r="X422" s="154"/>
      <c r="Y422" s="154"/>
      <c r="Z422" s="154"/>
      <c r="AA422" s="157"/>
      <c r="AB422" s="32"/>
    </row>
    <row r="423" spans="1:33" ht="12.6" customHeight="1">
      <c r="A423" s="20"/>
      <c r="B423" s="699" t="s">
        <v>406</v>
      </c>
      <c r="C423" s="724"/>
      <c r="D423" s="724"/>
      <c r="E423" s="725"/>
      <c r="F423" s="382">
        <v>1267</v>
      </c>
      <c r="G423" s="382">
        <f t="shared" si="1062"/>
        <v>1267</v>
      </c>
      <c r="H423" s="343"/>
      <c r="I423" s="798"/>
      <c r="J423" s="799"/>
      <c r="K423" s="799"/>
      <c r="L423" s="799"/>
      <c r="M423" s="800"/>
      <c r="N423" s="679">
        <v>1790</v>
      </c>
      <c r="O423" s="382">
        <f>+N423*$X$1</f>
        <v>1790</v>
      </c>
      <c r="P423" s="117">
        <v>1780</v>
      </c>
      <c r="Q423" s="382">
        <f t="shared" ref="Q423:Q424" si="1065">+P423*$X$1</f>
        <v>1780</v>
      </c>
      <c r="R423" s="679">
        <v>1615</v>
      </c>
      <c r="S423" s="382">
        <f>+R423*$X$1</f>
        <v>1615</v>
      </c>
      <c r="T423" s="679">
        <v>1507</v>
      </c>
      <c r="U423" s="382">
        <f>+T423*$X$1</f>
        <v>1507</v>
      </c>
      <c r="V423" s="679">
        <v>1455</v>
      </c>
      <c r="W423" s="382">
        <f t="shared" ref="W423:W424" si="1066">+V423*$X$1</f>
        <v>1455</v>
      </c>
      <c r="X423" s="154"/>
      <c r="Y423" s="154"/>
      <c r="Z423" s="154"/>
      <c r="AA423" s="157"/>
      <c r="AB423" s="221"/>
    </row>
    <row r="424" spans="1:33" ht="12.6" customHeight="1">
      <c r="A424" s="20"/>
      <c r="B424" s="702" t="s">
        <v>407</v>
      </c>
      <c r="C424" s="703"/>
      <c r="D424" s="703"/>
      <c r="E424" s="704"/>
      <c r="F424" s="381">
        <v>1267</v>
      </c>
      <c r="G424" s="381">
        <f t="shared" si="1062"/>
        <v>1267</v>
      </c>
      <c r="H424" s="19"/>
      <c r="I424" s="801"/>
      <c r="J424" s="802"/>
      <c r="K424" s="802"/>
      <c r="L424" s="802"/>
      <c r="M424" s="803"/>
      <c r="N424" s="421">
        <v>1790</v>
      </c>
      <c r="O424" s="381">
        <f>+N424*$X$1</f>
        <v>1790</v>
      </c>
      <c r="P424" s="111">
        <v>1780</v>
      </c>
      <c r="Q424" s="381">
        <f t="shared" si="1065"/>
        <v>1780</v>
      </c>
      <c r="R424" s="421">
        <v>1615</v>
      </c>
      <c r="S424" s="381">
        <f>+R424*$X$1</f>
        <v>1615</v>
      </c>
      <c r="T424" s="421">
        <v>1507</v>
      </c>
      <c r="U424" s="381">
        <f>+T424*$X$1</f>
        <v>1507</v>
      </c>
      <c r="V424" s="421">
        <v>1455</v>
      </c>
      <c r="W424" s="381">
        <f t="shared" si="1066"/>
        <v>1455</v>
      </c>
      <c r="X424" s="154"/>
      <c r="Y424" s="154"/>
      <c r="Z424" s="154"/>
      <c r="AA424" s="157"/>
      <c r="AB424" s="221"/>
      <c r="AG424" s="266"/>
    </row>
    <row r="425" spans="1:33" ht="12.6" customHeight="1">
      <c r="A425" s="20"/>
      <c r="B425" s="807" t="s">
        <v>281</v>
      </c>
      <c r="C425" s="808"/>
      <c r="D425" s="808"/>
      <c r="E425" s="808"/>
      <c r="F425" s="537">
        <f>3.426*X2</f>
        <v>2956.6379999999999</v>
      </c>
      <c r="G425" s="382">
        <f t="shared" si="1062"/>
        <v>2956.6379999999999</v>
      </c>
      <c r="H425" s="370"/>
      <c r="I425" s="370"/>
      <c r="J425" s="98">
        <f>F425+75</f>
        <v>3031.6379999999999</v>
      </c>
      <c r="K425" s="382">
        <f t="shared" ref="K425:K426" si="1067">+J425*$X$1</f>
        <v>3031.6379999999999</v>
      </c>
      <c r="L425" s="529">
        <f>F425+55</f>
        <v>3011.6379999999999</v>
      </c>
      <c r="M425" s="382">
        <f t="shared" ref="M425:M426" si="1068">+L425*$X$1</f>
        <v>3011.6379999999999</v>
      </c>
      <c r="N425" s="529">
        <f>F425+36</f>
        <v>2992.6379999999999</v>
      </c>
      <c r="O425" s="382">
        <f t="shared" ref="O425:O426" si="1069">+N425*$X$1</f>
        <v>2992.6379999999999</v>
      </c>
      <c r="P425" s="529">
        <f>F425+32</f>
        <v>2988.6379999999999</v>
      </c>
      <c r="Q425" s="382">
        <f t="shared" ref="Q425:Q426" si="1070">+P425*$X$1</f>
        <v>2988.6379999999999</v>
      </c>
      <c r="R425" s="529">
        <f>F425+24</f>
        <v>2980.6379999999999</v>
      </c>
      <c r="S425" s="382">
        <f t="shared" ref="S425:S426" si="1071">+R425*$X$1</f>
        <v>2980.6379999999999</v>
      </c>
      <c r="T425" s="529">
        <f>F425+21</f>
        <v>2977.6379999999999</v>
      </c>
      <c r="U425" s="382">
        <f t="shared" ref="U425:U426" si="1072">+T425*$X$1</f>
        <v>2977.6379999999999</v>
      </c>
      <c r="V425" s="529">
        <f>F425+18</f>
        <v>2974.6379999999999</v>
      </c>
      <c r="W425" s="382">
        <f t="shared" ref="W425:W426" si="1073">+V425*$X$1</f>
        <v>2974.6379999999999</v>
      </c>
      <c r="X425" s="750"/>
      <c r="Y425" s="750"/>
      <c r="Z425" s="750"/>
      <c r="AA425" s="751"/>
      <c r="AB425" s="221" t="s">
        <v>282</v>
      </c>
    </row>
    <row r="426" spans="1:33" ht="12.6" customHeight="1">
      <c r="A426" s="20"/>
      <c r="B426" s="697" t="s">
        <v>481</v>
      </c>
      <c r="C426" s="698"/>
      <c r="D426" s="698"/>
      <c r="E426" s="698"/>
      <c r="F426" s="536">
        <f>1.61*X2</f>
        <v>1389.43</v>
      </c>
      <c r="G426" s="381">
        <f t="shared" si="1062"/>
        <v>1389.43</v>
      </c>
      <c r="H426" s="377"/>
      <c r="I426" s="371"/>
      <c r="J426" s="78">
        <f>F426+75</f>
        <v>1464.43</v>
      </c>
      <c r="K426" s="381">
        <f t="shared" si="1067"/>
        <v>1464.43</v>
      </c>
      <c r="L426" s="421">
        <f>F426+55</f>
        <v>1444.43</v>
      </c>
      <c r="M426" s="381">
        <f t="shared" si="1068"/>
        <v>1444.43</v>
      </c>
      <c r="N426" s="421">
        <f>F426+36</f>
        <v>1425.43</v>
      </c>
      <c r="O426" s="381">
        <f t="shared" si="1069"/>
        <v>1425.43</v>
      </c>
      <c r="P426" s="421">
        <f>F426+32</f>
        <v>1421.43</v>
      </c>
      <c r="Q426" s="381">
        <f t="shared" si="1070"/>
        <v>1421.43</v>
      </c>
      <c r="R426" s="421">
        <f>F426+24</f>
        <v>1413.43</v>
      </c>
      <c r="S426" s="381">
        <f t="shared" si="1071"/>
        <v>1413.43</v>
      </c>
      <c r="T426" s="421">
        <f>F426+21</f>
        <v>1410.43</v>
      </c>
      <c r="U426" s="381">
        <f t="shared" si="1072"/>
        <v>1410.43</v>
      </c>
      <c r="V426" s="421">
        <f>F426+18</f>
        <v>1407.43</v>
      </c>
      <c r="W426" s="381">
        <f t="shared" si="1073"/>
        <v>1407.43</v>
      </c>
      <c r="X426" s="750"/>
      <c r="Y426" s="750"/>
      <c r="Z426" s="750"/>
      <c r="AA426" s="751"/>
      <c r="AB426" s="221" t="s">
        <v>540</v>
      </c>
    </row>
    <row r="427" spans="1:33" s="72" customFormat="1" ht="12.6" customHeight="1">
      <c r="A427" s="106"/>
      <c r="B427" s="730" t="s">
        <v>403</v>
      </c>
      <c r="C427" s="809"/>
      <c r="D427" s="809"/>
      <c r="E427" s="809"/>
      <c r="F427" s="382">
        <v>657</v>
      </c>
      <c r="G427" s="382">
        <f t="shared" si="1062"/>
        <v>657</v>
      </c>
      <c r="H427" s="369"/>
      <c r="I427" s="795" t="s">
        <v>624</v>
      </c>
      <c r="J427" s="903"/>
      <c r="K427" s="903"/>
      <c r="L427" s="904"/>
      <c r="M427" s="905"/>
      <c r="N427" s="679">
        <v>1260</v>
      </c>
      <c r="O427" s="382">
        <f t="shared" ref="O427:O432" si="1074">+N427*$X$1</f>
        <v>1260</v>
      </c>
      <c r="P427" s="395">
        <v>1256</v>
      </c>
      <c r="Q427" s="382">
        <f t="shared" ref="Q427:Q432" si="1075">+P427*$X$1</f>
        <v>1256</v>
      </c>
      <c r="R427" s="679">
        <v>1173</v>
      </c>
      <c r="S427" s="382">
        <f t="shared" ref="S427:S432" si="1076">+R427*$X$1</f>
        <v>1173</v>
      </c>
      <c r="T427" s="679">
        <v>1071</v>
      </c>
      <c r="U427" s="382">
        <f t="shared" ref="U427:U432" si="1077">+T427*$X$1</f>
        <v>1071</v>
      </c>
      <c r="V427" s="679">
        <v>1014</v>
      </c>
      <c r="W427" s="382">
        <f t="shared" ref="W427:W432" si="1078">+V427*$X$1</f>
        <v>1014</v>
      </c>
      <c r="X427" s="171"/>
      <c r="Y427" s="171"/>
      <c r="Z427" s="171"/>
      <c r="AA427" s="172"/>
      <c r="AB427" s="646" t="s">
        <v>283</v>
      </c>
    </row>
    <row r="428" spans="1:33" s="72" customFormat="1" ht="12.6" customHeight="1">
      <c r="A428" s="106"/>
      <c r="B428" s="697" t="s">
        <v>404</v>
      </c>
      <c r="C428" s="698"/>
      <c r="D428" s="698"/>
      <c r="E428" s="698"/>
      <c r="F428" s="381">
        <v>657</v>
      </c>
      <c r="G428" s="381">
        <f t="shared" si="1062"/>
        <v>657</v>
      </c>
      <c r="H428" s="366"/>
      <c r="I428" s="906"/>
      <c r="J428" s="907"/>
      <c r="K428" s="907"/>
      <c r="L428" s="908"/>
      <c r="M428" s="909"/>
      <c r="N428" s="421">
        <v>1592</v>
      </c>
      <c r="O428" s="381">
        <f t="shared" si="1074"/>
        <v>1592</v>
      </c>
      <c r="P428" s="396">
        <v>1585</v>
      </c>
      <c r="Q428" s="381">
        <f t="shared" si="1075"/>
        <v>1585</v>
      </c>
      <c r="R428" s="421">
        <v>1509</v>
      </c>
      <c r="S428" s="381">
        <f t="shared" si="1076"/>
        <v>1509</v>
      </c>
      <c r="T428" s="421">
        <v>1457</v>
      </c>
      <c r="U428" s="381">
        <f t="shared" si="1077"/>
        <v>1457</v>
      </c>
      <c r="V428" s="421">
        <v>1381</v>
      </c>
      <c r="W428" s="381">
        <f t="shared" si="1078"/>
        <v>1381</v>
      </c>
      <c r="X428" s="196"/>
      <c r="Y428" s="154"/>
      <c r="Z428" s="154"/>
      <c r="AA428" s="157"/>
      <c r="AB428" s="647"/>
    </row>
    <row r="429" spans="1:33" s="72" customFormat="1" ht="12.6" customHeight="1">
      <c r="A429" s="106"/>
      <c r="B429" s="713" t="s">
        <v>425</v>
      </c>
      <c r="C429" s="714"/>
      <c r="D429" s="714"/>
      <c r="E429" s="714"/>
      <c r="F429" s="382">
        <v>657</v>
      </c>
      <c r="G429" s="382">
        <f t="shared" si="1062"/>
        <v>657</v>
      </c>
      <c r="H429" s="367"/>
      <c r="I429" s="906"/>
      <c r="J429" s="907"/>
      <c r="K429" s="907"/>
      <c r="L429" s="908"/>
      <c r="M429" s="909"/>
      <c r="N429" s="679">
        <v>1260</v>
      </c>
      <c r="O429" s="382">
        <f t="shared" ref="O429:O430" si="1079">+N429*$X$1</f>
        <v>1260</v>
      </c>
      <c r="P429" s="395">
        <v>1256</v>
      </c>
      <c r="Q429" s="382">
        <f t="shared" ref="Q429:Q430" si="1080">+P429*$X$1</f>
        <v>1256</v>
      </c>
      <c r="R429" s="679">
        <v>1173</v>
      </c>
      <c r="S429" s="382">
        <f t="shared" ref="S429:S430" si="1081">+R429*$X$1</f>
        <v>1173</v>
      </c>
      <c r="T429" s="679">
        <v>1071</v>
      </c>
      <c r="U429" s="382">
        <f t="shared" ref="U429:U430" si="1082">+T429*$X$1</f>
        <v>1071</v>
      </c>
      <c r="V429" s="679">
        <v>1014</v>
      </c>
      <c r="W429" s="382">
        <f t="shared" ref="W429:W430" si="1083">+V429*$X$1</f>
        <v>1014</v>
      </c>
      <c r="X429" s="154"/>
      <c r="Y429" s="154"/>
      <c r="Z429" s="154"/>
      <c r="AA429" s="157"/>
      <c r="AB429" s="646" t="s">
        <v>284</v>
      </c>
    </row>
    <row r="430" spans="1:33" s="72" customFormat="1" ht="12" customHeight="1">
      <c r="A430" s="106"/>
      <c r="B430" s="697" t="s">
        <v>426</v>
      </c>
      <c r="C430" s="698"/>
      <c r="D430" s="698"/>
      <c r="E430" s="698"/>
      <c r="F430" s="381">
        <v>657</v>
      </c>
      <c r="G430" s="381">
        <f t="shared" si="1062"/>
        <v>657</v>
      </c>
      <c r="H430" s="366"/>
      <c r="I430" s="906"/>
      <c r="J430" s="907"/>
      <c r="K430" s="907"/>
      <c r="L430" s="908"/>
      <c r="M430" s="909"/>
      <c r="N430" s="421">
        <v>1592</v>
      </c>
      <c r="O430" s="381">
        <f t="shared" si="1079"/>
        <v>1592</v>
      </c>
      <c r="P430" s="396">
        <v>1585</v>
      </c>
      <c r="Q430" s="381">
        <f t="shared" si="1080"/>
        <v>1585</v>
      </c>
      <c r="R430" s="421">
        <v>1509</v>
      </c>
      <c r="S430" s="381">
        <f t="shared" si="1081"/>
        <v>1509</v>
      </c>
      <c r="T430" s="421">
        <v>1457</v>
      </c>
      <c r="U430" s="381">
        <f t="shared" si="1082"/>
        <v>1457</v>
      </c>
      <c r="V430" s="421">
        <v>1381</v>
      </c>
      <c r="W430" s="381">
        <f t="shared" si="1083"/>
        <v>1381</v>
      </c>
      <c r="X430" s="171"/>
      <c r="Y430" s="171"/>
      <c r="Z430" s="154"/>
      <c r="AA430" s="157"/>
      <c r="AB430" s="647"/>
    </row>
    <row r="431" spans="1:33" s="72" customFormat="1" ht="12.6" customHeight="1">
      <c r="A431" s="106"/>
      <c r="B431" s="713" t="s">
        <v>285</v>
      </c>
      <c r="C431" s="714"/>
      <c r="D431" s="714"/>
      <c r="E431" s="714"/>
      <c r="F431" s="382">
        <v>657</v>
      </c>
      <c r="G431" s="382">
        <f t="shared" si="1062"/>
        <v>657</v>
      </c>
      <c r="H431" s="367"/>
      <c r="I431" s="910"/>
      <c r="J431" s="911"/>
      <c r="K431" s="911"/>
      <c r="L431" s="908"/>
      <c r="M431" s="909"/>
      <c r="N431" s="102">
        <v>1373</v>
      </c>
      <c r="O431" s="382">
        <f t="shared" si="1074"/>
        <v>1373</v>
      </c>
      <c r="P431" s="395">
        <v>1365</v>
      </c>
      <c r="Q431" s="382">
        <f t="shared" si="1075"/>
        <v>1365</v>
      </c>
      <c r="R431" s="553">
        <v>1285</v>
      </c>
      <c r="S431" s="382">
        <f t="shared" si="1076"/>
        <v>1285</v>
      </c>
      <c r="T431" s="553">
        <v>1196</v>
      </c>
      <c r="U431" s="382">
        <f t="shared" si="1077"/>
        <v>1196</v>
      </c>
      <c r="V431" s="553">
        <v>1123</v>
      </c>
      <c r="W431" s="382">
        <f t="shared" si="1078"/>
        <v>1123</v>
      </c>
      <c r="X431" s="154"/>
      <c r="Y431" s="154"/>
      <c r="Z431" s="154"/>
      <c r="AA431" s="157"/>
      <c r="AB431" s="646" t="s">
        <v>286</v>
      </c>
      <c r="AE431" s="309"/>
    </row>
    <row r="432" spans="1:33" s="72" customFormat="1" ht="12.6" customHeight="1">
      <c r="A432" s="106"/>
      <c r="B432" s="697" t="s">
        <v>287</v>
      </c>
      <c r="C432" s="698"/>
      <c r="D432" s="698"/>
      <c r="E432" s="698"/>
      <c r="F432" s="381">
        <v>657</v>
      </c>
      <c r="G432" s="381">
        <f t="shared" si="1062"/>
        <v>657</v>
      </c>
      <c r="H432" s="366"/>
      <c r="I432" s="912"/>
      <c r="J432" s="913"/>
      <c r="K432" s="913"/>
      <c r="L432" s="913"/>
      <c r="M432" s="914"/>
      <c r="N432" s="401">
        <v>1743</v>
      </c>
      <c r="O432" s="381">
        <f t="shared" si="1074"/>
        <v>1743</v>
      </c>
      <c r="P432" s="396">
        <v>1735</v>
      </c>
      <c r="Q432" s="381">
        <f t="shared" si="1075"/>
        <v>1735</v>
      </c>
      <c r="R432" s="421">
        <v>1657</v>
      </c>
      <c r="S432" s="381">
        <f t="shared" si="1076"/>
        <v>1657</v>
      </c>
      <c r="T432" s="421">
        <v>1615</v>
      </c>
      <c r="U432" s="381">
        <f t="shared" si="1077"/>
        <v>1615</v>
      </c>
      <c r="V432" s="421">
        <v>1540</v>
      </c>
      <c r="W432" s="381">
        <f t="shared" si="1078"/>
        <v>1540</v>
      </c>
      <c r="X432" s="154"/>
      <c r="Y432" s="154"/>
      <c r="Z432" s="154"/>
      <c r="AA432" s="157"/>
      <c r="AB432" s="646" t="s">
        <v>288</v>
      </c>
    </row>
    <row r="433" spans="1:29" ht="12.6" customHeight="1">
      <c r="A433" s="20"/>
      <c r="B433" s="699" t="s">
        <v>289</v>
      </c>
      <c r="C433" s="724"/>
      <c r="D433" s="724"/>
      <c r="E433" s="725"/>
      <c r="F433" s="537">
        <f>1.6*X2</f>
        <v>1380.8000000000002</v>
      </c>
      <c r="G433" s="382">
        <f t="shared" ref="G433:G434" si="1084">+F433*$X$1</f>
        <v>1380.8000000000002</v>
      </c>
      <c r="H433" s="529">
        <f>F433+200</f>
        <v>1580.8000000000002</v>
      </c>
      <c r="I433" s="382">
        <f t="shared" ref="I433" si="1085">+H433*$X$1</f>
        <v>1580.8000000000002</v>
      </c>
      <c r="J433" s="529">
        <f>F433+75</f>
        <v>1455.8000000000002</v>
      </c>
      <c r="K433" s="382">
        <f t="shared" ref="K433" si="1086">+J433*$X$1</f>
        <v>1455.8000000000002</v>
      </c>
      <c r="L433" s="529">
        <f>F433+60</f>
        <v>1440.8000000000002</v>
      </c>
      <c r="M433" s="382">
        <f t="shared" ref="M433" si="1087">+L433*$X$1</f>
        <v>1440.8000000000002</v>
      </c>
      <c r="N433" s="529">
        <f>F433+45</f>
        <v>1425.8000000000002</v>
      </c>
      <c r="O433" s="382">
        <f t="shared" ref="O433" si="1088">+N433*$X$1</f>
        <v>1425.8000000000002</v>
      </c>
      <c r="P433" s="529">
        <f>F433+42</f>
        <v>1422.8000000000002</v>
      </c>
      <c r="Q433" s="382">
        <f t="shared" ref="Q433" si="1089">+P433*$X$1</f>
        <v>1422.8000000000002</v>
      </c>
      <c r="R433" s="529">
        <f>F433+39</f>
        <v>1419.8000000000002</v>
      </c>
      <c r="S433" s="382">
        <f t="shared" ref="S433" si="1090">+R433*$X$1</f>
        <v>1419.8000000000002</v>
      </c>
      <c r="T433" s="529">
        <f>F433+35</f>
        <v>1415.8000000000002</v>
      </c>
      <c r="U433" s="382">
        <f t="shared" ref="U433" si="1091">+T433*$X$1</f>
        <v>1415.8000000000002</v>
      </c>
      <c r="V433" s="529">
        <f>F433+30</f>
        <v>1410.8000000000002</v>
      </c>
      <c r="W433" s="382">
        <f t="shared" ref="W433" si="1092">+V433*$X$1</f>
        <v>1410.8000000000002</v>
      </c>
      <c r="X433" s="695"/>
      <c r="Y433" s="695"/>
      <c r="Z433" s="695"/>
      <c r="AA433" s="696"/>
      <c r="AB433" s="221" t="s">
        <v>290</v>
      </c>
    </row>
    <row r="434" spans="1:29" ht="12.6" customHeight="1">
      <c r="A434" s="20"/>
      <c r="B434" s="702" t="s">
        <v>291</v>
      </c>
      <c r="C434" s="703"/>
      <c r="D434" s="703"/>
      <c r="E434" s="704"/>
      <c r="F434" s="536">
        <f>1.28*X2</f>
        <v>1104.6400000000001</v>
      </c>
      <c r="G434" s="381">
        <f t="shared" si="1084"/>
        <v>1104.6400000000001</v>
      </c>
      <c r="H434" s="421">
        <f>F434+200</f>
        <v>1304.6400000000001</v>
      </c>
      <c r="I434" s="381">
        <f t="shared" ref="I434:I435" si="1093">+H434*$X$1</f>
        <v>1304.6400000000001</v>
      </c>
      <c r="J434" s="421">
        <f>F434+75</f>
        <v>1179.6400000000001</v>
      </c>
      <c r="K434" s="381">
        <f t="shared" ref="K434:K435" si="1094">+J434*$X$1</f>
        <v>1179.6400000000001</v>
      </c>
      <c r="L434" s="421">
        <f>F434+60</f>
        <v>1164.6400000000001</v>
      </c>
      <c r="M434" s="381">
        <f t="shared" ref="M434:M435" si="1095">+L434*$X$1</f>
        <v>1164.6400000000001</v>
      </c>
      <c r="N434" s="421">
        <f>F434+45</f>
        <v>1149.6400000000001</v>
      </c>
      <c r="O434" s="381">
        <f t="shared" ref="O434:O435" si="1096">+N434*$X$1</f>
        <v>1149.6400000000001</v>
      </c>
      <c r="P434" s="421">
        <f>F434+42</f>
        <v>1146.6400000000001</v>
      </c>
      <c r="Q434" s="381">
        <f t="shared" ref="Q434:Q435" si="1097">+P434*$X$1</f>
        <v>1146.6400000000001</v>
      </c>
      <c r="R434" s="421">
        <f>F434+39</f>
        <v>1143.6400000000001</v>
      </c>
      <c r="S434" s="381">
        <f t="shared" ref="S434:S435" si="1098">+R434*$X$1</f>
        <v>1143.6400000000001</v>
      </c>
      <c r="T434" s="421">
        <f>F434+35</f>
        <v>1139.6400000000001</v>
      </c>
      <c r="U434" s="381">
        <f t="shared" ref="U434:U435" si="1099">+T434*$X$1</f>
        <v>1139.6400000000001</v>
      </c>
      <c r="V434" s="421">
        <f>F434+30</f>
        <v>1134.6400000000001</v>
      </c>
      <c r="W434" s="381">
        <f t="shared" ref="W434:W435" si="1100">+V434*$X$1</f>
        <v>1134.6400000000001</v>
      </c>
      <c r="X434" s="695"/>
      <c r="Y434" s="695"/>
      <c r="Z434" s="695"/>
      <c r="AA434" s="696"/>
      <c r="AB434" s="221" t="s">
        <v>529</v>
      </c>
    </row>
    <row r="435" spans="1:29" ht="12.6" customHeight="1">
      <c r="A435" s="20"/>
      <c r="B435" s="699" t="s">
        <v>462</v>
      </c>
      <c r="C435" s="724"/>
      <c r="D435" s="724"/>
      <c r="E435" s="725"/>
      <c r="F435" s="537">
        <f>2*X2</f>
        <v>1726</v>
      </c>
      <c r="G435" s="382">
        <f t="shared" ref="G435:G436" si="1101">+F435*$X$1</f>
        <v>1726</v>
      </c>
      <c r="H435" s="656">
        <f>F435+200</f>
        <v>1926</v>
      </c>
      <c r="I435" s="382">
        <f t="shared" si="1093"/>
        <v>1926</v>
      </c>
      <c r="J435" s="656">
        <f>F435+75</f>
        <v>1801</v>
      </c>
      <c r="K435" s="382">
        <f t="shared" si="1094"/>
        <v>1801</v>
      </c>
      <c r="L435" s="656">
        <f>F435+60</f>
        <v>1786</v>
      </c>
      <c r="M435" s="382">
        <f t="shared" si="1095"/>
        <v>1786</v>
      </c>
      <c r="N435" s="656">
        <f>F435+45</f>
        <v>1771</v>
      </c>
      <c r="O435" s="382">
        <f t="shared" si="1096"/>
        <v>1771</v>
      </c>
      <c r="P435" s="656">
        <f>F435+42</f>
        <v>1768</v>
      </c>
      <c r="Q435" s="382">
        <f t="shared" si="1097"/>
        <v>1768</v>
      </c>
      <c r="R435" s="656">
        <f>F435+39</f>
        <v>1765</v>
      </c>
      <c r="S435" s="382">
        <f t="shared" si="1098"/>
        <v>1765</v>
      </c>
      <c r="T435" s="656">
        <f>F435+35</f>
        <v>1761</v>
      </c>
      <c r="U435" s="382">
        <f t="shared" si="1099"/>
        <v>1761</v>
      </c>
      <c r="V435" s="656">
        <f>F435+30</f>
        <v>1756</v>
      </c>
      <c r="W435" s="382">
        <f t="shared" si="1100"/>
        <v>1756</v>
      </c>
      <c r="X435" s="695"/>
      <c r="Y435" s="729"/>
      <c r="Z435" s="729"/>
      <c r="AA435" s="696"/>
      <c r="AB435" s="221" t="s">
        <v>530</v>
      </c>
    </row>
    <row r="436" spans="1:29" ht="12.6" customHeight="1">
      <c r="A436" s="116"/>
      <c r="B436" s="930" t="s">
        <v>292</v>
      </c>
      <c r="C436" s="858"/>
      <c r="D436" s="858"/>
      <c r="E436" s="858"/>
      <c r="F436" s="451">
        <v>350</v>
      </c>
      <c r="G436" s="450">
        <f t="shared" si="1101"/>
        <v>350</v>
      </c>
      <c r="H436" s="655">
        <f>F436+200</f>
        <v>550</v>
      </c>
      <c r="I436" s="450">
        <f t="shared" ref="I436" si="1102">+H436*$X$1</f>
        <v>550</v>
      </c>
      <c r="J436" s="655">
        <f>F436+75</f>
        <v>425</v>
      </c>
      <c r="K436" s="450">
        <f t="shared" ref="K436" si="1103">+J436*$X$1</f>
        <v>425</v>
      </c>
      <c r="L436" s="655">
        <f>F436+60</f>
        <v>410</v>
      </c>
      <c r="M436" s="450">
        <f t="shared" ref="M436" si="1104">+L436*$X$1</f>
        <v>410</v>
      </c>
      <c r="N436" s="655"/>
      <c r="O436" s="450"/>
      <c r="P436" s="378"/>
      <c r="Q436" s="463"/>
      <c r="R436" s="530"/>
      <c r="S436" s="450"/>
      <c r="T436" s="127"/>
      <c r="U436" s="451"/>
      <c r="V436" s="127"/>
      <c r="W436" s="451"/>
      <c r="X436" s="695"/>
      <c r="Y436" s="695"/>
      <c r="Z436" s="695"/>
      <c r="AA436" s="695"/>
      <c r="AB436" s="616" t="s">
        <v>293</v>
      </c>
    </row>
    <row r="437" spans="1:29" ht="12.6" customHeight="1">
      <c r="A437" s="20"/>
      <c r="B437" s="699" t="s">
        <v>538</v>
      </c>
      <c r="C437" s="724"/>
      <c r="D437" s="724"/>
      <c r="E437" s="725"/>
      <c r="F437" s="449"/>
      <c r="G437" s="382"/>
      <c r="H437" s="102"/>
      <c r="I437" s="382"/>
      <c r="J437" s="102"/>
      <c r="K437" s="382"/>
      <c r="L437" s="102"/>
      <c r="M437" s="382"/>
      <c r="N437" s="102"/>
      <c r="O437" s="382"/>
      <c r="P437" s="102"/>
      <c r="Q437" s="382"/>
      <c r="R437" s="102"/>
      <c r="S437" s="382"/>
      <c r="T437" s="102"/>
      <c r="U437" s="382"/>
      <c r="V437" s="102"/>
      <c r="W437" s="382"/>
      <c r="X437" s="695"/>
      <c r="Y437" s="729"/>
      <c r="Z437" s="729"/>
      <c r="AA437" s="696"/>
      <c r="AB437" s="221" t="s">
        <v>539</v>
      </c>
    </row>
    <row r="438" spans="1:29" ht="12.6" customHeight="1">
      <c r="A438" s="20"/>
      <c r="B438" s="702" t="s">
        <v>612</v>
      </c>
      <c r="C438" s="703"/>
      <c r="D438" s="703"/>
      <c r="E438" s="704"/>
      <c r="F438" s="536">
        <f>1.77*X2</f>
        <v>1527.51</v>
      </c>
      <c r="G438" s="381">
        <f t="shared" ref="G438:G439" si="1105">+F438*$X$1</f>
        <v>1527.51</v>
      </c>
      <c r="H438" s="421">
        <f>F438+200</f>
        <v>1727.51</v>
      </c>
      <c r="I438" s="381">
        <f t="shared" ref="I438:I439" si="1106">+H438*$X$1</f>
        <v>1727.51</v>
      </c>
      <c r="J438" s="421">
        <f>F438+75</f>
        <v>1602.51</v>
      </c>
      <c r="K438" s="381">
        <f t="shared" ref="K438:K439" si="1107">+J438*$X$1</f>
        <v>1602.51</v>
      </c>
      <c r="L438" s="421">
        <f>F438+60</f>
        <v>1587.51</v>
      </c>
      <c r="M438" s="381">
        <f t="shared" ref="M438:M439" si="1108">+L438*$X$1</f>
        <v>1587.51</v>
      </c>
      <c r="N438" s="421">
        <f>F438+45</f>
        <v>1572.51</v>
      </c>
      <c r="O438" s="381">
        <f t="shared" ref="O438:O439" si="1109">+N438*$X$1</f>
        <v>1572.51</v>
      </c>
      <c r="P438" s="421">
        <f>F438+42</f>
        <v>1569.51</v>
      </c>
      <c r="Q438" s="381">
        <f t="shared" ref="Q438:Q439" si="1110">+P438*$X$1</f>
        <v>1569.51</v>
      </c>
      <c r="R438" s="421">
        <f>F438+39</f>
        <v>1566.51</v>
      </c>
      <c r="S438" s="381">
        <f t="shared" ref="S438:S439" si="1111">+R438*$X$1</f>
        <v>1566.51</v>
      </c>
      <c r="T438" s="421">
        <f>F438+35</f>
        <v>1562.51</v>
      </c>
      <c r="U438" s="381">
        <f t="shared" ref="U438:U439" si="1112">+T438*$X$1</f>
        <v>1562.51</v>
      </c>
      <c r="V438" s="421">
        <f>F438+30</f>
        <v>1557.51</v>
      </c>
      <c r="W438" s="381">
        <f t="shared" ref="W438:W439" si="1113">+V438*$X$1</f>
        <v>1557.51</v>
      </c>
      <c r="X438" s="695"/>
      <c r="Y438" s="729"/>
      <c r="Z438" s="729"/>
      <c r="AA438" s="696"/>
      <c r="AB438" s="221" t="s">
        <v>647</v>
      </c>
    </row>
    <row r="439" spans="1:29" ht="12.6" customHeight="1">
      <c r="A439" s="116"/>
      <c r="B439" s="709" t="s">
        <v>864</v>
      </c>
      <c r="C439" s="710"/>
      <c r="D439" s="710"/>
      <c r="E439" s="710"/>
      <c r="F439" s="537">
        <f>2.15*X2</f>
        <v>1855.4499999999998</v>
      </c>
      <c r="G439" s="382">
        <f t="shared" si="1105"/>
        <v>1855.4499999999998</v>
      </c>
      <c r="H439" s="658">
        <f t="shared" ref="H439" si="1114">F439+200</f>
        <v>2055.4499999999998</v>
      </c>
      <c r="I439" s="382">
        <f t="shared" si="1106"/>
        <v>2055.4499999999998</v>
      </c>
      <c r="J439" s="658">
        <f t="shared" ref="J439" si="1115">F439+75</f>
        <v>1930.4499999999998</v>
      </c>
      <c r="K439" s="382">
        <f t="shared" si="1107"/>
        <v>1930.4499999999998</v>
      </c>
      <c r="L439" s="658">
        <f t="shared" ref="L439" si="1116">F439+60</f>
        <v>1915.4499999999998</v>
      </c>
      <c r="M439" s="382">
        <f t="shared" si="1108"/>
        <v>1915.4499999999998</v>
      </c>
      <c r="N439" s="658">
        <f t="shared" ref="N439" si="1117">F439+45</f>
        <v>1900.4499999999998</v>
      </c>
      <c r="O439" s="382">
        <f t="shared" si="1109"/>
        <v>1900.4499999999998</v>
      </c>
      <c r="P439" s="658">
        <f t="shared" ref="P439" si="1118">F439+42</f>
        <v>1897.4499999999998</v>
      </c>
      <c r="Q439" s="382">
        <f t="shared" si="1110"/>
        <v>1897.4499999999998</v>
      </c>
      <c r="R439" s="658">
        <f t="shared" ref="R439" si="1119">F439+39</f>
        <v>1894.4499999999998</v>
      </c>
      <c r="S439" s="382">
        <f t="shared" si="1111"/>
        <v>1894.4499999999998</v>
      </c>
      <c r="T439" s="658">
        <f t="shared" ref="T439" si="1120">F439+35</f>
        <v>1890.4499999999998</v>
      </c>
      <c r="U439" s="382">
        <f t="shared" si="1112"/>
        <v>1890.4499999999998</v>
      </c>
      <c r="V439" s="658">
        <f t="shared" ref="V439" si="1121">F439+30</f>
        <v>1885.4499999999998</v>
      </c>
      <c r="W439" s="382">
        <f t="shared" si="1113"/>
        <v>1885.4499999999998</v>
      </c>
      <c r="X439" s="695"/>
      <c r="Y439" s="695"/>
      <c r="Z439" s="695"/>
      <c r="AA439" s="695"/>
      <c r="AB439" s="614" t="s">
        <v>865</v>
      </c>
      <c r="AC439" s="72"/>
    </row>
    <row r="440" spans="1:29" ht="12.6" customHeight="1">
      <c r="A440" s="116"/>
      <c r="B440" s="709" t="s">
        <v>860</v>
      </c>
      <c r="C440" s="710"/>
      <c r="D440" s="710"/>
      <c r="E440" s="710"/>
      <c r="F440" s="536">
        <f>4.75*X2</f>
        <v>4099.25</v>
      </c>
      <c r="G440" s="381">
        <f t="shared" ref="G440" si="1122">+F440*$X$1</f>
        <v>4099.25</v>
      </c>
      <c r="H440" s="421">
        <f t="shared" ref="H440" si="1123">F440+200</f>
        <v>4299.25</v>
      </c>
      <c r="I440" s="381">
        <f t="shared" ref="I440" si="1124">+H440*$X$1</f>
        <v>4299.25</v>
      </c>
      <c r="J440" s="421">
        <f t="shared" ref="J440" si="1125">F440+75</f>
        <v>4174.25</v>
      </c>
      <c r="K440" s="381">
        <f t="shared" ref="K440" si="1126">+J440*$X$1</f>
        <v>4174.25</v>
      </c>
      <c r="L440" s="421">
        <f t="shared" ref="L440" si="1127">F440+60</f>
        <v>4159.25</v>
      </c>
      <c r="M440" s="381">
        <f t="shared" ref="M440" si="1128">+L440*$X$1</f>
        <v>4159.25</v>
      </c>
      <c r="N440" s="421">
        <f t="shared" ref="N440" si="1129">F440+45</f>
        <v>4144.25</v>
      </c>
      <c r="O440" s="381">
        <f t="shared" ref="O440" si="1130">+N440*$X$1</f>
        <v>4144.25</v>
      </c>
      <c r="P440" s="421">
        <f t="shared" ref="P440" si="1131">F440+42</f>
        <v>4141.25</v>
      </c>
      <c r="Q440" s="381">
        <f t="shared" ref="Q440" si="1132">+P440*$X$1</f>
        <v>4141.25</v>
      </c>
      <c r="R440" s="421">
        <f t="shared" ref="R440" si="1133">F440+39</f>
        <v>4138.25</v>
      </c>
      <c r="S440" s="381">
        <f t="shared" ref="S440" si="1134">+R440*$X$1</f>
        <v>4138.25</v>
      </c>
      <c r="T440" s="421">
        <f t="shared" ref="T440" si="1135">F440+35</f>
        <v>4134.25</v>
      </c>
      <c r="U440" s="381">
        <f t="shared" ref="U440" si="1136">+T440*$X$1</f>
        <v>4134.25</v>
      </c>
      <c r="V440" s="421">
        <f t="shared" ref="V440" si="1137">F440+30</f>
        <v>4129.25</v>
      </c>
      <c r="W440" s="381">
        <f t="shared" ref="W440" si="1138">+V440*$X$1</f>
        <v>4129.25</v>
      </c>
      <c r="X440" s="695"/>
      <c r="Y440" s="695"/>
      <c r="Z440" s="695"/>
      <c r="AA440" s="695"/>
      <c r="AB440" s="614" t="s">
        <v>861</v>
      </c>
      <c r="AC440" s="72"/>
    </row>
    <row r="441" spans="1:29" ht="12.6" customHeight="1">
      <c r="A441" s="116"/>
      <c r="B441" s="709" t="s">
        <v>863</v>
      </c>
      <c r="C441" s="710"/>
      <c r="D441" s="710"/>
      <c r="E441" s="710"/>
      <c r="F441" s="537">
        <f>3.98*X2</f>
        <v>3434.74</v>
      </c>
      <c r="G441" s="382">
        <f>+F441*$X$1</f>
        <v>3434.74</v>
      </c>
      <c r="H441" s="658">
        <f t="shared" ref="H441" si="1139">F441+200</f>
        <v>3634.74</v>
      </c>
      <c r="I441" s="382">
        <f>+H441*$X$1</f>
        <v>3634.74</v>
      </c>
      <c r="J441" s="658">
        <f t="shared" ref="J441" si="1140">F441+75</f>
        <v>3509.74</v>
      </c>
      <c r="K441" s="382">
        <f>+J441*$X$1</f>
        <v>3509.74</v>
      </c>
      <c r="L441" s="658">
        <f t="shared" ref="L441" si="1141">F441+60</f>
        <v>3494.74</v>
      </c>
      <c r="M441" s="382">
        <f>+L441*$X$1</f>
        <v>3494.74</v>
      </c>
      <c r="N441" s="658">
        <f t="shared" ref="N441" si="1142">F441+45</f>
        <v>3479.74</v>
      </c>
      <c r="O441" s="382">
        <f>+N441*$X$1</f>
        <v>3479.74</v>
      </c>
      <c r="P441" s="658">
        <f t="shared" ref="P441" si="1143">F441+42</f>
        <v>3476.74</v>
      </c>
      <c r="Q441" s="382">
        <f>+P441*$X$1</f>
        <v>3476.74</v>
      </c>
      <c r="R441" s="658">
        <f t="shared" ref="R441" si="1144">F441+39</f>
        <v>3473.74</v>
      </c>
      <c r="S441" s="382">
        <f>+R441*$X$1</f>
        <v>3473.74</v>
      </c>
      <c r="T441" s="658">
        <f t="shared" ref="T441" si="1145">F441+35</f>
        <v>3469.74</v>
      </c>
      <c r="U441" s="382">
        <f>+T441*$X$1</f>
        <v>3469.74</v>
      </c>
      <c r="V441" s="658">
        <f t="shared" ref="V441" si="1146">F441+30</f>
        <v>3464.74</v>
      </c>
      <c r="W441" s="382">
        <f>+V441*$X$1</f>
        <v>3464.74</v>
      </c>
      <c r="X441" s="695"/>
      <c r="Y441" s="695"/>
      <c r="Z441" s="695"/>
      <c r="AA441" s="695"/>
      <c r="AB441" s="614" t="s">
        <v>862</v>
      </c>
      <c r="AC441" s="72"/>
    </row>
    <row r="442" spans="1:29" ht="12.6" customHeight="1">
      <c r="A442" s="116"/>
      <c r="B442" s="709" t="s">
        <v>848</v>
      </c>
      <c r="C442" s="710"/>
      <c r="D442" s="710"/>
      <c r="E442" s="710"/>
      <c r="F442" s="536">
        <f>4.836*X2</f>
        <v>4173.4679999999998</v>
      </c>
      <c r="G442" s="381">
        <f t="shared" ref="G442:G447" si="1147">+F442*$X$1</f>
        <v>4173.4679999999998</v>
      </c>
      <c r="H442" s="421">
        <f t="shared" ref="H442:H447" si="1148">F442+200</f>
        <v>4373.4679999999998</v>
      </c>
      <c r="I442" s="381">
        <f t="shared" ref="I442:I447" si="1149">+H442*$X$1</f>
        <v>4373.4679999999998</v>
      </c>
      <c r="J442" s="421">
        <f t="shared" ref="J442:J447" si="1150">F442+75</f>
        <v>4248.4679999999998</v>
      </c>
      <c r="K442" s="381">
        <f t="shared" ref="K442:K447" si="1151">+J442*$X$1</f>
        <v>4248.4679999999998</v>
      </c>
      <c r="L442" s="421">
        <f t="shared" ref="L442:L447" si="1152">F442+60</f>
        <v>4233.4679999999998</v>
      </c>
      <c r="M442" s="381">
        <f t="shared" ref="M442:M447" si="1153">+L442*$X$1</f>
        <v>4233.4679999999998</v>
      </c>
      <c r="N442" s="421">
        <f t="shared" ref="N442:N447" si="1154">F442+45</f>
        <v>4218.4679999999998</v>
      </c>
      <c r="O442" s="381">
        <f t="shared" ref="O442:O447" si="1155">+N442*$X$1</f>
        <v>4218.4679999999998</v>
      </c>
      <c r="P442" s="421">
        <f t="shared" ref="P442:P447" si="1156">F442+42</f>
        <v>4215.4679999999998</v>
      </c>
      <c r="Q442" s="381">
        <f t="shared" ref="Q442:Q447" si="1157">+P442*$X$1</f>
        <v>4215.4679999999998</v>
      </c>
      <c r="R442" s="421">
        <f t="shared" ref="R442:R447" si="1158">F442+39</f>
        <v>4212.4679999999998</v>
      </c>
      <c r="S442" s="381">
        <f t="shared" ref="S442:S447" si="1159">+R442*$X$1</f>
        <v>4212.4679999999998</v>
      </c>
      <c r="T442" s="421">
        <f t="shared" ref="T442:T447" si="1160">F442+35</f>
        <v>4208.4679999999998</v>
      </c>
      <c r="U442" s="381">
        <f t="shared" ref="U442:U447" si="1161">+T442*$X$1</f>
        <v>4208.4679999999998</v>
      </c>
      <c r="V442" s="421">
        <f t="shared" ref="V442:V447" si="1162">F442+30</f>
        <v>4203.4679999999998</v>
      </c>
      <c r="W442" s="381">
        <f t="shared" ref="W442:W447" si="1163">+V442*$X$1</f>
        <v>4203.4679999999998</v>
      </c>
      <c r="X442" s="695"/>
      <c r="Y442" s="695"/>
      <c r="Z442" s="695"/>
      <c r="AA442" s="695"/>
      <c r="AB442" s="614" t="s">
        <v>847</v>
      </c>
      <c r="AC442" s="72"/>
    </row>
    <row r="443" spans="1:29" ht="12.6" customHeight="1">
      <c r="A443" s="116"/>
      <c r="B443" s="709" t="s">
        <v>849</v>
      </c>
      <c r="C443" s="710"/>
      <c r="D443" s="710"/>
      <c r="E443" s="710"/>
      <c r="F443" s="537">
        <f>4.836*X2</f>
        <v>4173.4679999999998</v>
      </c>
      <c r="G443" s="382">
        <f t="shared" si="1147"/>
        <v>4173.4679999999998</v>
      </c>
      <c r="H443" s="656">
        <f t="shared" si="1148"/>
        <v>4373.4679999999998</v>
      </c>
      <c r="I443" s="382">
        <f t="shared" si="1149"/>
        <v>4373.4679999999998</v>
      </c>
      <c r="J443" s="656">
        <f t="shared" si="1150"/>
        <v>4248.4679999999998</v>
      </c>
      <c r="K443" s="382">
        <f t="shared" si="1151"/>
        <v>4248.4679999999998</v>
      </c>
      <c r="L443" s="656">
        <f t="shared" si="1152"/>
        <v>4233.4679999999998</v>
      </c>
      <c r="M443" s="382">
        <f t="shared" si="1153"/>
        <v>4233.4679999999998</v>
      </c>
      <c r="N443" s="656">
        <f t="shared" si="1154"/>
        <v>4218.4679999999998</v>
      </c>
      <c r="O443" s="382">
        <f t="shared" si="1155"/>
        <v>4218.4679999999998</v>
      </c>
      <c r="P443" s="656">
        <f t="shared" si="1156"/>
        <v>4215.4679999999998</v>
      </c>
      <c r="Q443" s="382">
        <f t="shared" si="1157"/>
        <v>4215.4679999999998</v>
      </c>
      <c r="R443" s="656">
        <f t="shared" si="1158"/>
        <v>4212.4679999999998</v>
      </c>
      <c r="S443" s="382">
        <f t="shared" si="1159"/>
        <v>4212.4679999999998</v>
      </c>
      <c r="T443" s="656">
        <f t="shared" si="1160"/>
        <v>4208.4679999999998</v>
      </c>
      <c r="U443" s="382">
        <f t="shared" si="1161"/>
        <v>4208.4679999999998</v>
      </c>
      <c r="V443" s="656">
        <f t="shared" si="1162"/>
        <v>4203.4679999999998</v>
      </c>
      <c r="W443" s="382">
        <f t="shared" si="1163"/>
        <v>4203.4679999999998</v>
      </c>
      <c r="X443" s="695"/>
      <c r="Y443" s="695"/>
      <c r="Z443" s="695"/>
      <c r="AA443" s="695"/>
      <c r="AB443" s="614" t="s">
        <v>846</v>
      </c>
      <c r="AC443" s="72"/>
    </row>
    <row r="444" spans="1:29" ht="12.6" customHeight="1">
      <c r="A444" s="116"/>
      <c r="B444" s="709" t="s">
        <v>853</v>
      </c>
      <c r="C444" s="710"/>
      <c r="D444" s="710"/>
      <c r="E444" s="710"/>
      <c r="F444" s="536">
        <f>4.836*X2</f>
        <v>4173.4679999999998</v>
      </c>
      <c r="G444" s="381">
        <f t="shared" si="1147"/>
        <v>4173.4679999999998</v>
      </c>
      <c r="H444" s="421">
        <f t="shared" si="1148"/>
        <v>4373.4679999999998</v>
      </c>
      <c r="I444" s="381">
        <f t="shared" si="1149"/>
        <v>4373.4679999999998</v>
      </c>
      <c r="J444" s="421">
        <f t="shared" si="1150"/>
        <v>4248.4679999999998</v>
      </c>
      <c r="K444" s="381">
        <f t="shared" si="1151"/>
        <v>4248.4679999999998</v>
      </c>
      <c r="L444" s="421">
        <f t="shared" si="1152"/>
        <v>4233.4679999999998</v>
      </c>
      <c r="M444" s="381">
        <f t="shared" si="1153"/>
        <v>4233.4679999999998</v>
      </c>
      <c r="N444" s="421">
        <f t="shared" si="1154"/>
        <v>4218.4679999999998</v>
      </c>
      <c r="O444" s="381">
        <f t="shared" si="1155"/>
        <v>4218.4679999999998</v>
      </c>
      <c r="P444" s="421">
        <f t="shared" si="1156"/>
        <v>4215.4679999999998</v>
      </c>
      <c r="Q444" s="381">
        <f t="shared" si="1157"/>
        <v>4215.4679999999998</v>
      </c>
      <c r="R444" s="421">
        <f t="shared" si="1158"/>
        <v>4212.4679999999998</v>
      </c>
      <c r="S444" s="381">
        <f t="shared" si="1159"/>
        <v>4212.4679999999998</v>
      </c>
      <c r="T444" s="421">
        <f t="shared" si="1160"/>
        <v>4208.4679999999998</v>
      </c>
      <c r="U444" s="381">
        <f t="shared" si="1161"/>
        <v>4208.4679999999998</v>
      </c>
      <c r="V444" s="421">
        <f t="shared" si="1162"/>
        <v>4203.4679999999998</v>
      </c>
      <c r="W444" s="381">
        <f t="shared" si="1163"/>
        <v>4203.4679999999998</v>
      </c>
      <c r="X444" s="695"/>
      <c r="Y444" s="695"/>
      <c r="Z444" s="695"/>
      <c r="AA444" s="695"/>
      <c r="AB444" s="614" t="s">
        <v>850</v>
      </c>
      <c r="AC444" s="72"/>
    </row>
    <row r="445" spans="1:29" ht="12.6" customHeight="1">
      <c r="A445" s="116"/>
      <c r="B445" s="709" t="s">
        <v>854</v>
      </c>
      <c r="C445" s="710"/>
      <c r="D445" s="710"/>
      <c r="E445" s="710"/>
      <c r="F445" s="537">
        <f>4.056*X2</f>
        <v>3500.328</v>
      </c>
      <c r="G445" s="382">
        <f t="shared" si="1147"/>
        <v>3500.328</v>
      </c>
      <c r="H445" s="656">
        <f t="shared" si="1148"/>
        <v>3700.328</v>
      </c>
      <c r="I445" s="382">
        <f t="shared" si="1149"/>
        <v>3700.328</v>
      </c>
      <c r="J445" s="656">
        <f t="shared" si="1150"/>
        <v>3575.328</v>
      </c>
      <c r="K445" s="382">
        <f t="shared" si="1151"/>
        <v>3575.328</v>
      </c>
      <c r="L445" s="656">
        <f t="shared" si="1152"/>
        <v>3560.328</v>
      </c>
      <c r="M445" s="382">
        <f t="shared" si="1153"/>
        <v>3560.328</v>
      </c>
      <c r="N445" s="656">
        <f t="shared" si="1154"/>
        <v>3545.328</v>
      </c>
      <c r="O445" s="382">
        <f t="shared" si="1155"/>
        <v>3545.328</v>
      </c>
      <c r="P445" s="656">
        <f t="shared" si="1156"/>
        <v>3542.328</v>
      </c>
      <c r="Q445" s="382">
        <f t="shared" si="1157"/>
        <v>3542.328</v>
      </c>
      <c r="R445" s="656">
        <f t="shared" si="1158"/>
        <v>3539.328</v>
      </c>
      <c r="S445" s="382">
        <f t="shared" si="1159"/>
        <v>3539.328</v>
      </c>
      <c r="T445" s="656">
        <f t="shared" si="1160"/>
        <v>3535.328</v>
      </c>
      <c r="U445" s="382">
        <f t="shared" si="1161"/>
        <v>3535.328</v>
      </c>
      <c r="V445" s="656">
        <f t="shared" si="1162"/>
        <v>3530.328</v>
      </c>
      <c r="W445" s="382">
        <f t="shared" si="1163"/>
        <v>3530.328</v>
      </c>
      <c r="X445" s="695"/>
      <c r="Y445" s="695"/>
      <c r="Z445" s="695"/>
      <c r="AA445" s="695"/>
      <c r="AB445" s="614" t="s">
        <v>851</v>
      </c>
      <c r="AC445" s="72"/>
    </row>
    <row r="446" spans="1:29" ht="12.6" customHeight="1">
      <c r="A446" s="116"/>
      <c r="B446" s="709" t="s">
        <v>855</v>
      </c>
      <c r="C446" s="710"/>
      <c r="D446" s="710"/>
      <c r="E446" s="710"/>
      <c r="F446" s="536">
        <f>4.056*X2</f>
        <v>3500.328</v>
      </c>
      <c r="G446" s="381">
        <f t="shared" si="1147"/>
        <v>3500.328</v>
      </c>
      <c r="H446" s="421">
        <f t="shared" si="1148"/>
        <v>3700.328</v>
      </c>
      <c r="I446" s="381">
        <f t="shared" si="1149"/>
        <v>3700.328</v>
      </c>
      <c r="J446" s="421">
        <f t="shared" si="1150"/>
        <v>3575.328</v>
      </c>
      <c r="K446" s="381">
        <f t="shared" si="1151"/>
        <v>3575.328</v>
      </c>
      <c r="L446" s="421">
        <f t="shared" si="1152"/>
        <v>3560.328</v>
      </c>
      <c r="M446" s="381">
        <f t="shared" si="1153"/>
        <v>3560.328</v>
      </c>
      <c r="N446" s="421">
        <f t="shared" si="1154"/>
        <v>3545.328</v>
      </c>
      <c r="O446" s="381">
        <f t="shared" si="1155"/>
        <v>3545.328</v>
      </c>
      <c r="P446" s="421">
        <f t="shared" si="1156"/>
        <v>3542.328</v>
      </c>
      <c r="Q446" s="381">
        <f t="shared" si="1157"/>
        <v>3542.328</v>
      </c>
      <c r="R446" s="421">
        <f t="shared" si="1158"/>
        <v>3539.328</v>
      </c>
      <c r="S446" s="381">
        <f t="shared" si="1159"/>
        <v>3539.328</v>
      </c>
      <c r="T446" s="421">
        <f t="shared" si="1160"/>
        <v>3535.328</v>
      </c>
      <c r="U446" s="381">
        <f t="shared" si="1161"/>
        <v>3535.328</v>
      </c>
      <c r="V446" s="421">
        <f t="shared" si="1162"/>
        <v>3530.328</v>
      </c>
      <c r="W446" s="381">
        <f t="shared" si="1163"/>
        <v>3530.328</v>
      </c>
      <c r="X446" s="695"/>
      <c r="Y446" s="695"/>
      <c r="Z446" s="695"/>
      <c r="AA446" s="695"/>
      <c r="AB446" s="614" t="s">
        <v>852</v>
      </c>
      <c r="AC446" s="72"/>
    </row>
    <row r="447" spans="1:29" ht="12.6" customHeight="1">
      <c r="A447" s="116"/>
      <c r="B447" s="709" t="s">
        <v>856</v>
      </c>
      <c r="C447" s="710"/>
      <c r="D447" s="710"/>
      <c r="E447" s="710"/>
      <c r="F447" s="537">
        <f>4.056*X2</f>
        <v>3500.328</v>
      </c>
      <c r="G447" s="382">
        <f t="shared" si="1147"/>
        <v>3500.328</v>
      </c>
      <c r="H447" s="656">
        <f t="shared" si="1148"/>
        <v>3700.328</v>
      </c>
      <c r="I447" s="382">
        <f t="shared" si="1149"/>
        <v>3700.328</v>
      </c>
      <c r="J447" s="656">
        <f t="shared" si="1150"/>
        <v>3575.328</v>
      </c>
      <c r="K447" s="382">
        <f t="shared" si="1151"/>
        <v>3575.328</v>
      </c>
      <c r="L447" s="656">
        <f t="shared" si="1152"/>
        <v>3560.328</v>
      </c>
      <c r="M447" s="382">
        <f t="shared" si="1153"/>
        <v>3560.328</v>
      </c>
      <c r="N447" s="656">
        <f t="shared" si="1154"/>
        <v>3545.328</v>
      </c>
      <c r="O447" s="382">
        <f t="shared" si="1155"/>
        <v>3545.328</v>
      </c>
      <c r="P447" s="656">
        <f t="shared" si="1156"/>
        <v>3542.328</v>
      </c>
      <c r="Q447" s="382">
        <f t="shared" si="1157"/>
        <v>3542.328</v>
      </c>
      <c r="R447" s="656">
        <f t="shared" si="1158"/>
        <v>3539.328</v>
      </c>
      <c r="S447" s="382">
        <f t="shared" si="1159"/>
        <v>3539.328</v>
      </c>
      <c r="T447" s="656">
        <f t="shared" si="1160"/>
        <v>3535.328</v>
      </c>
      <c r="U447" s="382">
        <f t="shared" si="1161"/>
        <v>3535.328</v>
      </c>
      <c r="V447" s="656">
        <f t="shared" si="1162"/>
        <v>3530.328</v>
      </c>
      <c r="W447" s="382">
        <f t="shared" si="1163"/>
        <v>3530.328</v>
      </c>
      <c r="X447" s="695"/>
      <c r="Y447" s="695"/>
      <c r="Z447" s="695"/>
      <c r="AA447" s="695"/>
      <c r="AB447" s="614" t="s">
        <v>857</v>
      </c>
      <c r="AC447" s="72"/>
    </row>
    <row r="448" spans="1:29" ht="12.6" customHeight="1">
      <c r="A448" s="20"/>
      <c r="B448" s="804" t="s">
        <v>294</v>
      </c>
      <c r="C448" s="805"/>
      <c r="D448" s="805"/>
      <c r="E448" s="805"/>
      <c r="F448" s="805"/>
      <c r="G448" s="805"/>
      <c r="H448" s="805"/>
      <c r="I448" s="805"/>
      <c r="J448" s="805"/>
      <c r="K448" s="805"/>
      <c r="L448" s="805"/>
      <c r="M448" s="805"/>
      <c r="N448" s="805"/>
      <c r="O448" s="805"/>
      <c r="P448" s="805"/>
      <c r="Q448" s="805"/>
      <c r="R448" s="805"/>
      <c r="S448" s="805"/>
      <c r="T448" s="805"/>
      <c r="U448" s="805"/>
      <c r="V448" s="805"/>
      <c r="W448" s="806"/>
      <c r="X448" s="813"/>
      <c r="Y448" s="814"/>
      <c r="Z448" s="814"/>
      <c r="AA448" s="814"/>
      <c r="AB448" s="645"/>
    </row>
    <row r="449" spans="1:28" ht="12.6" customHeight="1">
      <c r="A449" s="20"/>
      <c r="B449" s="730" t="s">
        <v>295</v>
      </c>
      <c r="C449" s="731"/>
      <c r="D449" s="731"/>
      <c r="E449" s="731"/>
      <c r="F449" s="577">
        <v>3645</v>
      </c>
      <c r="G449" s="382">
        <f t="shared" ref="G449:G455" si="1164">+F449*$X$1</f>
        <v>3645</v>
      </c>
      <c r="H449" s="370"/>
      <c r="I449" s="465"/>
      <c r="J449" s="529">
        <f>F449+66</f>
        <v>3711</v>
      </c>
      <c r="K449" s="382"/>
      <c r="L449" s="691">
        <f t="shared" ref="L449:L462" si="1165">F449+280</f>
        <v>3925</v>
      </c>
      <c r="M449" s="382">
        <f t="shared" ref="M449:M462" si="1166">+L449*$X$1</f>
        <v>3925</v>
      </c>
      <c r="N449" s="691">
        <f t="shared" ref="N449:N462" si="1167">F449+250</f>
        <v>3895</v>
      </c>
      <c r="O449" s="382">
        <f t="shared" ref="O449:O454" si="1168">+N449*$X$1</f>
        <v>3895</v>
      </c>
      <c r="P449" s="691">
        <f t="shared" ref="P449:P462" si="1169">F449+230</f>
        <v>3875</v>
      </c>
      <c r="Q449" s="382">
        <f t="shared" ref="Q449:Q454" si="1170">+P449*$X$1</f>
        <v>3875</v>
      </c>
      <c r="R449" s="691">
        <f t="shared" ref="R449:R462" si="1171">F449+210</f>
        <v>3855</v>
      </c>
      <c r="S449" s="382">
        <f t="shared" ref="S449:S454" si="1172">+R449*$X$1</f>
        <v>3855</v>
      </c>
      <c r="T449" s="691">
        <f t="shared" ref="T449:T462" si="1173">F449+190</f>
        <v>3835</v>
      </c>
      <c r="U449" s="382">
        <f t="shared" ref="U449:U454" si="1174">+T449*$X$1</f>
        <v>3835</v>
      </c>
      <c r="V449" s="98"/>
      <c r="W449" s="466"/>
      <c r="X449" s="168"/>
      <c r="Y449" s="150"/>
      <c r="Z449" s="150"/>
      <c r="AA449" s="150"/>
      <c r="AB449" s="221" t="s">
        <v>296</v>
      </c>
    </row>
    <row r="450" spans="1:28" ht="12.6" customHeight="1">
      <c r="A450" s="20"/>
      <c r="B450" s="737" t="s">
        <v>297</v>
      </c>
      <c r="C450" s="738"/>
      <c r="D450" s="738"/>
      <c r="E450" s="738"/>
      <c r="F450" s="686">
        <v>5234</v>
      </c>
      <c r="G450" s="381">
        <f t="shared" si="1164"/>
        <v>5234</v>
      </c>
      <c r="H450" s="377"/>
      <c r="I450" s="469"/>
      <c r="J450" s="421">
        <f>F450+66</f>
        <v>5300</v>
      </c>
      <c r="K450" s="381"/>
      <c r="L450" s="421">
        <f t="shared" si="1165"/>
        <v>5514</v>
      </c>
      <c r="M450" s="381">
        <f t="shared" si="1166"/>
        <v>5514</v>
      </c>
      <c r="N450" s="421">
        <f t="shared" si="1167"/>
        <v>5484</v>
      </c>
      <c r="O450" s="381">
        <f t="shared" si="1168"/>
        <v>5484</v>
      </c>
      <c r="P450" s="421">
        <f t="shared" si="1169"/>
        <v>5464</v>
      </c>
      <c r="Q450" s="381">
        <f t="shared" si="1170"/>
        <v>5464</v>
      </c>
      <c r="R450" s="421">
        <f t="shared" si="1171"/>
        <v>5444</v>
      </c>
      <c r="S450" s="381">
        <f t="shared" si="1172"/>
        <v>5444</v>
      </c>
      <c r="T450" s="421">
        <f t="shared" si="1173"/>
        <v>5424</v>
      </c>
      <c r="U450" s="381">
        <f t="shared" si="1174"/>
        <v>5424</v>
      </c>
      <c r="V450" s="78"/>
      <c r="W450" s="467"/>
      <c r="X450" s="168"/>
      <c r="Y450" s="150"/>
      <c r="Z450" s="150"/>
      <c r="AA450" s="150"/>
      <c r="AB450" s="645"/>
    </row>
    <row r="451" spans="1:28" ht="12.6" customHeight="1">
      <c r="A451" s="20"/>
      <c r="B451" s="713" t="s">
        <v>298</v>
      </c>
      <c r="C451" s="714"/>
      <c r="D451" s="714"/>
      <c r="E451" s="714"/>
      <c r="F451" s="438">
        <v>3992</v>
      </c>
      <c r="G451" s="382">
        <f t="shared" si="1164"/>
        <v>3992</v>
      </c>
      <c r="H451" s="370"/>
      <c r="I451" s="465"/>
      <c r="J451" s="529">
        <f>F451+80</f>
        <v>4072</v>
      </c>
      <c r="K451" s="382"/>
      <c r="L451" s="691">
        <f t="shared" si="1165"/>
        <v>4272</v>
      </c>
      <c r="M451" s="382">
        <f t="shared" si="1166"/>
        <v>4272</v>
      </c>
      <c r="N451" s="691">
        <f t="shared" si="1167"/>
        <v>4242</v>
      </c>
      <c r="O451" s="382">
        <f t="shared" si="1168"/>
        <v>4242</v>
      </c>
      <c r="P451" s="691">
        <f t="shared" si="1169"/>
        <v>4222</v>
      </c>
      <c r="Q451" s="382">
        <f t="shared" si="1170"/>
        <v>4222</v>
      </c>
      <c r="R451" s="691">
        <f t="shared" si="1171"/>
        <v>4202</v>
      </c>
      <c r="S451" s="382">
        <f t="shared" si="1172"/>
        <v>4202</v>
      </c>
      <c r="T451" s="691">
        <f t="shared" si="1173"/>
        <v>4182</v>
      </c>
      <c r="U451" s="382">
        <f t="shared" si="1174"/>
        <v>4182</v>
      </c>
      <c r="V451" s="98"/>
      <c r="W451" s="466"/>
      <c r="X451" s="168"/>
      <c r="Y451" s="150"/>
      <c r="Z451" s="150"/>
      <c r="AA451" s="150"/>
      <c r="AB451" s="221" t="s">
        <v>299</v>
      </c>
    </row>
    <row r="452" spans="1:28" ht="12.6" customHeight="1">
      <c r="A452" s="20"/>
      <c r="B452" s="737" t="s">
        <v>300</v>
      </c>
      <c r="C452" s="738"/>
      <c r="D452" s="738"/>
      <c r="E452" s="738"/>
      <c r="F452" s="686">
        <v>5793</v>
      </c>
      <c r="G452" s="381">
        <f t="shared" si="1164"/>
        <v>5793</v>
      </c>
      <c r="H452" s="377"/>
      <c r="I452" s="469"/>
      <c r="J452" s="421">
        <f>F452+80</f>
        <v>5873</v>
      </c>
      <c r="K452" s="381"/>
      <c r="L452" s="421">
        <f t="shared" si="1165"/>
        <v>6073</v>
      </c>
      <c r="M452" s="381">
        <f t="shared" si="1166"/>
        <v>6073</v>
      </c>
      <c r="N452" s="421">
        <f t="shared" si="1167"/>
        <v>6043</v>
      </c>
      <c r="O452" s="381">
        <f t="shared" si="1168"/>
        <v>6043</v>
      </c>
      <c r="P452" s="421">
        <f t="shared" si="1169"/>
        <v>6023</v>
      </c>
      <c r="Q452" s="381">
        <f t="shared" si="1170"/>
        <v>6023</v>
      </c>
      <c r="R452" s="421">
        <f t="shared" si="1171"/>
        <v>6003</v>
      </c>
      <c r="S452" s="381">
        <f t="shared" si="1172"/>
        <v>6003</v>
      </c>
      <c r="T452" s="421">
        <f t="shared" si="1173"/>
        <v>5983</v>
      </c>
      <c r="U452" s="381">
        <f t="shared" si="1174"/>
        <v>5983</v>
      </c>
      <c r="V452" s="44"/>
      <c r="W452" s="468"/>
      <c r="X452" s="168"/>
      <c r="Y452" s="150"/>
      <c r="Z452" s="150"/>
      <c r="AA452" s="150"/>
      <c r="AB452" s="645"/>
    </row>
    <row r="453" spans="1:28" ht="12.6" customHeight="1">
      <c r="A453" s="20"/>
      <c r="B453" s="713" t="s">
        <v>831</v>
      </c>
      <c r="C453" s="714"/>
      <c r="D453" s="714"/>
      <c r="E453" s="714"/>
      <c r="F453" s="438">
        <v>5024</v>
      </c>
      <c r="G453" s="382">
        <f t="shared" si="1164"/>
        <v>5024</v>
      </c>
      <c r="H453" s="370"/>
      <c r="I453" s="465"/>
      <c r="J453" s="529">
        <f>F453+66</f>
        <v>5090</v>
      </c>
      <c r="K453" s="382"/>
      <c r="L453" s="691">
        <f t="shared" si="1165"/>
        <v>5304</v>
      </c>
      <c r="M453" s="382">
        <f t="shared" si="1166"/>
        <v>5304</v>
      </c>
      <c r="N453" s="691">
        <f t="shared" si="1167"/>
        <v>5274</v>
      </c>
      <c r="O453" s="382">
        <f t="shared" si="1168"/>
        <v>5274</v>
      </c>
      <c r="P453" s="691">
        <f t="shared" si="1169"/>
        <v>5254</v>
      </c>
      <c r="Q453" s="382">
        <f t="shared" si="1170"/>
        <v>5254</v>
      </c>
      <c r="R453" s="691">
        <f t="shared" si="1171"/>
        <v>5234</v>
      </c>
      <c r="S453" s="382">
        <f t="shared" si="1172"/>
        <v>5234</v>
      </c>
      <c r="T453" s="691">
        <f t="shared" si="1173"/>
        <v>5214</v>
      </c>
      <c r="U453" s="382">
        <f t="shared" si="1174"/>
        <v>5214</v>
      </c>
      <c r="V453" s="98"/>
      <c r="W453" s="466"/>
      <c r="X453" s="168"/>
      <c r="Y453" s="150"/>
      <c r="Z453" s="150"/>
      <c r="AA453" s="150"/>
      <c r="AB453" s="221" t="s">
        <v>301</v>
      </c>
    </row>
    <row r="454" spans="1:28" ht="12.6" customHeight="1">
      <c r="A454" s="20"/>
      <c r="B454" s="822" t="s">
        <v>832</v>
      </c>
      <c r="C454" s="823"/>
      <c r="D454" s="823"/>
      <c r="E454" s="823"/>
      <c r="F454" s="439">
        <v>5618</v>
      </c>
      <c r="G454" s="381">
        <f t="shared" si="1164"/>
        <v>5618</v>
      </c>
      <c r="H454" s="377"/>
      <c r="I454" s="469"/>
      <c r="J454" s="421">
        <f>F454+80</f>
        <v>5698</v>
      </c>
      <c r="K454" s="381"/>
      <c r="L454" s="421">
        <f t="shared" si="1165"/>
        <v>5898</v>
      </c>
      <c r="M454" s="381">
        <f t="shared" si="1166"/>
        <v>5898</v>
      </c>
      <c r="N454" s="421">
        <f t="shared" si="1167"/>
        <v>5868</v>
      </c>
      <c r="O454" s="381">
        <f t="shared" si="1168"/>
        <v>5868</v>
      </c>
      <c r="P454" s="421">
        <f t="shared" si="1169"/>
        <v>5848</v>
      </c>
      <c r="Q454" s="381">
        <f t="shared" si="1170"/>
        <v>5848</v>
      </c>
      <c r="R454" s="421">
        <f t="shared" si="1171"/>
        <v>5828</v>
      </c>
      <c r="S454" s="381">
        <f t="shared" si="1172"/>
        <v>5828</v>
      </c>
      <c r="T454" s="421">
        <f t="shared" si="1173"/>
        <v>5808</v>
      </c>
      <c r="U454" s="381">
        <f t="shared" si="1174"/>
        <v>5808</v>
      </c>
      <c r="V454" s="44"/>
      <c r="W454" s="468"/>
      <c r="X454" s="168"/>
      <c r="Y454" s="150"/>
      <c r="Z454" s="150"/>
      <c r="AA454" s="150"/>
      <c r="AB454" s="221" t="s">
        <v>302</v>
      </c>
    </row>
    <row r="455" spans="1:28" ht="12.6" customHeight="1">
      <c r="A455" s="20"/>
      <c r="B455" s="713" t="s">
        <v>389</v>
      </c>
      <c r="C455" s="714"/>
      <c r="D455" s="714"/>
      <c r="E455" s="714"/>
      <c r="F455" s="537">
        <f>6.83*X2</f>
        <v>5894.29</v>
      </c>
      <c r="G455" s="382">
        <f t="shared" si="1164"/>
        <v>5894.29</v>
      </c>
      <c r="H455" s="691">
        <f t="shared" ref="H455:H462" si="1175">F455+400</f>
        <v>6294.29</v>
      </c>
      <c r="I455" s="382">
        <f t="shared" ref="I455:I462" si="1176">+H455*$X$1</f>
        <v>6294.29</v>
      </c>
      <c r="J455" s="691">
        <f t="shared" ref="J455:J462" si="1177">F455+320</f>
        <v>6214.29</v>
      </c>
      <c r="K455" s="382">
        <f t="shared" ref="K455:K462" si="1178">+J455*$X$1</f>
        <v>6214.29</v>
      </c>
      <c r="L455" s="691">
        <f t="shared" si="1165"/>
        <v>6174.29</v>
      </c>
      <c r="M455" s="382">
        <f t="shared" si="1166"/>
        <v>6174.29</v>
      </c>
      <c r="N455" s="691">
        <f t="shared" si="1167"/>
        <v>6144.29</v>
      </c>
      <c r="O455" s="382">
        <f t="shared" ref="O455:O462" si="1179">+N455*$X$1</f>
        <v>6144.29</v>
      </c>
      <c r="P455" s="691">
        <f t="shared" si="1169"/>
        <v>6124.29</v>
      </c>
      <c r="Q455" s="382">
        <f t="shared" ref="Q455:Q462" si="1180">+P455*$X$1</f>
        <v>6124.29</v>
      </c>
      <c r="R455" s="691">
        <f t="shared" si="1171"/>
        <v>6104.29</v>
      </c>
      <c r="S455" s="382">
        <f t="shared" ref="S455:S462" si="1181">+R455*$X$1</f>
        <v>6104.29</v>
      </c>
      <c r="T455" s="691">
        <f t="shared" si="1173"/>
        <v>6084.29</v>
      </c>
      <c r="U455" s="382">
        <f t="shared" ref="U455:U462" si="1182">+T455*$X$1</f>
        <v>6084.29</v>
      </c>
      <c r="V455" s="691">
        <f t="shared" ref="V455:V462" si="1183">F455+175</f>
        <v>6069.29</v>
      </c>
      <c r="W455" s="382">
        <f t="shared" ref="W455:W462" si="1184">+V455*$X$1</f>
        <v>6069.29</v>
      </c>
      <c r="X455" s="817"/>
      <c r="Y455" s="818"/>
      <c r="Z455" s="818"/>
      <c r="AA455" s="818"/>
      <c r="AB455" s="221" t="s">
        <v>303</v>
      </c>
    </row>
    <row r="456" spans="1:28" ht="12.6" customHeight="1">
      <c r="A456" s="20"/>
      <c r="B456" s="764" t="s">
        <v>634</v>
      </c>
      <c r="C456" s="703"/>
      <c r="D456" s="703"/>
      <c r="E456" s="704"/>
      <c r="F456" s="439">
        <v>2450</v>
      </c>
      <c r="G456" s="381">
        <f t="shared" ref="G456" si="1185">+F456*$X$1</f>
        <v>2450</v>
      </c>
      <c r="H456" s="421">
        <f t="shared" si="1175"/>
        <v>2850</v>
      </c>
      <c r="I456" s="381">
        <f t="shared" si="1176"/>
        <v>2850</v>
      </c>
      <c r="J456" s="421">
        <f t="shared" si="1177"/>
        <v>2770</v>
      </c>
      <c r="K456" s="381">
        <f t="shared" si="1178"/>
        <v>2770</v>
      </c>
      <c r="L456" s="421">
        <f t="shared" si="1165"/>
        <v>2730</v>
      </c>
      <c r="M456" s="381">
        <f t="shared" si="1166"/>
        <v>2730</v>
      </c>
      <c r="N456" s="421">
        <f t="shared" si="1167"/>
        <v>2700</v>
      </c>
      <c r="O456" s="381">
        <f t="shared" si="1179"/>
        <v>2700</v>
      </c>
      <c r="P456" s="421">
        <f t="shared" si="1169"/>
        <v>2680</v>
      </c>
      <c r="Q456" s="381">
        <f t="shared" si="1180"/>
        <v>2680</v>
      </c>
      <c r="R456" s="421">
        <f t="shared" si="1171"/>
        <v>2660</v>
      </c>
      <c r="S456" s="381">
        <f t="shared" si="1181"/>
        <v>2660</v>
      </c>
      <c r="T456" s="421">
        <f t="shared" si="1173"/>
        <v>2640</v>
      </c>
      <c r="U456" s="381">
        <f t="shared" si="1182"/>
        <v>2640</v>
      </c>
      <c r="V456" s="421">
        <f t="shared" si="1183"/>
        <v>2625</v>
      </c>
      <c r="W456" s="381">
        <f t="shared" si="1184"/>
        <v>2625</v>
      </c>
      <c r="X456" s="817"/>
      <c r="Y456" s="818"/>
      <c r="Z456" s="818"/>
      <c r="AA456" s="818"/>
      <c r="AB456" s="221" t="s">
        <v>550</v>
      </c>
    </row>
    <row r="457" spans="1:28" ht="12.6" customHeight="1">
      <c r="A457" s="20"/>
      <c r="B457" s="713" t="s">
        <v>459</v>
      </c>
      <c r="C457" s="714"/>
      <c r="D457" s="714"/>
      <c r="E457" s="714"/>
      <c r="F457" s="382">
        <v>3900</v>
      </c>
      <c r="G457" s="382">
        <f>+F457*$X$1</f>
        <v>3900</v>
      </c>
      <c r="H457" s="691">
        <f t="shared" si="1175"/>
        <v>4300</v>
      </c>
      <c r="I457" s="382">
        <f t="shared" si="1176"/>
        <v>4300</v>
      </c>
      <c r="J457" s="691">
        <f t="shared" si="1177"/>
        <v>4220</v>
      </c>
      <c r="K457" s="382">
        <f t="shared" si="1178"/>
        <v>4220</v>
      </c>
      <c r="L457" s="691">
        <f t="shared" si="1165"/>
        <v>4180</v>
      </c>
      <c r="M457" s="382">
        <f t="shared" si="1166"/>
        <v>4180</v>
      </c>
      <c r="N457" s="691">
        <f t="shared" si="1167"/>
        <v>4150</v>
      </c>
      <c r="O457" s="382">
        <f t="shared" si="1179"/>
        <v>4150</v>
      </c>
      <c r="P457" s="691">
        <f t="shared" si="1169"/>
        <v>4130</v>
      </c>
      <c r="Q457" s="382">
        <f t="shared" si="1180"/>
        <v>4130</v>
      </c>
      <c r="R457" s="691">
        <f t="shared" si="1171"/>
        <v>4110</v>
      </c>
      <c r="S457" s="382">
        <f t="shared" si="1181"/>
        <v>4110</v>
      </c>
      <c r="T457" s="691">
        <f t="shared" si="1173"/>
        <v>4090</v>
      </c>
      <c r="U457" s="382">
        <f t="shared" si="1182"/>
        <v>4090</v>
      </c>
      <c r="V457" s="691">
        <f t="shared" si="1183"/>
        <v>4075</v>
      </c>
      <c r="W457" s="382">
        <f t="shared" si="1184"/>
        <v>4075</v>
      </c>
      <c r="X457" s="792"/>
      <c r="Y457" s="793"/>
      <c r="Z457" s="793"/>
      <c r="AA457" s="794"/>
      <c r="AB457" s="221" t="s">
        <v>304</v>
      </c>
    </row>
    <row r="458" spans="1:28" ht="12.6" customHeight="1">
      <c r="A458" s="20"/>
      <c r="B458" s="1024" t="s">
        <v>458</v>
      </c>
      <c r="C458" s="1175"/>
      <c r="D458" s="1175"/>
      <c r="E458" s="1175"/>
      <c r="F458" s="381">
        <v>3900</v>
      </c>
      <c r="G458" s="381">
        <f t="shared" ref="G458" si="1186">+F458*$X$1</f>
        <v>3900</v>
      </c>
      <c r="H458" s="421">
        <f t="shared" si="1175"/>
        <v>4300</v>
      </c>
      <c r="I458" s="381">
        <f t="shared" si="1176"/>
        <v>4300</v>
      </c>
      <c r="J458" s="421">
        <f t="shared" si="1177"/>
        <v>4220</v>
      </c>
      <c r="K458" s="381">
        <f t="shared" si="1178"/>
        <v>4220</v>
      </c>
      <c r="L458" s="421">
        <f t="shared" si="1165"/>
        <v>4180</v>
      </c>
      <c r="M458" s="381">
        <f t="shared" si="1166"/>
        <v>4180</v>
      </c>
      <c r="N458" s="421">
        <f t="shared" si="1167"/>
        <v>4150</v>
      </c>
      <c r="O458" s="381">
        <f t="shared" si="1179"/>
        <v>4150</v>
      </c>
      <c r="P458" s="421">
        <f t="shared" si="1169"/>
        <v>4130</v>
      </c>
      <c r="Q458" s="381">
        <f t="shared" si="1180"/>
        <v>4130</v>
      </c>
      <c r="R458" s="421">
        <f t="shared" si="1171"/>
        <v>4110</v>
      </c>
      <c r="S458" s="381">
        <f t="shared" si="1181"/>
        <v>4110</v>
      </c>
      <c r="T458" s="421">
        <f t="shared" si="1173"/>
        <v>4090</v>
      </c>
      <c r="U458" s="381">
        <f t="shared" si="1182"/>
        <v>4090</v>
      </c>
      <c r="V458" s="421">
        <f t="shared" si="1183"/>
        <v>4075</v>
      </c>
      <c r="W458" s="381">
        <f t="shared" si="1184"/>
        <v>4075</v>
      </c>
      <c r="X458" s="817"/>
      <c r="Y458" s="818"/>
      <c r="Z458" s="818"/>
      <c r="AA458" s="818"/>
      <c r="AB458" s="221" t="s">
        <v>305</v>
      </c>
    </row>
    <row r="459" spans="1:28" ht="12.6" customHeight="1">
      <c r="A459" s="20"/>
      <c r="B459" s="1179" t="s">
        <v>675</v>
      </c>
      <c r="C459" s="724"/>
      <c r="D459" s="724"/>
      <c r="E459" s="725"/>
      <c r="F459" s="681">
        <v>2450</v>
      </c>
      <c r="G459" s="382">
        <f>+F459*$X$1</f>
        <v>2450</v>
      </c>
      <c r="H459" s="691">
        <f t="shared" si="1175"/>
        <v>2850</v>
      </c>
      <c r="I459" s="382">
        <f t="shared" si="1176"/>
        <v>2850</v>
      </c>
      <c r="J459" s="691">
        <f t="shared" si="1177"/>
        <v>2770</v>
      </c>
      <c r="K459" s="382">
        <f t="shared" si="1178"/>
        <v>2770</v>
      </c>
      <c r="L459" s="691">
        <f t="shared" si="1165"/>
        <v>2730</v>
      </c>
      <c r="M459" s="382">
        <f t="shared" si="1166"/>
        <v>2730</v>
      </c>
      <c r="N459" s="691">
        <f t="shared" si="1167"/>
        <v>2700</v>
      </c>
      <c r="O459" s="382">
        <f t="shared" si="1179"/>
        <v>2700</v>
      </c>
      <c r="P459" s="691">
        <f t="shared" si="1169"/>
        <v>2680</v>
      </c>
      <c r="Q459" s="382">
        <f t="shared" si="1180"/>
        <v>2680</v>
      </c>
      <c r="R459" s="691">
        <f t="shared" si="1171"/>
        <v>2660</v>
      </c>
      <c r="S459" s="382">
        <f t="shared" si="1181"/>
        <v>2660</v>
      </c>
      <c r="T459" s="691">
        <f t="shared" si="1173"/>
        <v>2640</v>
      </c>
      <c r="U459" s="382">
        <f t="shared" si="1182"/>
        <v>2640</v>
      </c>
      <c r="V459" s="691">
        <f t="shared" si="1183"/>
        <v>2625</v>
      </c>
      <c r="W459" s="382">
        <f t="shared" si="1184"/>
        <v>2625</v>
      </c>
      <c r="X459" s="817"/>
      <c r="Y459" s="818"/>
      <c r="Z459" s="818"/>
      <c r="AA459" s="818"/>
      <c r="AB459" s="32"/>
    </row>
    <row r="460" spans="1:28" ht="12.6" customHeight="1">
      <c r="A460" s="20"/>
      <c r="B460" s="697" t="s">
        <v>388</v>
      </c>
      <c r="C460" s="698"/>
      <c r="D460" s="698"/>
      <c r="E460" s="698"/>
      <c r="F460" s="381">
        <v>4900</v>
      </c>
      <c r="G460" s="381">
        <f>+F460*$X$1</f>
        <v>4900</v>
      </c>
      <c r="H460" s="421">
        <f t="shared" si="1175"/>
        <v>5300</v>
      </c>
      <c r="I460" s="381">
        <f t="shared" si="1176"/>
        <v>5300</v>
      </c>
      <c r="J460" s="421">
        <f t="shared" si="1177"/>
        <v>5220</v>
      </c>
      <c r="K460" s="381">
        <f t="shared" si="1178"/>
        <v>5220</v>
      </c>
      <c r="L460" s="421">
        <f t="shared" si="1165"/>
        <v>5180</v>
      </c>
      <c r="M460" s="381">
        <f t="shared" si="1166"/>
        <v>5180</v>
      </c>
      <c r="N460" s="421">
        <f t="shared" si="1167"/>
        <v>5150</v>
      </c>
      <c r="O460" s="381">
        <f t="shared" si="1179"/>
        <v>5150</v>
      </c>
      <c r="P460" s="421">
        <f t="shared" si="1169"/>
        <v>5130</v>
      </c>
      <c r="Q460" s="381">
        <f t="shared" si="1180"/>
        <v>5130</v>
      </c>
      <c r="R460" s="421">
        <f t="shared" si="1171"/>
        <v>5110</v>
      </c>
      <c r="S460" s="381">
        <f t="shared" si="1181"/>
        <v>5110</v>
      </c>
      <c r="T460" s="421">
        <f t="shared" si="1173"/>
        <v>5090</v>
      </c>
      <c r="U460" s="381">
        <f t="shared" si="1182"/>
        <v>5090</v>
      </c>
      <c r="V460" s="421">
        <f t="shared" si="1183"/>
        <v>5075</v>
      </c>
      <c r="W460" s="381">
        <f t="shared" si="1184"/>
        <v>5075</v>
      </c>
      <c r="X460" s="817"/>
      <c r="Y460" s="818"/>
      <c r="Z460" s="818"/>
      <c r="AA460" s="818"/>
      <c r="AB460" s="221" t="s">
        <v>306</v>
      </c>
    </row>
    <row r="461" spans="1:28" ht="12.6" customHeight="1">
      <c r="A461" s="20"/>
      <c r="B461" s="713" t="s">
        <v>833</v>
      </c>
      <c r="C461" s="826"/>
      <c r="D461" s="826"/>
      <c r="E461" s="826"/>
      <c r="F461" s="438">
        <v>11980</v>
      </c>
      <c r="G461" s="382">
        <f>+F461*$X$1</f>
        <v>11980</v>
      </c>
      <c r="H461" s="691">
        <f t="shared" si="1175"/>
        <v>12380</v>
      </c>
      <c r="I461" s="382">
        <f t="shared" si="1176"/>
        <v>12380</v>
      </c>
      <c r="J461" s="691">
        <f t="shared" si="1177"/>
        <v>12300</v>
      </c>
      <c r="K461" s="382">
        <f t="shared" si="1178"/>
        <v>12300</v>
      </c>
      <c r="L461" s="691">
        <f t="shared" si="1165"/>
        <v>12260</v>
      </c>
      <c r="M461" s="382">
        <f t="shared" si="1166"/>
        <v>12260</v>
      </c>
      <c r="N461" s="691">
        <f t="shared" si="1167"/>
        <v>12230</v>
      </c>
      <c r="O461" s="382">
        <f t="shared" si="1179"/>
        <v>12230</v>
      </c>
      <c r="P461" s="691">
        <f t="shared" si="1169"/>
        <v>12210</v>
      </c>
      <c r="Q461" s="382">
        <f t="shared" si="1180"/>
        <v>12210</v>
      </c>
      <c r="R461" s="691">
        <f t="shared" si="1171"/>
        <v>12190</v>
      </c>
      <c r="S461" s="382">
        <f t="shared" si="1181"/>
        <v>12190</v>
      </c>
      <c r="T461" s="691">
        <f t="shared" si="1173"/>
        <v>12170</v>
      </c>
      <c r="U461" s="382">
        <f t="shared" si="1182"/>
        <v>12170</v>
      </c>
      <c r="V461" s="691">
        <f t="shared" si="1183"/>
        <v>12155</v>
      </c>
      <c r="W461" s="382">
        <f t="shared" si="1184"/>
        <v>12155</v>
      </c>
      <c r="X461" s="169"/>
      <c r="Y461" s="154"/>
      <c r="Z461" s="154"/>
      <c r="AA461" s="157"/>
      <c r="AB461" s="221" t="s">
        <v>307</v>
      </c>
    </row>
    <row r="462" spans="1:28" ht="12.6" customHeight="1">
      <c r="A462" s="20"/>
      <c r="B462" s="697" t="s">
        <v>834</v>
      </c>
      <c r="C462" s="827"/>
      <c r="D462" s="827"/>
      <c r="E462" s="827"/>
      <c r="F462" s="439">
        <v>12943</v>
      </c>
      <c r="G462" s="381">
        <f t="shared" ref="G462" si="1187">+F462*$X$1</f>
        <v>12943</v>
      </c>
      <c r="H462" s="421">
        <f t="shared" si="1175"/>
        <v>13343</v>
      </c>
      <c r="I462" s="381">
        <f t="shared" si="1176"/>
        <v>13343</v>
      </c>
      <c r="J462" s="421">
        <f t="shared" si="1177"/>
        <v>13263</v>
      </c>
      <c r="K462" s="381">
        <f t="shared" si="1178"/>
        <v>13263</v>
      </c>
      <c r="L462" s="421">
        <f t="shared" si="1165"/>
        <v>13223</v>
      </c>
      <c r="M462" s="381">
        <f t="shared" si="1166"/>
        <v>13223</v>
      </c>
      <c r="N462" s="421">
        <f t="shared" si="1167"/>
        <v>13193</v>
      </c>
      <c r="O462" s="381">
        <f t="shared" si="1179"/>
        <v>13193</v>
      </c>
      <c r="P462" s="421">
        <f t="shared" si="1169"/>
        <v>13173</v>
      </c>
      <c r="Q462" s="381">
        <f t="shared" si="1180"/>
        <v>13173</v>
      </c>
      <c r="R462" s="421">
        <f t="shared" si="1171"/>
        <v>13153</v>
      </c>
      <c r="S462" s="381">
        <f t="shared" si="1181"/>
        <v>13153</v>
      </c>
      <c r="T462" s="421">
        <f t="shared" si="1173"/>
        <v>13133</v>
      </c>
      <c r="U462" s="381">
        <f t="shared" si="1182"/>
        <v>13133</v>
      </c>
      <c r="V462" s="421">
        <f t="shared" si="1183"/>
        <v>13118</v>
      </c>
      <c r="W462" s="381">
        <f t="shared" si="1184"/>
        <v>13118</v>
      </c>
      <c r="X462" s="169"/>
      <c r="Y462" s="154"/>
      <c r="Z462" s="154"/>
      <c r="AA462" s="157"/>
      <c r="AB462" s="221" t="s">
        <v>308</v>
      </c>
    </row>
    <row r="463" spans="1:28" ht="12.6" customHeight="1">
      <c r="A463" s="20"/>
      <c r="B463" s="730" t="s">
        <v>436</v>
      </c>
      <c r="C463" s="731"/>
      <c r="D463" s="731"/>
      <c r="E463" s="731"/>
      <c r="F463" s="426"/>
      <c r="G463" s="426"/>
      <c r="H463" s="399"/>
      <c r="I463" s="514"/>
      <c r="J463" s="529"/>
      <c r="K463" s="382"/>
      <c r="L463" s="529"/>
      <c r="M463" s="382"/>
      <c r="N463" s="529"/>
      <c r="O463" s="382"/>
      <c r="P463" s="529"/>
      <c r="Q463" s="382"/>
      <c r="R463" s="529"/>
      <c r="S463" s="382"/>
      <c r="T463" s="529"/>
      <c r="U463" s="382"/>
      <c r="V463" s="112"/>
      <c r="W463" s="426"/>
      <c r="X463" s="169"/>
      <c r="Y463" s="154"/>
      <c r="Z463" s="154"/>
      <c r="AA463" s="157"/>
      <c r="AB463" s="221" t="s">
        <v>309</v>
      </c>
    </row>
    <row r="464" spans="1:28" ht="12.6" customHeight="1">
      <c r="A464" s="20"/>
      <c r="B464" s="697" t="s">
        <v>310</v>
      </c>
      <c r="C464" s="698"/>
      <c r="D464" s="698"/>
      <c r="E464" s="698"/>
      <c r="F464" s="439">
        <v>8368</v>
      </c>
      <c r="G464" s="381">
        <f>+F464*$X$1</f>
        <v>8368</v>
      </c>
      <c r="H464" s="421">
        <f>F464+400</f>
        <v>8768</v>
      </c>
      <c r="I464" s="381">
        <f t="shared" ref="I464:I465" si="1188">+H464*$X$1</f>
        <v>8768</v>
      </c>
      <c r="J464" s="421">
        <f>F464+320</f>
        <v>8688</v>
      </c>
      <c r="K464" s="381">
        <f>+J464*$X$1</f>
        <v>8688</v>
      </c>
      <c r="L464" s="421">
        <f>F464+280</f>
        <v>8648</v>
      </c>
      <c r="M464" s="381">
        <f>+L464*$X$1</f>
        <v>8648</v>
      </c>
      <c r="N464" s="421">
        <f>F464+250</f>
        <v>8618</v>
      </c>
      <c r="O464" s="381">
        <f t="shared" ref="O464:O465" si="1189">+N464*$X$1</f>
        <v>8618</v>
      </c>
      <c r="P464" s="421">
        <f>F464+230</f>
        <v>8598</v>
      </c>
      <c r="Q464" s="381">
        <f t="shared" ref="Q464:Q465" si="1190">+P464*$X$1</f>
        <v>8598</v>
      </c>
      <c r="R464" s="421">
        <f>F464+210</f>
        <v>8578</v>
      </c>
      <c r="S464" s="381">
        <f t="shared" ref="S464:S465" si="1191">+R464*$X$1</f>
        <v>8578</v>
      </c>
      <c r="T464" s="421">
        <f>F464+190</f>
        <v>8558</v>
      </c>
      <c r="U464" s="381">
        <f t="shared" ref="U464:U465" si="1192">+T464*$X$1</f>
        <v>8558</v>
      </c>
      <c r="V464" s="421">
        <f>F464+175</f>
        <v>8543</v>
      </c>
      <c r="W464" s="381">
        <f t="shared" ref="W464:W465" si="1193">+V464*$X$1</f>
        <v>8543</v>
      </c>
      <c r="X464" s="169"/>
      <c r="Y464" s="154"/>
      <c r="Z464" s="154"/>
      <c r="AA464" s="157"/>
      <c r="AB464" s="221" t="s">
        <v>311</v>
      </c>
    </row>
    <row r="465" spans="1:34" ht="12.6" customHeight="1">
      <c r="A465" s="20"/>
      <c r="B465" s="713" t="s">
        <v>312</v>
      </c>
      <c r="C465" s="714"/>
      <c r="D465" s="714"/>
      <c r="E465" s="714"/>
      <c r="F465" s="438">
        <v>9332</v>
      </c>
      <c r="G465" s="382">
        <f>+F465*$X$1</f>
        <v>9332</v>
      </c>
      <c r="H465" s="691">
        <f>F465+400</f>
        <v>9732</v>
      </c>
      <c r="I465" s="382">
        <f t="shared" si="1188"/>
        <v>9732</v>
      </c>
      <c r="J465" s="691">
        <f>F465+320</f>
        <v>9652</v>
      </c>
      <c r="K465" s="382">
        <f>+J465*$X$1</f>
        <v>9652</v>
      </c>
      <c r="L465" s="691">
        <f>F465+280</f>
        <v>9612</v>
      </c>
      <c r="M465" s="382">
        <f>+L465*$X$1</f>
        <v>9612</v>
      </c>
      <c r="N465" s="691">
        <f>F465+250</f>
        <v>9582</v>
      </c>
      <c r="O465" s="382">
        <f t="shared" si="1189"/>
        <v>9582</v>
      </c>
      <c r="P465" s="691">
        <f>F465+230</f>
        <v>9562</v>
      </c>
      <c r="Q465" s="382">
        <f t="shared" si="1190"/>
        <v>9562</v>
      </c>
      <c r="R465" s="691">
        <f>F465+210</f>
        <v>9542</v>
      </c>
      <c r="S465" s="382">
        <f t="shared" si="1191"/>
        <v>9542</v>
      </c>
      <c r="T465" s="691">
        <f>F465+190</f>
        <v>9522</v>
      </c>
      <c r="U465" s="382">
        <f t="shared" si="1192"/>
        <v>9522</v>
      </c>
      <c r="V465" s="691">
        <f>F465+175</f>
        <v>9507</v>
      </c>
      <c r="W465" s="382">
        <f t="shared" si="1193"/>
        <v>9507</v>
      </c>
      <c r="X465" s="169"/>
      <c r="Y465" s="154"/>
      <c r="Z465" s="154"/>
      <c r="AA465" s="157"/>
      <c r="AB465" s="221" t="s">
        <v>313</v>
      </c>
    </row>
    <row r="466" spans="1:34" ht="12.6" customHeight="1">
      <c r="A466" s="20"/>
      <c r="B466" s="697" t="s">
        <v>582</v>
      </c>
      <c r="C466" s="698"/>
      <c r="D466" s="698"/>
      <c r="E466" s="698"/>
      <c r="F466" s="536"/>
      <c r="G466" s="381"/>
      <c r="H466" s="421"/>
      <c r="I466" s="381"/>
      <c r="J466" s="421"/>
      <c r="K466" s="381"/>
      <c r="L466" s="421"/>
      <c r="M466" s="381"/>
      <c r="N466" s="421"/>
      <c r="O466" s="381"/>
      <c r="P466" s="421"/>
      <c r="Q466" s="381"/>
      <c r="R466" s="421"/>
      <c r="S466" s="381"/>
      <c r="T466" s="421"/>
      <c r="U466" s="381"/>
      <c r="V466" s="421"/>
      <c r="W466" s="381"/>
      <c r="X466" s="792"/>
      <c r="Y466" s="793"/>
      <c r="Z466" s="793"/>
      <c r="AA466" s="794"/>
      <c r="AB466" s="221"/>
    </row>
    <row r="467" spans="1:34" ht="12.6" customHeight="1">
      <c r="A467" s="20"/>
      <c r="B467" s="713" t="s">
        <v>736</v>
      </c>
      <c r="C467" s="714"/>
      <c r="D467" s="714"/>
      <c r="E467" s="714"/>
      <c r="F467" s="537">
        <f>7.45*X2</f>
        <v>6429.35</v>
      </c>
      <c r="G467" s="382">
        <f t="shared" ref="G467" si="1194">+F467*$X$1</f>
        <v>6429.35</v>
      </c>
      <c r="H467" s="691">
        <f>F467+400</f>
        <v>6829.35</v>
      </c>
      <c r="I467" s="382">
        <f t="shared" ref="I467" si="1195">+H467*$X$1</f>
        <v>6829.35</v>
      </c>
      <c r="J467" s="691">
        <f>F467+320</f>
        <v>6749.35</v>
      </c>
      <c r="K467" s="382">
        <f>+J467*$X$1</f>
        <v>6749.35</v>
      </c>
      <c r="L467" s="691">
        <f>F467+280</f>
        <v>6709.35</v>
      </c>
      <c r="M467" s="382">
        <f>+L467*$X$1</f>
        <v>6709.35</v>
      </c>
      <c r="N467" s="691">
        <f>F467+250</f>
        <v>6679.35</v>
      </c>
      <c r="O467" s="382">
        <f t="shared" ref="O467" si="1196">+N467*$X$1</f>
        <v>6679.35</v>
      </c>
      <c r="P467" s="691">
        <f>F467+230</f>
        <v>6659.35</v>
      </c>
      <c r="Q467" s="382">
        <f t="shared" ref="Q467" si="1197">+P467*$X$1</f>
        <v>6659.35</v>
      </c>
      <c r="R467" s="691">
        <f>F467+210</f>
        <v>6639.35</v>
      </c>
      <c r="S467" s="382">
        <f t="shared" ref="S467" si="1198">+R467*$X$1</f>
        <v>6639.35</v>
      </c>
      <c r="T467" s="691">
        <f>F467+190</f>
        <v>6619.35</v>
      </c>
      <c r="U467" s="382">
        <f t="shared" ref="U467" si="1199">+T467*$X$1</f>
        <v>6619.35</v>
      </c>
      <c r="V467" s="691">
        <f>F467+175</f>
        <v>6604.35</v>
      </c>
      <c r="W467" s="382">
        <f t="shared" ref="W467" si="1200">+V467*$X$1</f>
        <v>6604.35</v>
      </c>
      <c r="X467" s="792"/>
      <c r="Y467" s="793"/>
      <c r="Z467" s="793"/>
      <c r="AA467" s="794"/>
      <c r="AB467" s="221" t="s">
        <v>581</v>
      </c>
    </row>
    <row r="468" spans="1:34" ht="12.6" customHeight="1">
      <c r="A468" s="20"/>
      <c r="B468" s="697" t="s">
        <v>731</v>
      </c>
      <c r="C468" s="698"/>
      <c r="D468" s="698"/>
      <c r="E468" s="698"/>
      <c r="F468" s="536">
        <v>2745</v>
      </c>
      <c r="G468" s="381">
        <f t="shared" ref="G468" si="1201">+F468*$X$1</f>
        <v>2745</v>
      </c>
      <c r="H468" s="421">
        <f>F468+150</f>
        <v>2895</v>
      </c>
      <c r="I468" s="381">
        <f t="shared" ref="I468:I469" si="1202">+H468*$X$1</f>
        <v>2895</v>
      </c>
      <c r="J468" s="421">
        <f>F468+100</f>
        <v>2845</v>
      </c>
      <c r="K468" s="381">
        <f t="shared" ref="K468" si="1203">+J468*$X$1</f>
        <v>2845</v>
      </c>
      <c r="L468" s="421">
        <f>F468+85</f>
        <v>2830</v>
      </c>
      <c r="M468" s="381">
        <f t="shared" ref="M468" si="1204">+L468*$X$1</f>
        <v>2830</v>
      </c>
      <c r="N468" s="421">
        <f>F468+75</f>
        <v>2820</v>
      </c>
      <c r="O468" s="381">
        <f>+N468*$X$1</f>
        <v>2820</v>
      </c>
      <c r="P468" s="421">
        <f>F468+70</f>
        <v>2815</v>
      </c>
      <c r="Q468" s="381">
        <f t="shared" ref="Q468:Q470" si="1205">+P468*$X$1</f>
        <v>2815</v>
      </c>
      <c r="R468" s="421">
        <f>F468+66</f>
        <v>2811</v>
      </c>
      <c r="S468" s="381">
        <f t="shared" ref="S468:S470" si="1206">+R468*$X$1</f>
        <v>2811</v>
      </c>
      <c r="T468" s="421">
        <f>F468+61</f>
        <v>2806</v>
      </c>
      <c r="U468" s="381">
        <f t="shared" ref="U468:U470" si="1207">+T468*$X$1</f>
        <v>2806</v>
      </c>
      <c r="V468" s="421">
        <f>F468+55</f>
        <v>2800</v>
      </c>
      <c r="W468" s="381">
        <f t="shared" ref="W468:W470" si="1208">+V468*$X$1</f>
        <v>2800</v>
      </c>
      <c r="X468" s="792"/>
      <c r="Y468" s="793"/>
      <c r="Z468" s="793"/>
      <c r="AA468" s="794"/>
      <c r="AB468" s="221" t="s">
        <v>314</v>
      </c>
    </row>
    <row r="469" spans="1:34" ht="12.6" customHeight="1">
      <c r="A469" s="20"/>
      <c r="B469" s="713" t="s">
        <v>840</v>
      </c>
      <c r="C469" s="714"/>
      <c r="D469" s="714"/>
      <c r="E469" s="714"/>
      <c r="F469" s="537">
        <v>2745</v>
      </c>
      <c r="G469" s="382">
        <f t="shared" ref="G469" si="1209">+F469*$X$1</f>
        <v>2745</v>
      </c>
      <c r="H469" s="691">
        <f>F469+400</f>
        <v>3145</v>
      </c>
      <c r="I469" s="382">
        <f t="shared" si="1202"/>
        <v>3145</v>
      </c>
      <c r="J469" s="691">
        <f>F469+320</f>
        <v>3065</v>
      </c>
      <c r="K469" s="382">
        <f>+J469*$X$1</f>
        <v>3065</v>
      </c>
      <c r="L469" s="691">
        <f>F469+280</f>
        <v>3025</v>
      </c>
      <c r="M469" s="382">
        <f>+L469*$X$1</f>
        <v>3025</v>
      </c>
      <c r="N469" s="691">
        <f>F469+250</f>
        <v>2995</v>
      </c>
      <c r="O469" s="382">
        <f t="shared" ref="O469" si="1210">+N469*$X$1</f>
        <v>2995</v>
      </c>
      <c r="P469" s="691">
        <f>F469+230</f>
        <v>2975</v>
      </c>
      <c r="Q469" s="382">
        <f t="shared" ref="Q469" si="1211">+P469*$X$1</f>
        <v>2975</v>
      </c>
      <c r="R469" s="691">
        <f>F469+210</f>
        <v>2955</v>
      </c>
      <c r="S469" s="382">
        <f t="shared" ref="S469" si="1212">+R469*$X$1</f>
        <v>2955</v>
      </c>
      <c r="T469" s="691">
        <f>F469+190</f>
        <v>2935</v>
      </c>
      <c r="U469" s="382">
        <f t="shared" ref="U469" si="1213">+T469*$X$1</f>
        <v>2935</v>
      </c>
      <c r="V469" s="691">
        <f>F469+175</f>
        <v>2920</v>
      </c>
      <c r="W469" s="382">
        <f t="shared" ref="W469" si="1214">+V469*$X$1</f>
        <v>2920</v>
      </c>
      <c r="X469" s="792"/>
      <c r="Y469" s="793"/>
      <c r="Z469" s="793"/>
      <c r="AA469" s="794"/>
      <c r="AB469" s="221" t="s">
        <v>841</v>
      </c>
    </row>
    <row r="470" spans="1:34" ht="12.6" customHeight="1">
      <c r="A470" s="20"/>
      <c r="B470" s="697" t="s">
        <v>473</v>
      </c>
      <c r="C470" s="919"/>
      <c r="D470" s="919"/>
      <c r="E470" s="919"/>
      <c r="F470" s="381">
        <f>3.116*X2</f>
        <v>2689.1080000000002</v>
      </c>
      <c r="G470" s="381">
        <f t="shared" ref="G470" si="1215">+F470*$X$1</f>
        <v>2689.1080000000002</v>
      </c>
      <c r="H470" s="421">
        <f>F470+400</f>
        <v>3089.1080000000002</v>
      </c>
      <c r="I470" s="381">
        <f t="shared" ref="I470" si="1216">+H470*$X$1</f>
        <v>3089.1080000000002</v>
      </c>
      <c r="J470" s="421">
        <f>F470+320</f>
        <v>3009.1080000000002</v>
      </c>
      <c r="K470" s="381">
        <f>+J470*$X$1</f>
        <v>3009.1080000000002</v>
      </c>
      <c r="L470" s="421">
        <f>F470+280</f>
        <v>2969.1080000000002</v>
      </c>
      <c r="M470" s="381">
        <f>+L470*$X$1</f>
        <v>2969.1080000000002</v>
      </c>
      <c r="N470" s="421">
        <f>F470+250</f>
        <v>2939.1080000000002</v>
      </c>
      <c r="O470" s="381">
        <f t="shared" ref="O470" si="1217">+N470*$X$1</f>
        <v>2939.1080000000002</v>
      </c>
      <c r="P470" s="421">
        <f>F470+230</f>
        <v>2919.1080000000002</v>
      </c>
      <c r="Q470" s="381">
        <f t="shared" si="1205"/>
        <v>2919.1080000000002</v>
      </c>
      <c r="R470" s="421">
        <f>F470+210</f>
        <v>2899.1080000000002</v>
      </c>
      <c r="S470" s="381">
        <f t="shared" si="1206"/>
        <v>2899.1080000000002</v>
      </c>
      <c r="T470" s="421">
        <f>F470+190</f>
        <v>2879.1080000000002</v>
      </c>
      <c r="U470" s="381">
        <f t="shared" si="1207"/>
        <v>2879.1080000000002</v>
      </c>
      <c r="V470" s="421">
        <f>F470+175</f>
        <v>2864.1080000000002</v>
      </c>
      <c r="W470" s="381">
        <f t="shared" si="1208"/>
        <v>2864.1080000000002</v>
      </c>
      <c r="X470" s="792"/>
      <c r="Y470" s="793"/>
      <c r="Z470" s="793"/>
      <c r="AA470" s="794"/>
      <c r="AB470" s="221" t="s">
        <v>575</v>
      </c>
    </row>
    <row r="471" spans="1:34" ht="12.6" customHeight="1">
      <c r="A471" s="116"/>
      <c r="B471" s="267"/>
      <c r="C471" s="69"/>
      <c r="D471" s="69"/>
      <c r="E471" s="69"/>
      <c r="F471" s="148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270"/>
      <c r="Y471" s="271"/>
      <c r="Z471" s="271"/>
      <c r="AA471" s="270"/>
      <c r="AB471" s="46"/>
      <c r="AC471" s="72"/>
    </row>
    <row r="472" spans="1:34" ht="12.6" customHeight="1">
      <c r="A472" s="116"/>
      <c r="B472" s="267"/>
      <c r="C472" s="69"/>
      <c r="D472" s="69"/>
      <c r="E472" s="69"/>
      <c r="F472" s="148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270"/>
      <c r="Y472" s="271"/>
      <c r="Z472" s="271"/>
      <c r="AA472" s="270"/>
      <c r="AB472" s="46"/>
      <c r="AC472" s="72"/>
    </row>
    <row r="473" spans="1:34" ht="12.6" customHeight="1">
      <c r="A473" s="116"/>
      <c r="B473" s="267"/>
      <c r="C473" s="69"/>
      <c r="D473" s="69"/>
      <c r="E473" s="69"/>
      <c r="F473" s="148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270"/>
      <c r="Y473" s="271"/>
      <c r="Z473" s="271"/>
      <c r="AA473" s="270"/>
      <c r="AB473" s="46"/>
      <c r="AC473" s="72"/>
    </row>
    <row r="474" spans="1:34" ht="12.6" customHeight="1">
      <c r="A474" s="116"/>
      <c r="B474" s="267"/>
      <c r="C474" s="69"/>
      <c r="D474" s="69"/>
      <c r="E474" s="69"/>
      <c r="F474" s="148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270"/>
      <c r="Y474" s="271"/>
      <c r="Z474" s="271"/>
      <c r="AA474" s="270"/>
      <c r="AB474" s="46"/>
      <c r="AC474" s="72"/>
    </row>
    <row r="475" spans="1:34" ht="12.6" customHeight="1">
      <c r="A475" s="116"/>
      <c r="B475" s="267"/>
      <c r="C475" s="69"/>
      <c r="D475" s="69"/>
      <c r="E475" s="69"/>
      <c r="F475" s="148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270"/>
      <c r="Y475" s="271"/>
      <c r="Z475" s="271"/>
      <c r="AA475" s="270"/>
      <c r="AB475" s="46"/>
      <c r="AC475" s="72"/>
    </row>
    <row r="476" spans="1:34" ht="12.6" customHeight="1">
      <c r="A476" s="116"/>
      <c r="B476" s="267"/>
      <c r="C476" s="69"/>
      <c r="D476" s="69"/>
      <c r="E476" s="69"/>
      <c r="F476" s="148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270"/>
      <c r="Y476" s="271"/>
      <c r="Z476" s="271"/>
      <c r="AA476" s="270"/>
      <c r="AB476" s="46"/>
      <c r="AC476" s="72"/>
    </row>
    <row r="477" spans="1:34" ht="12.6" customHeight="1">
      <c r="A477" s="116"/>
      <c r="B477" s="267"/>
      <c r="C477" s="69"/>
      <c r="D477" s="69"/>
      <c r="E477" s="69"/>
      <c r="F477" s="148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270"/>
      <c r="Y477" s="271"/>
      <c r="Z477" s="271"/>
      <c r="AA477" s="270"/>
      <c r="AB477" s="46"/>
      <c r="AC477" s="72"/>
    </row>
    <row r="478" spans="1:34" ht="12.6" customHeight="1" thickBot="1">
      <c r="A478" s="116"/>
      <c r="B478" s="267"/>
      <c r="C478" s="69"/>
      <c r="D478" s="69"/>
      <c r="E478" s="69"/>
      <c r="F478" s="148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270"/>
      <c r="Y478" s="271"/>
      <c r="Z478" s="271"/>
      <c r="AA478" s="270"/>
      <c r="AB478" s="46"/>
      <c r="AC478" s="72"/>
    </row>
    <row r="479" spans="1:34" ht="15" customHeight="1" thickBot="1">
      <c r="B479" s="810" t="s">
        <v>622</v>
      </c>
      <c r="C479" s="811"/>
      <c r="D479" s="811"/>
      <c r="E479" s="811"/>
      <c r="F479" s="811"/>
      <c r="G479" s="811"/>
      <c r="H479" s="811"/>
      <c r="I479" s="811"/>
      <c r="J479" s="811"/>
      <c r="K479" s="811"/>
      <c r="L479" s="811"/>
      <c r="M479" s="811"/>
      <c r="N479" s="811"/>
      <c r="O479" s="811"/>
      <c r="P479" s="811"/>
      <c r="Q479" s="811"/>
      <c r="R479" s="811"/>
      <c r="S479" s="811"/>
      <c r="T479" s="811"/>
      <c r="U479" s="811"/>
      <c r="V479" s="811"/>
      <c r="W479" s="812"/>
      <c r="AB479" s="4"/>
      <c r="AF479" s="815"/>
      <c r="AG479" s="816"/>
      <c r="AH479" s="816"/>
    </row>
    <row r="480" spans="1:34" ht="13.5" customHeight="1">
      <c r="B480" s="772" t="s">
        <v>11</v>
      </c>
      <c r="C480" s="774" t="s">
        <v>12</v>
      </c>
      <c r="D480" s="775"/>
      <c r="E480" s="775"/>
      <c r="F480" s="787" t="s">
        <v>315</v>
      </c>
      <c r="G480" s="787" t="s">
        <v>13</v>
      </c>
      <c r="H480" s="828" t="s">
        <v>528</v>
      </c>
      <c r="I480" s="828"/>
      <c r="J480" s="829"/>
      <c r="K480" s="829"/>
      <c r="L480" s="829"/>
      <c r="M480" s="829"/>
      <c r="N480" s="829"/>
      <c r="O480" s="829"/>
      <c r="P480" s="829"/>
      <c r="Q480" s="829"/>
      <c r="R480" s="829"/>
      <c r="S480" s="829"/>
      <c r="T480" s="829"/>
      <c r="U480" s="829"/>
      <c r="V480" s="829"/>
      <c r="W480" s="830"/>
      <c r="X480" s="777" t="s">
        <v>15</v>
      </c>
      <c r="Y480" s="778"/>
      <c r="Z480" s="778"/>
      <c r="AA480" s="778"/>
      <c r="AB480" s="831" t="s">
        <v>16</v>
      </c>
      <c r="AF480" s="815"/>
      <c r="AG480" s="816"/>
      <c r="AH480" s="816"/>
    </row>
    <row r="481" spans="1:28" ht="12.75" customHeight="1" thickBot="1">
      <c r="B481" s="773"/>
      <c r="C481" s="776"/>
      <c r="D481" s="776"/>
      <c r="E481" s="776"/>
      <c r="F481" s="788"/>
      <c r="G481" s="788"/>
      <c r="H481" s="328"/>
      <c r="I481" s="326" t="s">
        <v>707</v>
      </c>
      <c r="J481" s="328"/>
      <c r="K481" s="326" t="s">
        <v>317</v>
      </c>
      <c r="L481" s="328"/>
      <c r="M481" s="326" t="s">
        <v>318</v>
      </c>
      <c r="N481" s="328"/>
      <c r="O481" s="326" t="s">
        <v>728</v>
      </c>
      <c r="P481" s="328"/>
      <c r="Q481" s="326" t="s">
        <v>18</v>
      </c>
      <c r="R481" s="328"/>
      <c r="S481" s="326" t="s">
        <v>19</v>
      </c>
      <c r="T481" s="328"/>
      <c r="U481" s="326" t="s">
        <v>20</v>
      </c>
      <c r="V481" s="328"/>
      <c r="W481" s="326" t="s">
        <v>729</v>
      </c>
      <c r="X481" s="779"/>
      <c r="Y481" s="780"/>
      <c r="Z481" s="780"/>
      <c r="AA481" s="780"/>
      <c r="AB481" s="832"/>
    </row>
    <row r="482" spans="1:28" ht="12.6" customHeight="1">
      <c r="A482" s="4"/>
      <c r="B482" s="732" t="s">
        <v>882</v>
      </c>
      <c r="C482" s="733"/>
      <c r="D482" s="733"/>
      <c r="E482" s="733"/>
      <c r="F482" s="542">
        <f>17.96*X2</f>
        <v>15499.480000000001</v>
      </c>
      <c r="G482" s="410">
        <f t="shared" ref="G482" si="1218">+F482*$X$1</f>
        <v>15499.480000000001</v>
      </c>
      <c r="H482" s="113">
        <f>F482+2000</f>
        <v>17499.480000000003</v>
      </c>
      <c r="I482" s="410">
        <f t="shared" ref="I482" si="1219">+H482*$X$1</f>
        <v>17499.480000000003</v>
      </c>
      <c r="J482" s="113">
        <f>F482+500</f>
        <v>15999.480000000001</v>
      </c>
      <c r="K482" s="410">
        <f t="shared" ref="K482" si="1220">+J482*$X$1</f>
        <v>15999.480000000001</v>
      </c>
      <c r="L482" s="113">
        <f>F482+460</f>
        <v>15959.480000000001</v>
      </c>
      <c r="M482" s="410">
        <f t="shared" ref="M482" si="1221">+L482*$X$1</f>
        <v>15959.480000000001</v>
      </c>
      <c r="N482" s="113">
        <f>F482+430</f>
        <v>15929.480000000001</v>
      </c>
      <c r="O482" s="410">
        <f t="shared" ref="O482" si="1222">+N482*$X$1</f>
        <v>15929.480000000001</v>
      </c>
      <c r="P482" s="113">
        <f>F482+400</f>
        <v>15899.480000000001</v>
      </c>
      <c r="Q482" s="410">
        <f t="shared" ref="Q482" si="1223">+P482*$X$1</f>
        <v>15899.480000000001</v>
      </c>
      <c r="R482" s="113">
        <f>F482+380</f>
        <v>15879.480000000001</v>
      </c>
      <c r="S482" s="410">
        <f t="shared" ref="S482" si="1224">+R482*$X$1</f>
        <v>15879.480000000001</v>
      </c>
      <c r="T482" s="113">
        <f>F482+350</f>
        <v>15849.480000000001</v>
      </c>
      <c r="U482" s="410">
        <f t="shared" ref="U482" si="1225">+T482*$X$1</f>
        <v>15849.480000000001</v>
      </c>
      <c r="V482" s="113">
        <f>F482+320</f>
        <v>15819.480000000001</v>
      </c>
      <c r="W482" s="410">
        <f t="shared" ref="W482" si="1226">+V482*$X$1</f>
        <v>15819.480000000001</v>
      </c>
      <c r="X482" s="159"/>
      <c r="Y482" s="154"/>
      <c r="Z482" s="160"/>
      <c r="AA482" s="161"/>
      <c r="AB482" s="614">
        <v>876</v>
      </c>
    </row>
    <row r="483" spans="1:28" ht="12.6" customHeight="1">
      <c r="A483" s="4"/>
      <c r="B483" s="819" t="s">
        <v>821</v>
      </c>
      <c r="C483" s="820"/>
      <c r="D483" s="820"/>
      <c r="E483" s="820"/>
      <c r="F483" s="541">
        <f>16.83*X2</f>
        <v>14524.289999999999</v>
      </c>
      <c r="G483" s="426">
        <f t="shared" ref="G483" si="1227">+F483*$X$1</f>
        <v>14524.289999999999</v>
      </c>
      <c r="H483" s="581">
        <f>F483+3000</f>
        <v>17524.29</v>
      </c>
      <c r="I483" s="382">
        <f t="shared" ref="I483:I484" si="1228">+H483*$X$1</f>
        <v>17524.29</v>
      </c>
      <c r="J483" s="581">
        <f>F483+900</f>
        <v>15424.289999999999</v>
      </c>
      <c r="K483" s="382">
        <f t="shared" ref="K483:K484" si="1229">+J483*$X$1</f>
        <v>15424.289999999999</v>
      </c>
      <c r="L483" s="581">
        <f>F483+840</f>
        <v>15364.289999999999</v>
      </c>
      <c r="M483" s="382">
        <f t="shared" ref="M483:M484" si="1230">+L483*$X$1</f>
        <v>15364.289999999999</v>
      </c>
      <c r="N483" s="581">
        <f>F483+800</f>
        <v>15324.289999999999</v>
      </c>
      <c r="O483" s="382">
        <f t="shared" ref="O483:O484" si="1231">+N483*$X$1</f>
        <v>15324.289999999999</v>
      </c>
      <c r="P483" s="581">
        <f>F483+760</f>
        <v>15284.289999999999</v>
      </c>
      <c r="Q483" s="382">
        <f t="shared" ref="Q483:Q484" si="1232">+P483*$X$1</f>
        <v>15284.289999999999</v>
      </c>
      <c r="R483" s="581">
        <f>F483+730</f>
        <v>15254.289999999999</v>
      </c>
      <c r="S483" s="382">
        <f t="shared" ref="S483:S484" si="1233">+R483*$X$1</f>
        <v>15254.289999999999</v>
      </c>
      <c r="T483" s="581">
        <f>F483+690</f>
        <v>15214.289999999999</v>
      </c>
      <c r="U483" s="382">
        <f t="shared" ref="U483:U484" si="1234">+T483*$X$1</f>
        <v>15214.289999999999</v>
      </c>
      <c r="V483" s="581">
        <f>F483+650</f>
        <v>15174.289999999999</v>
      </c>
      <c r="W483" s="382">
        <f t="shared" ref="W483:W484" si="1235">+V483*$X$1</f>
        <v>15174.289999999999</v>
      </c>
      <c r="X483" s="159"/>
      <c r="Y483" s="154"/>
      <c r="Z483" s="160"/>
      <c r="AA483" s="161"/>
      <c r="AB483" s="614" t="s">
        <v>823</v>
      </c>
    </row>
    <row r="484" spans="1:28" ht="12.6" customHeight="1">
      <c r="A484" s="4"/>
      <c r="B484" s="819" t="s">
        <v>822</v>
      </c>
      <c r="C484" s="820"/>
      <c r="D484" s="820"/>
      <c r="E484" s="820"/>
      <c r="F484" s="542">
        <f>16.83*X2</f>
        <v>14524.289999999999</v>
      </c>
      <c r="G484" s="410">
        <f t="shared" ref="G484" si="1236">+F484*$X$1</f>
        <v>14524.289999999999</v>
      </c>
      <c r="H484" s="113">
        <f>F484+2000</f>
        <v>16524.29</v>
      </c>
      <c r="I484" s="410">
        <f t="shared" si="1228"/>
        <v>16524.29</v>
      </c>
      <c r="J484" s="113">
        <f>F484+500</f>
        <v>15024.289999999999</v>
      </c>
      <c r="K484" s="410">
        <f t="shared" si="1229"/>
        <v>15024.289999999999</v>
      </c>
      <c r="L484" s="113">
        <f>F484+460</f>
        <v>14984.289999999999</v>
      </c>
      <c r="M484" s="410">
        <f t="shared" si="1230"/>
        <v>14984.289999999999</v>
      </c>
      <c r="N484" s="113">
        <f>F484+430</f>
        <v>14954.289999999999</v>
      </c>
      <c r="O484" s="410">
        <f t="shared" si="1231"/>
        <v>14954.289999999999</v>
      </c>
      <c r="P484" s="113">
        <f>F484+400</f>
        <v>14924.289999999999</v>
      </c>
      <c r="Q484" s="410">
        <f t="shared" si="1232"/>
        <v>14924.289999999999</v>
      </c>
      <c r="R484" s="113">
        <f>F484+380</f>
        <v>14904.289999999999</v>
      </c>
      <c r="S484" s="410">
        <f t="shared" si="1233"/>
        <v>14904.289999999999</v>
      </c>
      <c r="T484" s="113">
        <f>F484+350</f>
        <v>14874.289999999999</v>
      </c>
      <c r="U484" s="410">
        <f t="shared" si="1234"/>
        <v>14874.289999999999</v>
      </c>
      <c r="V484" s="113">
        <f>F484+320</f>
        <v>14844.289999999999</v>
      </c>
      <c r="W484" s="410">
        <f t="shared" si="1235"/>
        <v>14844.289999999999</v>
      </c>
      <c r="X484" s="159"/>
      <c r="Y484" s="154"/>
      <c r="Z484" s="160"/>
      <c r="AA484" s="161"/>
      <c r="AB484" s="614">
        <v>878</v>
      </c>
    </row>
    <row r="485" spans="1:28" ht="12.6" customHeight="1">
      <c r="A485" s="4"/>
      <c r="B485" s="819" t="s">
        <v>738</v>
      </c>
      <c r="C485" s="820"/>
      <c r="D485" s="820"/>
      <c r="E485" s="820"/>
      <c r="F485" s="541">
        <f>29.76*X2</f>
        <v>25682.880000000001</v>
      </c>
      <c r="G485" s="426">
        <f t="shared" ref="G485" si="1237">+F485*$X$1</f>
        <v>25682.880000000001</v>
      </c>
      <c r="H485" s="689">
        <f>F485+3000</f>
        <v>28682.880000000001</v>
      </c>
      <c r="I485" s="382">
        <f t="shared" ref="I485" si="1238">+H485*$X$1</f>
        <v>28682.880000000001</v>
      </c>
      <c r="J485" s="689">
        <f>F485+900</f>
        <v>26582.880000000001</v>
      </c>
      <c r="K485" s="382">
        <f t="shared" ref="K485" si="1239">+J485*$X$1</f>
        <v>26582.880000000001</v>
      </c>
      <c r="L485" s="689">
        <f>F485+840</f>
        <v>26522.880000000001</v>
      </c>
      <c r="M485" s="382">
        <f t="shared" ref="M485" si="1240">+L485*$X$1</f>
        <v>26522.880000000001</v>
      </c>
      <c r="N485" s="689">
        <f>F485+800</f>
        <v>26482.880000000001</v>
      </c>
      <c r="O485" s="382">
        <f t="shared" ref="O485" si="1241">+N485*$X$1</f>
        <v>26482.880000000001</v>
      </c>
      <c r="P485" s="689">
        <f>F485+760</f>
        <v>26442.880000000001</v>
      </c>
      <c r="Q485" s="382">
        <f t="shared" ref="Q485" si="1242">+P485*$X$1</f>
        <v>26442.880000000001</v>
      </c>
      <c r="R485" s="689">
        <f>F485+730</f>
        <v>26412.880000000001</v>
      </c>
      <c r="S485" s="382">
        <f t="shared" ref="S485" si="1243">+R485*$X$1</f>
        <v>26412.880000000001</v>
      </c>
      <c r="T485" s="689">
        <f>F485+690</f>
        <v>26372.880000000001</v>
      </c>
      <c r="U485" s="382">
        <f t="shared" ref="U485" si="1244">+T485*$X$1</f>
        <v>26372.880000000001</v>
      </c>
      <c r="V485" s="689">
        <f>F485+650</f>
        <v>26332.880000000001</v>
      </c>
      <c r="W485" s="382">
        <f t="shared" ref="W485" si="1245">+V485*$X$1</f>
        <v>26332.880000000001</v>
      </c>
      <c r="X485" s="159"/>
      <c r="Y485" s="154"/>
      <c r="Z485" s="160"/>
      <c r="AA485" s="161"/>
      <c r="AB485" s="614" t="s">
        <v>771</v>
      </c>
    </row>
    <row r="486" spans="1:28" ht="12.6" customHeight="1">
      <c r="A486" s="4"/>
      <c r="B486" s="708" t="s">
        <v>737</v>
      </c>
      <c r="C486" s="945"/>
      <c r="D486" s="945"/>
      <c r="E486" s="945"/>
      <c r="F486" s="542">
        <f>29.76*X2</f>
        <v>25682.880000000001</v>
      </c>
      <c r="G486" s="410">
        <f t="shared" ref="G486:G487" si="1246">+F486*$X$1</f>
        <v>25682.880000000001</v>
      </c>
      <c r="H486" s="113">
        <f>F486+2000</f>
        <v>27682.880000000001</v>
      </c>
      <c r="I486" s="410">
        <f t="shared" ref="I486:I487" si="1247">+H486*$X$1</f>
        <v>27682.880000000001</v>
      </c>
      <c r="J486" s="113">
        <f>F486+500</f>
        <v>26182.880000000001</v>
      </c>
      <c r="K486" s="410">
        <f t="shared" ref="K486:K487" si="1248">+J486*$X$1</f>
        <v>26182.880000000001</v>
      </c>
      <c r="L486" s="113">
        <f>F486+460</f>
        <v>26142.880000000001</v>
      </c>
      <c r="M486" s="410">
        <f t="shared" ref="M486:M487" si="1249">+L486*$X$1</f>
        <v>26142.880000000001</v>
      </c>
      <c r="N486" s="113">
        <f>F486+430</f>
        <v>26112.880000000001</v>
      </c>
      <c r="O486" s="410">
        <f t="shared" ref="O486:O487" si="1250">+N486*$X$1</f>
        <v>26112.880000000001</v>
      </c>
      <c r="P486" s="113">
        <f>F486+400</f>
        <v>26082.880000000001</v>
      </c>
      <c r="Q486" s="410">
        <f t="shared" ref="Q486:Q487" si="1251">+P486*$X$1</f>
        <v>26082.880000000001</v>
      </c>
      <c r="R486" s="113">
        <f>F486+380</f>
        <v>26062.880000000001</v>
      </c>
      <c r="S486" s="410">
        <f t="shared" ref="S486:S487" si="1252">+R486*$X$1</f>
        <v>26062.880000000001</v>
      </c>
      <c r="T486" s="113">
        <f>F486+350</f>
        <v>26032.880000000001</v>
      </c>
      <c r="U486" s="410">
        <f t="shared" ref="U486:U487" si="1253">+T486*$X$1</f>
        <v>26032.880000000001</v>
      </c>
      <c r="V486" s="113">
        <f>F486+320</f>
        <v>26002.880000000001</v>
      </c>
      <c r="W486" s="410">
        <f t="shared" ref="W486:W487" si="1254">+V486*$X$1</f>
        <v>26002.880000000001</v>
      </c>
      <c r="X486" s="159"/>
      <c r="Y486" s="154"/>
      <c r="Z486" s="160"/>
      <c r="AA486" s="161"/>
      <c r="AB486" s="614">
        <v>880</v>
      </c>
    </row>
    <row r="487" spans="1:28" ht="12.6" customHeight="1">
      <c r="A487" s="4"/>
      <c r="B487" s="782" t="s">
        <v>755</v>
      </c>
      <c r="C487" s="731"/>
      <c r="D487" s="731"/>
      <c r="E487" s="731"/>
      <c r="F487" s="541">
        <f>34.7*X2</f>
        <v>29946.100000000002</v>
      </c>
      <c r="G487" s="426">
        <f t="shared" si="1246"/>
        <v>29946.100000000002</v>
      </c>
      <c r="H487" s="689">
        <f>F487+3000</f>
        <v>32946.100000000006</v>
      </c>
      <c r="I487" s="382">
        <f t="shared" si="1247"/>
        <v>32946.100000000006</v>
      </c>
      <c r="J487" s="689">
        <f>F487+900</f>
        <v>30846.100000000002</v>
      </c>
      <c r="K487" s="382">
        <f t="shared" si="1248"/>
        <v>30846.100000000002</v>
      </c>
      <c r="L487" s="689">
        <f>F487+840</f>
        <v>30786.100000000002</v>
      </c>
      <c r="M487" s="382">
        <f t="shared" si="1249"/>
        <v>30786.100000000002</v>
      </c>
      <c r="N487" s="689">
        <f>F487+800</f>
        <v>30746.100000000002</v>
      </c>
      <c r="O487" s="382">
        <f t="shared" si="1250"/>
        <v>30746.100000000002</v>
      </c>
      <c r="P487" s="689">
        <f>F487+760</f>
        <v>30706.100000000002</v>
      </c>
      <c r="Q487" s="382">
        <f t="shared" si="1251"/>
        <v>30706.100000000002</v>
      </c>
      <c r="R487" s="689">
        <f>F487+730</f>
        <v>30676.100000000002</v>
      </c>
      <c r="S487" s="382">
        <f t="shared" si="1252"/>
        <v>30676.100000000002</v>
      </c>
      <c r="T487" s="689">
        <f>F487+690</f>
        <v>30636.100000000002</v>
      </c>
      <c r="U487" s="382">
        <f t="shared" si="1253"/>
        <v>30636.100000000002</v>
      </c>
      <c r="V487" s="689">
        <f>F487+650</f>
        <v>30596.100000000002</v>
      </c>
      <c r="W487" s="382">
        <f t="shared" si="1254"/>
        <v>30596.100000000002</v>
      </c>
      <c r="X487" s="159"/>
      <c r="Y487" s="154"/>
      <c r="Z487" s="160"/>
      <c r="AA487" s="161"/>
      <c r="AB487" s="614" t="s">
        <v>772</v>
      </c>
    </row>
    <row r="488" spans="1:28" ht="12.6" customHeight="1">
      <c r="A488" s="4"/>
      <c r="B488" s="781" t="s">
        <v>756</v>
      </c>
      <c r="C488" s="698"/>
      <c r="D488" s="698"/>
      <c r="E488" s="698"/>
      <c r="F488" s="542">
        <f>34.7*X2</f>
        <v>29946.100000000002</v>
      </c>
      <c r="G488" s="410">
        <f t="shared" ref="G488:G489" si="1255">+F488*$X$1</f>
        <v>29946.100000000002</v>
      </c>
      <c r="H488" s="113">
        <f>F488+2000</f>
        <v>31946.100000000002</v>
      </c>
      <c r="I488" s="410">
        <f t="shared" ref="I488:I489" si="1256">+H488*$X$1</f>
        <v>31946.100000000002</v>
      </c>
      <c r="J488" s="113">
        <f>F488+500</f>
        <v>30446.100000000002</v>
      </c>
      <c r="K488" s="410">
        <f t="shared" ref="K488:K491" si="1257">+J488*$X$1</f>
        <v>30446.100000000002</v>
      </c>
      <c r="L488" s="113">
        <f>F488+460</f>
        <v>30406.100000000002</v>
      </c>
      <c r="M488" s="410">
        <f t="shared" ref="M488:M491" si="1258">+L488*$X$1</f>
        <v>30406.100000000002</v>
      </c>
      <c r="N488" s="113">
        <f>F488+430</f>
        <v>30376.100000000002</v>
      </c>
      <c r="O488" s="410">
        <f t="shared" ref="O488:O491" si="1259">+N488*$X$1</f>
        <v>30376.100000000002</v>
      </c>
      <c r="P488" s="113">
        <f>F488+400</f>
        <v>30346.100000000002</v>
      </c>
      <c r="Q488" s="410">
        <f t="shared" ref="Q488:Q491" si="1260">+P488*$X$1</f>
        <v>30346.100000000002</v>
      </c>
      <c r="R488" s="113">
        <f>F488+380</f>
        <v>30326.100000000002</v>
      </c>
      <c r="S488" s="410">
        <f t="shared" ref="S488:S491" si="1261">+R488*$X$1</f>
        <v>30326.100000000002</v>
      </c>
      <c r="T488" s="113">
        <f>F488+350</f>
        <v>30296.100000000002</v>
      </c>
      <c r="U488" s="410">
        <f t="shared" ref="U488:U491" si="1262">+T488*$X$1</f>
        <v>30296.100000000002</v>
      </c>
      <c r="V488" s="113">
        <f>F488+320</f>
        <v>30266.100000000002</v>
      </c>
      <c r="W488" s="410">
        <f t="shared" ref="W488:W491" si="1263">+V488*$X$1</f>
        <v>30266.100000000002</v>
      </c>
      <c r="X488" s="159"/>
      <c r="Y488" s="154"/>
      <c r="Z488" s="160"/>
      <c r="AA488" s="161"/>
      <c r="AB488" s="614">
        <v>881</v>
      </c>
    </row>
    <row r="489" spans="1:28" ht="12.6" customHeight="1">
      <c r="A489" s="4"/>
      <c r="B489" s="782" t="s">
        <v>824</v>
      </c>
      <c r="C489" s="731"/>
      <c r="D489" s="731"/>
      <c r="E489" s="731"/>
      <c r="F489" s="541">
        <f>25.31*X2</f>
        <v>21842.53</v>
      </c>
      <c r="G489" s="426">
        <f t="shared" si="1255"/>
        <v>21842.53</v>
      </c>
      <c r="H489" s="112">
        <f>F489+2000</f>
        <v>23842.53</v>
      </c>
      <c r="I489" s="426">
        <f t="shared" si="1256"/>
        <v>23842.53</v>
      </c>
      <c r="J489" s="112">
        <f>F489+500</f>
        <v>22342.53</v>
      </c>
      <c r="K489" s="426">
        <f t="shared" si="1257"/>
        <v>22342.53</v>
      </c>
      <c r="L489" s="112">
        <f>F489+460</f>
        <v>22302.53</v>
      </c>
      <c r="M489" s="426">
        <f t="shared" si="1258"/>
        <v>22302.53</v>
      </c>
      <c r="N489" s="112">
        <f>F489+430</f>
        <v>22272.53</v>
      </c>
      <c r="O489" s="426">
        <f t="shared" si="1259"/>
        <v>22272.53</v>
      </c>
      <c r="P489" s="112">
        <f>F489+400</f>
        <v>22242.53</v>
      </c>
      <c r="Q489" s="426">
        <f t="shared" si="1260"/>
        <v>22242.53</v>
      </c>
      <c r="R489" s="112">
        <f>F489+380</f>
        <v>22222.53</v>
      </c>
      <c r="S489" s="426">
        <f t="shared" si="1261"/>
        <v>22222.53</v>
      </c>
      <c r="T489" s="112">
        <f>F489+350</f>
        <v>22192.53</v>
      </c>
      <c r="U489" s="426">
        <f t="shared" si="1262"/>
        <v>22192.53</v>
      </c>
      <c r="V489" s="112">
        <f>F489+320</f>
        <v>22162.53</v>
      </c>
      <c r="W489" s="426">
        <f t="shared" si="1263"/>
        <v>22162.53</v>
      </c>
      <c r="X489" s="159"/>
      <c r="Y489" s="154"/>
      <c r="Z489" s="160"/>
      <c r="AA489" s="161"/>
      <c r="AB489" s="614">
        <v>882</v>
      </c>
    </row>
    <row r="490" spans="1:28" ht="12.6" customHeight="1">
      <c r="A490" s="4"/>
      <c r="B490" s="790" t="s">
        <v>574</v>
      </c>
      <c r="C490" s="791"/>
      <c r="D490" s="791"/>
      <c r="E490" s="791"/>
      <c r="F490" s="542">
        <f>26.4*X2</f>
        <v>22783.199999999997</v>
      </c>
      <c r="G490" s="410">
        <f t="shared" ref="G490" si="1264">+F490*$X$1</f>
        <v>22783.199999999997</v>
      </c>
      <c r="H490" s="113">
        <f>F490+2000</f>
        <v>24783.199999999997</v>
      </c>
      <c r="I490" s="410">
        <f t="shared" ref="I490:I502" si="1265">+H490*$X$1</f>
        <v>24783.199999999997</v>
      </c>
      <c r="J490" s="113">
        <f>F490+500</f>
        <v>23283.199999999997</v>
      </c>
      <c r="K490" s="410">
        <f t="shared" si="1257"/>
        <v>23283.199999999997</v>
      </c>
      <c r="L490" s="113">
        <f>F490+460</f>
        <v>23243.199999999997</v>
      </c>
      <c r="M490" s="410">
        <f t="shared" si="1258"/>
        <v>23243.199999999997</v>
      </c>
      <c r="N490" s="113">
        <f>F490+430</f>
        <v>23213.199999999997</v>
      </c>
      <c r="O490" s="410">
        <f t="shared" si="1259"/>
        <v>23213.199999999997</v>
      </c>
      <c r="P490" s="113">
        <f>F490+400</f>
        <v>23183.199999999997</v>
      </c>
      <c r="Q490" s="410">
        <f t="shared" si="1260"/>
        <v>23183.199999999997</v>
      </c>
      <c r="R490" s="113">
        <f>F490+380</f>
        <v>23163.199999999997</v>
      </c>
      <c r="S490" s="410">
        <f t="shared" si="1261"/>
        <v>23163.199999999997</v>
      </c>
      <c r="T490" s="113">
        <f>F490+350</f>
        <v>23133.199999999997</v>
      </c>
      <c r="U490" s="410">
        <f t="shared" si="1262"/>
        <v>23133.199999999997</v>
      </c>
      <c r="V490" s="113">
        <f>F490+320</f>
        <v>23103.199999999997</v>
      </c>
      <c r="W490" s="410">
        <f t="shared" si="1263"/>
        <v>23103.199999999997</v>
      </c>
      <c r="X490" s="159"/>
      <c r="Y490" s="154"/>
      <c r="Z490" s="160"/>
      <c r="AA490" s="161"/>
      <c r="AB490" s="614">
        <v>883</v>
      </c>
    </row>
    <row r="491" spans="1:28" ht="12.6" customHeight="1">
      <c r="A491" s="4"/>
      <c r="B491" s="825" t="s">
        <v>521</v>
      </c>
      <c r="C491" s="724"/>
      <c r="D491" s="724"/>
      <c r="E491" s="725"/>
      <c r="F491" s="538">
        <f>19*X2</f>
        <v>16397</v>
      </c>
      <c r="G491" s="382">
        <f t="shared" ref="G491" si="1266">+F491*$X$1</f>
        <v>16397</v>
      </c>
      <c r="H491" s="689">
        <f>F491+3000</f>
        <v>19397</v>
      </c>
      <c r="I491" s="382">
        <f t="shared" si="1265"/>
        <v>19397</v>
      </c>
      <c r="J491" s="689">
        <f>F491+900</f>
        <v>17297</v>
      </c>
      <c r="K491" s="382">
        <f t="shared" si="1257"/>
        <v>17297</v>
      </c>
      <c r="L491" s="689">
        <f>F491+840</f>
        <v>17237</v>
      </c>
      <c r="M491" s="382">
        <f t="shared" si="1258"/>
        <v>17237</v>
      </c>
      <c r="N491" s="689">
        <f>F491+800</f>
        <v>17197</v>
      </c>
      <c r="O491" s="382">
        <f t="shared" si="1259"/>
        <v>17197</v>
      </c>
      <c r="P491" s="689">
        <f>F491+760</f>
        <v>17157</v>
      </c>
      <c r="Q491" s="382">
        <f t="shared" si="1260"/>
        <v>17157</v>
      </c>
      <c r="R491" s="689">
        <f>F491+730</f>
        <v>17127</v>
      </c>
      <c r="S491" s="382">
        <f t="shared" si="1261"/>
        <v>17127</v>
      </c>
      <c r="T491" s="689">
        <f>F491+690</f>
        <v>17087</v>
      </c>
      <c r="U491" s="382">
        <f t="shared" si="1262"/>
        <v>17087</v>
      </c>
      <c r="V491" s="689">
        <f>F491+650</f>
        <v>17047</v>
      </c>
      <c r="W491" s="382">
        <f t="shared" si="1263"/>
        <v>17047</v>
      </c>
      <c r="X491" s="159"/>
      <c r="Y491" s="154"/>
      <c r="Z491" s="160"/>
      <c r="AA491" s="161"/>
      <c r="AB491" s="614">
        <v>886</v>
      </c>
    </row>
    <row r="492" spans="1:28" ht="12.6" customHeight="1">
      <c r="A492" s="4"/>
      <c r="B492" s="1080" t="s">
        <v>520</v>
      </c>
      <c r="C492" s="992"/>
      <c r="D492" s="992"/>
      <c r="E492" s="993"/>
      <c r="F492" s="539">
        <f>19*X2</f>
        <v>16397</v>
      </c>
      <c r="G492" s="381">
        <f t="shared" ref="G492:G494" si="1267">+F492*$X$1</f>
        <v>16397</v>
      </c>
      <c r="H492" s="113">
        <f>F492+2000</f>
        <v>18397</v>
      </c>
      <c r="I492" s="410">
        <f t="shared" si="1265"/>
        <v>18397</v>
      </c>
      <c r="J492" s="113">
        <f>F492+500</f>
        <v>16897</v>
      </c>
      <c r="K492" s="410">
        <f t="shared" ref="K492:K497" si="1268">+J492*$X$1</f>
        <v>16897</v>
      </c>
      <c r="L492" s="113">
        <f>F492+460</f>
        <v>16857</v>
      </c>
      <c r="M492" s="410">
        <f t="shared" ref="M492:M497" si="1269">+L492*$X$1</f>
        <v>16857</v>
      </c>
      <c r="N492" s="113">
        <f>F492+430</f>
        <v>16827</v>
      </c>
      <c r="O492" s="410">
        <f t="shared" ref="O492:O497" si="1270">+N492*$X$1</f>
        <v>16827</v>
      </c>
      <c r="P492" s="113">
        <f>F492+400</f>
        <v>16797</v>
      </c>
      <c r="Q492" s="410">
        <f t="shared" ref="Q492:Q497" si="1271">+P492*$X$1</f>
        <v>16797</v>
      </c>
      <c r="R492" s="113">
        <f>F492+380</f>
        <v>16777</v>
      </c>
      <c r="S492" s="410">
        <f t="shared" ref="S492:S497" si="1272">+R492*$X$1</f>
        <v>16777</v>
      </c>
      <c r="T492" s="113">
        <f>F492+350</f>
        <v>16747</v>
      </c>
      <c r="U492" s="410">
        <f t="shared" ref="U492:U497" si="1273">+T492*$X$1</f>
        <v>16747</v>
      </c>
      <c r="V492" s="113">
        <f>F492+320</f>
        <v>16717</v>
      </c>
      <c r="W492" s="410">
        <f t="shared" ref="W492:W497" si="1274">+V492*$X$1</f>
        <v>16717</v>
      </c>
      <c r="X492" s="159"/>
      <c r="Y492" s="154"/>
      <c r="Z492" s="160"/>
      <c r="AA492" s="161"/>
      <c r="AB492" s="614">
        <v>886</v>
      </c>
    </row>
    <row r="493" spans="1:28" ht="12.6" customHeight="1">
      <c r="A493" s="4"/>
      <c r="B493" s="782" t="s">
        <v>524</v>
      </c>
      <c r="C493" s="731"/>
      <c r="D493" s="731"/>
      <c r="E493" s="731"/>
      <c r="F493" s="537">
        <f>29.3*X2</f>
        <v>25285.9</v>
      </c>
      <c r="G493" s="382">
        <f t="shared" ref="G493" si="1275">+F493*$X$1</f>
        <v>25285.9</v>
      </c>
      <c r="H493" s="112">
        <f t="shared" ref="H493:H496" si="1276">F493+2000</f>
        <v>27285.9</v>
      </c>
      <c r="I493" s="426">
        <f t="shared" ref="I493:I497" si="1277">+H493*$X$1</f>
        <v>27285.9</v>
      </c>
      <c r="J493" s="112">
        <f>F493+500</f>
        <v>25785.9</v>
      </c>
      <c r="K493" s="426">
        <f t="shared" si="1268"/>
        <v>25785.9</v>
      </c>
      <c r="L493" s="112">
        <f>F493+460</f>
        <v>25745.9</v>
      </c>
      <c r="M493" s="426">
        <f t="shared" si="1269"/>
        <v>25745.9</v>
      </c>
      <c r="N493" s="112">
        <f>F493+430</f>
        <v>25715.9</v>
      </c>
      <c r="O493" s="426">
        <f t="shared" si="1270"/>
        <v>25715.9</v>
      </c>
      <c r="P493" s="112">
        <f>F493+400</f>
        <v>25685.9</v>
      </c>
      <c r="Q493" s="426">
        <f t="shared" si="1271"/>
        <v>25685.9</v>
      </c>
      <c r="R493" s="112">
        <f>F493+380</f>
        <v>25665.9</v>
      </c>
      <c r="S493" s="426">
        <f t="shared" si="1272"/>
        <v>25665.9</v>
      </c>
      <c r="T493" s="112">
        <f>F493+350</f>
        <v>25635.9</v>
      </c>
      <c r="U493" s="426">
        <f t="shared" si="1273"/>
        <v>25635.9</v>
      </c>
      <c r="V493" s="112">
        <f>F493+320</f>
        <v>25605.9</v>
      </c>
      <c r="W493" s="426">
        <f t="shared" si="1274"/>
        <v>25605.9</v>
      </c>
      <c r="X493" s="159"/>
      <c r="Y493" s="154"/>
      <c r="Z493" s="160"/>
      <c r="AA493" s="161"/>
      <c r="AB493" s="614">
        <v>887</v>
      </c>
    </row>
    <row r="494" spans="1:28" ht="12.6" customHeight="1">
      <c r="A494" s="4"/>
      <c r="B494" s="781" t="s">
        <v>819</v>
      </c>
      <c r="C494" s="698"/>
      <c r="D494" s="698"/>
      <c r="E494" s="698"/>
      <c r="F494" s="536">
        <f>16.16*X2</f>
        <v>13946.08</v>
      </c>
      <c r="G494" s="381">
        <f t="shared" si="1267"/>
        <v>13946.08</v>
      </c>
      <c r="H494" s="113">
        <f t="shared" si="1276"/>
        <v>15946.08</v>
      </c>
      <c r="I494" s="410">
        <f t="shared" si="1277"/>
        <v>15946.08</v>
      </c>
      <c r="J494" s="113">
        <f>F494+500</f>
        <v>14446.08</v>
      </c>
      <c r="K494" s="410">
        <f t="shared" si="1268"/>
        <v>14446.08</v>
      </c>
      <c r="L494" s="113">
        <f>F494+460</f>
        <v>14406.08</v>
      </c>
      <c r="M494" s="410">
        <f t="shared" si="1269"/>
        <v>14406.08</v>
      </c>
      <c r="N494" s="113">
        <f>F494+430</f>
        <v>14376.08</v>
      </c>
      <c r="O494" s="410">
        <f t="shared" si="1270"/>
        <v>14376.08</v>
      </c>
      <c r="P494" s="113">
        <f>F494+400</f>
        <v>14346.08</v>
      </c>
      <c r="Q494" s="410">
        <f t="shared" si="1271"/>
        <v>14346.08</v>
      </c>
      <c r="R494" s="113">
        <f>F494+380</f>
        <v>14326.08</v>
      </c>
      <c r="S494" s="410">
        <f t="shared" si="1272"/>
        <v>14326.08</v>
      </c>
      <c r="T494" s="113">
        <f>F494+350</f>
        <v>14296.08</v>
      </c>
      <c r="U494" s="410">
        <f t="shared" si="1273"/>
        <v>14296.08</v>
      </c>
      <c r="V494" s="113">
        <f>F494+320</f>
        <v>14266.08</v>
      </c>
      <c r="W494" s="410">
        <f t="shared" si="1274"/>
        <v>14266.08</v>
      </c>
      <c r="X494" s="159"/>
      <c r="Y494" s="154"/>
      <c r="Z494" s="160"/>
      <c r="AA494" s="161"/>
      <c r="AB494" s="614">
        <v>888</v>
      </c>
    </row>
    <row r="495" spans="1:28" ht="12.6" customHeight="1">
      <c r="A495" s="4"/>
      <c r="B495" s="789" t="s">
        <v>820</v>
      </c>
      <c r="C495" s="714"/>
      <c r="D495" s="714"/>
      <c r="E495" s="714"/>
      <c r="F495" s="537">
        <f>26.6*X2</f>
        <v>22955.800000000003</v>
      </c>
      <c r="G495" s="382">
        <f t="shared" ref="G495:G496" si="1278">+F495*$X$1</f>
        <v>22955.800000000003</v>
      </c>
      <c r="H495" s="112">
        <f t="shared" si="1276"/>
        <v>24955.800000000003</v>
      </c>
      <c r="I495" s="426">
        <f t="shared" si="1277"/>
        <v>24955.800000000003</v>
      </c>
      <c r="J495" s="112">
        <f>F495+500</f>
        <v>23455.800000000003</v>
      </c>
      <c r="K495" s="426">
        <f t="shared" si="1268"/>
        <v>23455.800000000003</v>
      </c>
      <c r="L495" s="112">
        <f>F495+460</f>
        <v>23415.800000000003</v>
      </c>
      <c r="M495" s="426">
        <f t="shared" si="1269"/>
        <v>23415.800000000003</v>
      </c>
      <c r="N495" s="112">
        <f>F495+430</f>
        <v>23385.800000000003</v>
      </c>
      <c r="O495" s="426">
        <f t="shared" si="1270"/>
        <v>23385.800000000003</v>
      </c>
      <c r="P495" s="112">
        <f>F495+400</f>
        <v>23355.800000000003</v>
      </c>
      <c r="Q495" s="426">
        <f t="shared" si="1271"/>
        <v>23355.800000000003</v>
      </c>
      <c r="R495" s="112">
        <f>F495+380</f>
        <v>23335.800000000003</v>
      </c>
      <c r="S495" s="426">
        <f t="shared" si="1272"/>
        <v>23335.800000000003</v>
      </c>
      <c r="T495" s="112">
        <f>F495+350</f>
        <v>23305.800000000003</v>
      </c>
      <c r="U495" s="426">
        <f t="shared" si="1273"/>
        <v>23305.800000000003</v>
      </c>
      <c r="V495" s="112">
        <f>F495+320</f>
        <v>23275.800000000003</v>
      </c>
      <c r="W495" s="426">
        <f t="shared" si="1274"/>
        <v>23275.800000000003</v>
      </c>
      <c r="X495" s="159"/>
      <c r="Y495" s="154"/>
      <c r="Z495" s="160"/>
      <c r="AA495" s="161"/>
      <c r="AB495" s="614">
        <v>892</v>
      </c>
    </row>
    <row r="496" spans="1:28" ht="12.6" customHeight="1">
      <c r="A496" s="4"/>
      <c r="B496" s="781" t="s">
        <v>527</v>
      </c>
      <c r="C496" s="719"/>
      <c r="D496" s="719"/>
      <c r="E496" s="719"/>
      <c r="F496" s="536">
        <f>16.8*X2</f>
        <v>14498.400000000001</v>
      </c>
      <c r="G496" s="381">
        <f t="shared" si="1278"/>
        <v>14498.400000000001</v>
      </c>
      <c r="H496" s="113">
        <f t="shared" si="1276"/>
        <v>16498.400000000001</v>
      </c>
      <c r="I496" s="410">
        <f t="shared" si="1277"/>
        <v>16498.400000000001</v>
      </c>
      <c r="J496" s="113">
        <f>F496+500</f>
        <v>14998.400000000001</v>
      </c>
      <c r="K496" s="410">
        <f t="shared" si="1268"/>
        <v>14998.400000000001</v>
      </c>
      <c r="L496" s="113">
        <f>F496+460</f>
        <v>14958.400000000001</v>
      </c>
      <c r="M496" s="410">
        <f t="shared" si="1269"/>
        <v>14958.400000000001</v>
      </c>
      <c r="N496" s="113">
        <f>F496+430</f>
        <v>14928.400000000001</v>
      </c>
      <c r="O496" s="410">
        <f t="shared" si="1270"/>
        <v>14928.400000000001</v>
      </c>
      <c r="P496" s="113">
        <f>F496+400</f>
        <v>14898.400000000001</v>
      </c>
      <c r="Q496" s="410">
        <f t="shared" si="1271"/>
        <v>14898.400000000001</v>
      </c>
      <c r="R496" s="113">
        <f>F496+380</f>
        <v>14878.400000000001</v>
      </c>
      <c r="S496" s="410">
        <f t="shared" si="1272"/>
        <v>14878.400000000001</v>
      </c>
      <c r="T496" s="113">
        <f>F496+350</f>
        <v>14848.400000000001</v>
      </c>
      <c r="U496" s="410">
        <f t="shared" si="1273"/>
        <v>14848.400000000001</v>
      </c>
      <c r="V496" s="113">
        <f>F496+320</f>
        <v>14818.400000000001</v>
      </c>
      <c r="W496" s="410">
        <f t="shared" si="1274"/>
        <v>14818.400000000001</v>
      </c>
      <c r="X496" s="159"/>
      <c r="Y496" s="154"/>
      <c r="Z496" s="160"/>
      <c r="AA496" s="161"/>
      <c r="AB496" s="614">
        <v>894</v>
      </c>
    </row>
    <row r="497" spans="1:28" ht="12.6" customHeight="1">
      <c r="A497" s="4"/>
      <c r="B497" s="789" t="s">
        <v>523</v>
      </c>
      <c r="C497" s="714"/>
      <c r="D497" s="714"/>
      <c r="E497" s="714"/>
      <c r="F497" s="537">
        <f>16*X2</f>
        <v>13808</v>
      </c>
      <c r="G497" s="382">
        <f t="shared" ref="G497:G500" si="1279">+F497*$X$1</f>
        <v>13808</v>
      </c>
      <c r="H497" s="689">
        <f>F497+3000</f>
        <v>16808</v>
      </c>
      <c r="I497" s="382">
        <f t="shared" si="1277"/>
        <v>16808</v>
      </c>
      <c r="J497" s="689">
        <f>F497+900</f>
        <v>14708</v>
      </c>
      <c r="K497" s="382">
        <f t="shared" si="1268"/>
        <v>14708</v>
      </c>
      <c r="L497" s="689">
        <f>F497+840</f>
        <v>14648</v>
      </c>
      <c r="M497" s="382">
        <f t="shared" si="1269"/>
        <v>14648</v>
      </c>
      <c r="N497" s="689">
        <f>F497+800</f>
        <v>14608</v>
      </c>
      <c r="O497" s="382">
        <f t="shared" si="1270"/>
        <v>14608</v>
      </c>
      <c r="P497" s="689">
        <f>F497+760</f>
        <v>14568</v>
      </c>
      <c r="Q497" s="382">
        <f t="shared" si="1271"/>
        <v>14568</v>
      </c>
      <c r="R497" s="689">
        <f>F497+730</f>
        <v>14538</v>
      </c>
      <c r="S497" s="382">
        <f t="shared" si="1272"/>
        <v>14538</v>
      </c>
      <c r="T497" s="689">
        <f>F497+690</f>
        <v>14498</v>
      </c>
      <c r="U497" s="382">
        <f t="shared" si="1273"/>
        <v>14498</v>
      </c>
      <c r="V497" s="689">
        <f>F497+650</f>
        <v>14458</v>
      </c>
      <c r="W497" s="382">
        <f t="shared" si="1274"/>
        <v>14458</v>
      </c>
      <c r="X497" s="159"/>
      <c r="Y497" s="154"/>
      <c r="Z497" s="160"/>
      <c r="AA497" s="161"/>
      <c r="AB497" s="614">
        <v>896</v>
      </c>
    </row>
    <row r="498" spans="1:28" ht="12.6" customHeight="1">
      <c r="A498" s="4"/>
      <c r="B498" s="781" t="s">
        <v>818</v>
      </c>
      <c r="C498" s="698"/>
      <c r="D498" s="698"/>
      <c r="E498" s="698"/>
      <c r="F498" s="536">
        <f>16*X2</f>
        <v>13808</v>
      </c>
      <c r="G498" s="381">
        <f t="shared" si="1279"/>
        <v>13808</v>
      </c>
      <c r="H498" s="113">
        <f t="shared" ref="H498" si="1280">F498+2000</f>
        <v>15808</v>
      </c>
      <c r="I498" s="410">
        <f t="shared" si="1265"/>
        <v>15808</v>
      </c>
      <c r="J498" s="113">
        <f>F498+500</f>
        <v>14308</v>
      </c>
      <c r="K498" s="410">
        <f t="shared" ref="K498:K499" si="1281">+J498*$X$1</f>
        <v>14308</v>
      </c>
      <c r="L498" s="113">
        <f>F498+460</f>
        <v>14268</v>
      </c>
      <c r="M498" s="410">
        <f t="shared" ref="M498:M499" si="1282">+L498*$X$1</f>
        <v>14268</v>
      </c>
      <c r="N498" s="113">
        <f>F498+430</f>
        <v>14238</v>
      </c>
      <c r="O498" s="410">
        <f t="shared" ref="O498:O499" si="1283">+N498*$X$1</f>
        <v>14238</v>
      </c>
      <c r="P498" s="113">
        <f>F498+400</f>
        <v>14208</v>
      </c>
      <c r="Q498" s="410">
        <f t="shared" ref="Q498:Q499" si="1284">+P498*$X$1</f>
        <v>14208</v>
      </c>
      <c r="R498" s="113">
        <f>F498+380</f>
        <v>14188</v>
      </c>
      <c r="S498" s="410">
        <f t="shared" ref="S498:S499" si="1285">+R498*$X$1</f>
        <v>14188</v>
      </c>
      <c r="T498" s="113">
        <f>F498+350</f>
        <v>14158</v>
      </c>
      <c r="U498" s="410">
        <f t="shared" ref="U498:U499" si="1286">+T498*$X$1</f>
        <v>14158</v>
      </c>
      <c r="V498" s="113">
        <f>F498+320</f>
        <v>14128</v>
      </c>
      <c r="W498" s="410">
        <f t="shared" ref="W498:W499" si="1287">+V498*$X$1</f>
        <v>14128</v>
      </c>
      <c r="X498" s="159"/>
      <c r="Y498" s="154"/>
      <c r="Z498" s="160"/>
      <c r="AA498" s="161"/>
      <c r="AB498" s="614">
        <v>896</v>
      </c>
    </row>
    <row r="499" spans="1:28" ht="12.6" customHeight="1">
      <c r="A499" s="4"/>
      <c r="B499" s="708" t="s">
        <v>825</v>
      </c>
      <c r="C499" s="821"/>
      <c r="D499" s="821"/>
      <c r="E499" s="821"/>
      <c r="F499" s="537">
        <f>22.96*X2</f>
        <v>19814.48</v>
      </c>
      <c r="G499" s="382">
        <f t="shared" si="1279"/>
        <v>19814.48</v>
      </c>
      <c r="H499" s="689">
        <f>F499+3000</f>
        <v>22814.48</v>
      </c>
      <c r="I499" s="382">
        <f t="shared" si="1265"/>
        <v>22814.48</v>
      </c>
      <c r="J499" s="689">
        <f>F499+900</f>
        <v>20714.48</v>
      </c>
      <c r="K499" s="382">
        <f t="shared" si="1281"/>
        <v>20714.48</v>
      </c>
      <c r="L499" s="689">
        <f>F499+840</f>
        <v>20654.48</v>
      </c>
      <c r="M499" s="382">
        <f t="shared" si="1282"/>
        <v>20654.48</v>
      </c>
      <c r="N499" s="689">
        <f>F499+800</f>
        <v>20614.48</v>
      </c>
      <c r="O499" s="382">
        <f t="shared" si="1283"/>
        <v>20614.48</v>
      </c>
      <c r="P499" s="689">
        <f>F499+760</f>
        <v>20574.48</v>
      </c>
      <c r="Q499" s="382">
        <f t="shared" si="1284"/>
        <v>20574.48</v>
      </c>
      <c r="R499" s="689">
        <f>F499+730</f>
        <v>20544.48</v>
      </c>
      <c r="S499" s="382">
        <f t="shared" si="1285"/>
        <v>20544.48</v>
      </c>
      <c r="T499" s="689">
        <f>F499+690</f>
        <v>20504.48</v>
      </c>
      <c r="U499" s="382">
        <f t="shared" si="1286"/>
        <v>20504.48</v>
      </c>
      <c r="V499" s="689">
        <f>F499+650</f>
        <v>20464.48</v>
      </c>
      <c r="W499" s="382">
        <f t="shared" si="1287"/>
        <v>20464.48</v>
      </c>
      <c r="X499" s="159"/>
      <c r="Y499" s="154"/>
      <c r="Z499" s="160"/>
      <c r="AA499" s="161"/>
      <c r="AB499" s="614">
        <v>899</v>
      </c>
    </row>
    <row r="500" spans="1:28" ht="12.6" customHeight="1">
      <c r="A500" s="4"/>
      <c r="B500" s="708" t="s">
        <v>836</v>
      </c>
      <c r="C500" s="821"/>
      <c r="D500" s="821"/>
      <c r="E500" s="821"/>
      <c r="F500" s="536">
        <f>22.96*X2</f>
        <v>19814.48</v>
      </c>
      <c r="G500" s="381">
        <f t="shared" si="1279"/>
        <v>19814.48</v>
      </c>
      <c r="H500" s="113">
        <f t="shared" ref="H500" si="1288">F500+2000</f>
        <v>21814.48</v>
      </c>
      <c r="I500" s="410">
        <f t="shared" si="1265"/>
        <v>21814.48</v>
      </c>
      <c r="J500" s="113">
        <f>F500+500</f>
        <v>20314.48</v>
      </c>
      <c r="K500" s="410">
        <f t="shared" ref="K500:K505" si="1289">+J500*$X$1</f>
        <v>20314.48</v>
      </c>
      <c r="L500" s="113">
        <f>F500+460</f>
        <v>20274.48</v>
      </c>
      <c r="M500" s="410">
        <f t="shared" ref="M500:M505" si="1290">+L500*$X$1</f>
        <v>20274.48</v>
      </c>
      <c r="N500" s="113">
        <f>F500+430</f>
        <v>20244.48</v>
      </c>
      <c r="O500" s="410">
        <f t="shared" ref="O500:O505" si="1291">+N500*$X$1</f>
        <v>20244.48</v>
      </c>
      <c r="P500" s="113">
        <f>F500+400</f>
        <v>20214.48</v>
      </c>
      <c r="Q500" s="410">
        <f t="shared" ref="Q500:Q505" si="1292">+P500*$X$1</f>
        <v>20214.48</v>
      </c>
      <c r="R500" s="113">
        <f>F500+380</f>
        <v>20194.48</v>
      </c>
      <c r="S500" s="410">
        <f t="shared" ref="S500:S505" si="1293">+R500*$X$1</f>
        <v>20194.48</v>
      </c>
      <c r="T500" s="113">
        <f>F500+350</f>
        <v>20164.48</v>
      </c>
      <c r="U500" s="410">
        <f t="shared" ref="U500:U505" si="1294">+T500*$X$1</f>
        <v>20164.48</v>
      </c>
      <c r="V500" s="113">
        <f>F500+320</f>
        <v>20134.48</v>
      </c>
      <c r="W500" s="410">
        <f t="shared" ref="W500:W505" si="1295">+V500*$X$1</f>
        <v>20134.48</v>
      </c>
      <c r="X500" s="159"/>
      <c r="Y500" s="154"/>
      <c r="Z500" s="160"/>
      <c r="AA500" s="161"/>
      <c r="AB500" s="614" t="s">
        <v>837</v>
      </c>
    </row>
    <row r="501" spans="1:28" ht="12.6" customHeight="1">
      <c r="A501" s="4"/>
      <c r="B501" s="789" t="s">
        <v>621</v>
      </c>
      <c r="C501" s="760"/>
      <c r="D501" s="760"/>
      <c r="E501" s="760"/>
      <c r="F501" s="537">
        <f>22.96*X2</f>
        <v>19814.48</v>
      </c>
      <c r="G501" s="382">
        <f t="shared" ref="G501" si="1296">+F501*$X$1</f>
        <v>19814.48</v>
      </c>
      <c r="H501" s="689">
        <f>F501+3000</f>
        <v>22814.48</v>
      </c>
      <c r="I501" s="382">
        <f t="shared" si="1265"/>
        <v>22814.48</v>
      </c>
      <c r="J501" s="689">
        <f>F501+900</f>
        <v>20714.48</v>
      </c>
      <c r="K501" s="382">
        <f t="shared" si="1289"/>
        <v>20714.48</v>
      </c>
      <c r="L501" s="689">
        <f>F501+840</f>
        <v>20654.48</v>
      </c>
      <c r="M501" s="382">
        <f t="shared" si="1290"/>
        <v>20654.48</v>
      </c>
      <c r="N501" s="689">
        <f>F501+800</f>
        <v>20614.48</v>
      </c>
      <c r="O501" s="382">
        <f t="shared" si="1291"/>
        <v>20614.48</v>
      </c>
      <c r="P501" s="689">
        <f>F501+760</f>
        <v>20574.48</v>
      </c>
      <c r="Q501" s="382">
        <f t="shared" si="1292"/>
        <v>20574.48</v>
      </c>
      <c r="R501" s="689">
        <f>F501+730</f>
        <v>20544.48</v>
      </c>
      <c r="S501" s="382">
        <f t="shared" si="1293"/>
        <v>20544.48</v>
      </c>
      <c r="T501" s="689">
        <f>F501+690</f>
        <v>20504.48</v>
      </c>
      <c r="U501" s="382">
        <f t="shared" si="1294"/>
        <v>20504.48</v>
      </c>
      <c r="V501" s="689">
        <f>F501+650</f>
        <v>20464.48</v>
      </c>
      <c r="W501" s="382">
        <f t="shared" si="1295"/>
        <v>20464.48</v>
      </c>
      <c r="X501" s="159"/>
      <c r="Y501" s="154"/>
      <c r="Z501" s="160"/>
      <c r="AA501" s="161"/>
      <c r="AB501" s="614">
        <v>900</v>
      </c>
    </row>
    <row r="502" spans="1:28" ht="12.6" customHeight="1">
      <c r="A502" s="4"/>
      <c r="B502" s="837" t="s">
        <v>525</v>
      </c>
      <c r="C502" s="741"/>
      <c r="D502" s="741"/>
      <c r="E502" s="742"/>
      <c r="F502" s="608">
        <v>17535</v>
      </c>
      <c r="G502" s="381">
        <f>+F502*$X$1</f>
        <v>17535</v>
      </c>
      <c r="H502" s="421">
        <f>F502+3000</f>
        <v>20535</v>
      </c>
      <c r="I502" s="381">
        <f t="shared" si="1265"/>
        <v>20535</v>
      </c>
      <c r="J502" s="421">
        <f>F502+900</f>
        <v>18435</v>
      </c>
      <c r="K502" s="381">
        <f t="shared" si="1289"/>
        <v>18435</v>
      </c>
      <c r="L502" s="421">
        <f>F502+840</f>
        <v>18375</v>
      </c>
      <c r="M502" s="381">
        <f t="shared" si="1290"/>
        <v>18375</v>
      </c>
      <c r="N502" s="421">
        <f>F502+800</f>
        <v>18335</v>
      </c>
      <c r="O502" s="381">
        <f t="shared" si="1291"/>
        <v>18335</v>
      </c>
      <c r="P502" s="421">
        <f>F502+760</f>
        <v>18295</v>
      </c>
      <c r="Q502" s="381">
        <f t="shared" si="1292"/>
        <v>18295</v>
      </c>
      <c r="R502" s="421">
        <f>F502+730</f>
        <v>18265</v>
      </c>
      <c r="S502" s="381">
        <f t="shared" si="1293"/>
        <v>18265</v>
      </c>
      <c r="T502" s="421">
        <f>F502+690</f>
        <v>18225</v>
      </c>
      <c r="U502" s="381">
        <f t="shared" si="1294"/>
        <v>18225</v>
      </c>
      <c r="V502" s="421">
        <f>F502+650</f>
        <v>18185</v>
      </c>
      <c r="W502" s="381">
        <f t="shared" si="1295"/>
        <v>18185</v>
      </c>
      <c r="X502" s="159"/>
      <c r="Y502" s="154"/>
      <c r="Z502" s="160"/>
      <c r="AA502" s="161"/>
      <c r="AB502" s="614">
        <v>902</v>
      </c>
    </row>
    <row r="503" spans="1:28" ht="12.6" customHeight="1">
      <c r="A503" s="4"/>
      <c r="B503" s="1077" t="s">
        <v>526</v>
      </c>
      <c r="C503" s="1078"/>
      <c r="D503" s="1078"/>
      <c r="E503" s="1079"/>
      <c r="F503" s="609">
        <v>17535</v>
      </c>
      <c r="G503" s="382">
        <f>+F503*$X$1</f>
        <v>17535</v>
      </c>
      <c r="H503" s="112">
        <f t="shared" ref="H503:H504" si="1297">F503+2000</f>
        <v>19535</v>
      </c>
      <c r="I503" s="426">
        <f t="shared" ref="I503:I508" si="1298">+H503*$X$1</f>
        <v>19535</v>
      </c>
      <c r="J503" s="112">
        <f>F503+500</f>
        <v>18035</v>
      </c>
      <c r="K503" s="426">
        <f t="shared" si="1289"/>
        <v>18035</v>
      </c>
      <c r="L503" s="112">
        <f>F503+460</f>
        <v>17995</v>
      </c>
      <c r="M503" s="426">
        <f t="shared" si="1290"/>
        <v>17995</v>
      </c>
      <c r="N503" s="112">
        <f>F503+430</f>
        <v>17965</v>
      </c>
      <c r="O503" s="426">
        <f t="shared" si="1291"/>
        <v>17965</v>
      </c>
      <c r="P503" s="112">
        <f>F503+400</f>
        <v>17935</v>
      </c>
      <c r="Q503" s="426">
        <f t="shared" si="1292"/>
        <v>17935</v>
      </c>
      <c r="R503" s="112">
        <f>F503+380</f>
        <v>17915</v>
      </c>
      <c r="S503" s="426">
        <f t="shared" si="1293"/>
        <v>17915</v>
      </c>
      <c r="T503" s="112">
        <f>F503+350</f>
        <v>17885</v>
      </c>
      <c r="U503" s="426">
        <f t="shared" si="1294"/>
        <v>17885</v>
      </c>
      <c r="V503" s="112">
        <f>F503+320</f>
        <v>17855</v>
      </c>
      <c r="W503" s="426">
        <f t="shared" si="1295"/>
        <v>17855</v>
      </c>
      <c r="X503" s="159"/>
      <c r="Y503" s="154"/>
      <c r="Z503" s="160"/>
      <c r="AA503" s="161"/>
      <c r="AB503" s="614">
        <v>902</v>
      </c>
    </row>
    <row r="504" spans="1:28" ht="12.6" customHeight="1">
      <c r="A504" s="4"/>
      <c r="B504" s="781" t="s">
        <v>522</v>
      </c>
      <c r="C504" s="719"/>
      <c r="D504" s="719"/>
      <c r="E504" s="719"/>
      <c r="F504" s="439">
        <v>27390</v>
      </c>
      <c r="G504" s="381">
        <f>+F504*$X$1</f>
        <v>27390</v>
      </c>
      <c r="H504" s="113">
        <f t="shared" si="1297"/>
        <v>29390</v>
      </c>
      <c r="I504" s="410">
        <f t="shared" si="1298"/>
        <v>29390</v>
      </c>
      <c r="J504" s="113">
        <f>F504+500</f>
        <v>27890</v>
      </c>
      <c r="K504" s="410">
        <f t="shared" si="1289"/>
        <v>27890</v>
      </c>
      <c r="L504" s="113">
        <f>F504+460</f>
        <v>27850</v>
      </c>
      <c r="M504" s="410">
        <f t="shared" si="1290"/>
        <v>27850</v>
      </c>
      <c r="N504" s="113">
        <f>F504+430</f>
        <v>27820</v>
      </c>
      <c r="O504" s="410">
        <f t="shared" si="1291"/>
        <v>27820</v>
      </c>
      <c r="P504" s="113">
        <f>F504+400</f>
        <v>27790</v>
      </c>
      <c r="Q504" s="410">
        <f t="shared" si="1292"/>
        <v>27790</v>
      </c>
      <c r="R504" s="113">
        <f>F504+380</f>
        <v>27770</v>
      </c>
      <c r="S504" s="410">
        <f t="shared" si="1293"/>
        <v>27770</v>
      </c>
      <c r="T504" s="113">
        <f>F504+350</f>
        <v>27740</v>
      </c>
      <c r="U504" s="410">
        <f t="shared" si="1294"/>
        <v>27740</v>
      </c>
      <c r="V504" s="113">
        <f>F504+320</f>
        <v>27710</v>
      </c>
      <c r="W504" s="410">
        <f t="shared" si="1295"/>
        <v>27710</v>
      </c>
      <c r="X504" s="159"/>
      <c r="Y504" s="154"/>
      <c r="Z504" s="160"/>
      <c r="AA504" s="161"/>
      <c r="AB504" s="614">
        <v>905</v>
      </c>
    </row>
    <row r="505" spans="1:28" ht="12.6" customHeight="1">
      <c r="A505" s="4"/>
      <c r="B505" s="789" t="s">
        <v>619</v>
      </c>
      <c r="C505" s="760"/>
      <c r="D505" s="760"/>
      <c r="E505" s="760"/>
      <c r="F505" s="537">
        <f>21.3*X2</f>
        <v>18381.900000000001</v>
      </c>
      <c r="G505" s="382">
        <f>+F505*$X$1</f>
        <v>18381.900000000001</v>
      </c>
      <c r="H505" s="689">
        <f>F505+3000</f>
        <v>21381.9</v>
      </c>
      <c r="I505" s="382">
        <f t="shared" si="1298"/>
        <v>21381.9</v>
      </c>
      <c r="J505" s="689">
        <f>F505+900</f>
        <v>19281.900000000001</v>
      </c>
      <c r="K505" s="382">
        <f t="shared" si="1289"/>
        <v>19281.900000000001</v>
      </c>
      <c r="L505" s="689">
        <f>F505+840</f>
        <v>19221.900000000001</v>
      </c>
      <c r="M505" s="382">
        <f t="shared" si="1290"/>
        <v>19221.900000000001</v>
      </c>
      <c r="N505" s="689">
        <f>F505+800</f>
        <v>19181.900000000001</v>
      </c>
      <c r="O505" s="382">
        <f t="shared" si="1291"/>
        <v>19181.900000000001</v>
      </c>
      <c r="P505" s="689">
        <f>F505+760</f>
        <v>19141.900000000001</v>
      </c>
      <c r="Q505" s="382">
        <f t="shared" si="1292"/>
        <v>19141.900000000001</v>
      </c>
      <c r="R505" s="689">
        <f>F505+730</f>
        <v>19111.900000000001</v>
      </c>
      <c r="S505" s="382">
        <f t="shared" si="1293"/>
        <v>19111.900000000001</v>
      </c>
      <c r="T505" s="689">
        <f>F505+690</f>
        <v>19071.900000000001</v>
      </c>
      <c r="U505" s="382">
        <f t="shared" si="1294"/>
        <v>19071.900000000001</v>
      </c>
      <c r="V505" s="689">
        <f>F505+650</f>
        <v>19031.900000000001</v>
      </c>
      <c r="W505" s="382">
        <f t="shared" si="1295"/>
        <v>19031.900000000001</v>
      </c>
      <c r="X505" s="159"/>
      <c r="Y505" s="154"/>
      <c r="Z505" s="160"/>
      <c r="AA505" s="161"/>
      <c r="AB505" s="614">
        <v>906</v>
      </c>
    </row>
    <row r="506" spans="1:28" ht="12.6" customHeight="1">
      <c r="A506" s="4"/>
      <c r="B506" s="781" t="s">
        <v>620</v>
      </c>
      <c r="C506" s="719"/>
      <c r="D506" s="719"/>
      <c r="E506" s="719"/>
      <c r="F506" s="536">
        <f>21.3*X2</f>
        <v>18381.900000000001</v>
      </c>
      <c r="G506" s="381">
        <f>+F506*$X$1</f>
        <v>18381.900000000001</v>
      </c>
      <c r="H506" s="113">
        <f t="shared" ref="H506" si="1299">F506+2000</f>
        <v>20381.900000000001</v>
      </c>
      <c r="I506" s="410">
        <f t="shared" si="1298"/>
        <v>20381.900000000001</v>
      </c>
      <c r="J506" s="113">
        <f>F506+500</f>
        <v>18881.900000000001</v>
      </c>
      <c r="K506" s="410">
        <f t="shared" ref="K506:K507" si="1300">+J506*$X$1</f>
        <v>18881.900000000001</v>
      </c>
      <c r="L506" s="113">
        <f>F506+460</f>
        <v>18841.900000000001</v>
      </c>
      <c r="M506" s="410">
        <f t="shared" ref="M506:M508" si="1301">+L506*$X$1</f>
        <v>18841.900000000001</v>
      </c>
      <c r="N506" s="113">
        <f>F506+430</f>
        <v>18811.900000000001</v>
      </c>
      <c r="O506" s="410">
        <f t="shared" ref="O506:O508" si="1302">+N506*$X$1</f>
        <v>18811.900000000001</v>
      </c>
      <c r="P506" s="113">
        <f>F506+400</f>
        <v>18781.900000000001</v>
      </c>
      <c r="Q506" s="410">
        <f t="shared" ref="Q506:Q508" si="1303">+P506*$X$1</f>
        <v>18781.900000000001</v>
      </c>
      <c r="R506" s="113">
        <f>F506+380</f>
        <v>18761.900000000001</v>
      </c>
      <c r="S506" s="410">
        <f t="shared" ref="S506:S508" si="1304">+R506*$X$1</f>
        <v>18761.900000000001</v>
      </c>
      <c r="T506" s="113">
        <f>F506+350</f>
        <v>18731.900000000001</v>
      </c>
      <c r="U506" s="410">
        <f t="shared" ref="U506:U507" si="1305">+T506*$X$1</f>
        <v>18731.900000000001</v>
      </c>
      <c r="V506" s="113">
        <f>F506+320</f>
        <v>18701.900000000001</v>
      </c>
      <c r="W506" s="410">
        <f t="shared" ref="W506:W508" si="1306">+V506*$X$1</f>
        <v>18701.900000000001</v>
      </c>
      <c r="X506" s="159"/>
      <c r="Y506" s="154"/>
      <c r="Z506" s="160"/>
      <c r="AA506" s="161"/>
      <c r="AB506" s="614">
        <v>906</v>
      </c>
    </row>
    <row r="507" spans="1:28" ht="12.6" customHeight="1">
      <c r="A507" s="4"/>
      <c r="B507" s="789" t="s">
        <v>816</v>
      </c>
      <c r="C507" s="714"/>
      <c r="D507" s="714"/>
      <c r="E507" s="714"/>
      <c r="F507" s="538">
        <f>23.156*X2</f>
        <v>19983.628000000001</v>
      </c>
      <c r="G507" s="382">
        <f t="shared" ref="G507" si="1307">+F507*$X$1</f>
        <v>19983.628000000001</v>
      </c>
      <c r="H507" s="689">
        <f>F507+3000</f>
        <v>22983.628000000001</v>
      </c>
      <c r="I507" s="382">
        <f t="shared" si="1298"/>
        <v>22983.628000000001</v>
      </c>
      <c r="J507" s="689">
        <f>F507+900</f>
        <v>20883.628000000001</v>
      </c>
      <c r="K507" s="382">
        <f t="shared" si="1300"/>
        <v>20883.628000000001</v>
      </c>
      <c r="L507" s="689">
        <f>F507+840</f>
        <v>20823.628000000001</v>
      </c>
      <c r="M507" s="382">
        <f t="shared" si="1301"/>
        <v>20823.628000000001</v>
      </c>
      <c r="N507" s="689">
        <f>F507+800</f>
        <v>20783.628000000001</v>
      </c>
      <c r="O507" s="382">
        <f t="shared" si="1302"/>
        <v>20783.628000000001</v>
      </c>
      <c r="P507" s="689">
        <f>F507+760</f>
        <v>20743.628000000001</v>
      </c>
      <c r="Q507" s="382">
        <f t="shared" si="1303"/>
        <v>20743.628000000001</v>
      </c>
      <c r="R507" s="689">
        <f>F507+730</f>
        <v>20713.628000000001</v>
      </c>
      <c r="S507" s="382">
        <f t="shared" si="1304"/>
        <v>20713.628000000001</v>
      </c>
      <c r="T507" s="689">
        <f>F507+690</f>
        <v>20673.628000000001</v>
      </c>
      <c r="U507" s="382">
        <f t="shared" si="1305"/>
        <v>20673.628000000001</v>
      </c>
      <c r="V507" s="689">
        <f>F507+650</f>
        <v>20633.628000000001</v>
      </c>
      <c r="W507" s="382">
        <f t="shared" si="1306"/>
        <v>20633.628000000001</v>
      </c>
      <c r="X507" s="159"/>
      <c r="Y507" s="154"/>
      <c r="Z507" s="160"/>
      <c r="AA507" s="161"/>
      <c r="AB507" s="614" t="s">
        <v>838</v>
      </c>
    </row>
    <row r="508" spans="1:28" ht="12.6" customHeight="1">
      <c r="A508" s="4"/>
      <c r="B508" s="781" t="s">
        <v>815</v>
      </c>
      <c r="C508" s="698"/>
      <c r="D508" s="698"/>
      <c r="E508" s="698"/>
      <c r="F508" s="539">
        <f>23.156*X2</f>
        <v>19983.628000000001</v>
      </c>
      <c r="G508" s="381">
        <f t="shared" ref="G508" si="1308">+F508*$X$1</f>
        <v>19983.628000000001</v>
      </c>
      <c r="H508" s="113">
        <f t="shared" ref="H508" si="1309">F508+2000</f>
        <v>21983.628000000001</v>
      </c>
      <c r="I508" s="410">
        <f t="shared" si="1298"/>
        <v>21983.628000000001</v>
      </c>
      <c r="J508" s="113">
        <f>F508+500</f>
        <v>20483.628000000001</v>
      </c>
      <c r="K508" s="410">
        <f t="shared" ref="K508" si="1310">+J508*$X$1</f>
        <v>20483.628000000001</v>
      </c>
      <c r="L508" s="113">
        <f>F508+460</f>
        <v>20443.628000000001</v>
      </c>
      <c r="M508" s="410">
        <f t="shared" si="1301"/>
        <v>20443.628000000001</v>
      </c>
      <c r="N508" s="113">
        <f>F508+430</f>
        <v>20413.628000000001</v>
      </c>
      <c r="O508" s="410">
        <f t="shared" si="1302"/>
        <v>20413.628000000001</v>
      </c>
      <c r="P508" s="113">
        <f>F508+400</f>
        <v>20383.628000000001</v>
      </c>
      <c r="Q508" s="410">
        <f t="shared" si="1303"/>
        <v>20383.628000000001</v>
      </c>
      <c r="R508" s="113">
        <f>F508+380</f>
        <v>20363.628000000001</v>
      </c>
      <c r="S508" s="410">
        <f t="shared" si="1304"/>
        <v>20363.628000000001</v>
      </c>
      <c r="T508" s="113">
        <f>F508+350</f>
        <v>20333.628000000001</v>
      </c>
      <c r="U508" s="410">
        <f t="shared" ref="U508" si="1311">+T508*$X$1</f>
        <v>20333.628000000001</v>
      </c>
      <c r="V508" s="113">
        <f>F508+320</f>
        <v>20303.628000000001</v>
      </c>
      <c r="W508" s="410">
        <f t="shared" si="1306"/>
        <v>20303.628000000001</v>
      </c>
      <c r="X508" s="159"/>
      <c r="Y508" s="154"/>
      <c r="Z508" s="160"/>
      <c r="AA508" s="161"/>
      <c r="AB508" s="614">
        <v>907</v>
      </c>
    </row>
    <row r="509" spans="1:28" ht="12.6" customHeight="1">
      <c r="A509" s="4"/>
      <c r="B509" s="782" t="s">
        <v>817</v>
      </c>
      <c r="C509" s="824"/>
      <c r="D509" s="824"/>
      <c r="E509" s="824"/>
      <c r="F509" s="537"/>
      <c r="G509" s="582"/>
      <c r="H509" s="112"/>
      <c r="I509" s="426"/>
      <c r="J509" s="573"/>
      <c r="K509" s="382"/>
      <c r="L509" s="112"/>
      <c r="M509" s="426"/>
      <c r="N509" s="112"/>
      <c r="O509" s="426"/>
      <c r="P509" s="112"/>
      <c r="Q509" s="426"/>
      <c r="R509" s="112"/>
      <c r="S509" s="426"/>
      <c r="T509" s="112"/>
      <c r="U509" s="426"/>
      <c r="V509" s="112"/>
      <c r="W509" s="426"/>
      <c r="X509" s="159"/>
      <c r="Y509" s="154"/>
      <c r="Z509" s="160"/>
      <c r="AA509" s="161"/>
      <c r="AB509" s="614">
        <v>909</v>
      </c>
    </row>
    <row r="510" spans="1:28" ht="12.6" customHeight="1">
      <c r="A510" s="4"/>
      <c r="B510" s="844" t="s">
        <v>779</v>
      </c>
      <c r="C510" s="845"/>
      <c r="D510" s="845"/>
      <c r="E510" s="845"/>
      <c r="F510" s="381"/>
      <c r="G510" s="381"/>
      <c r="H510" s="421">
        <v>1600</v>
      </c>
      <c r="I510" s="381">
        <f t="shared" ref="I510" si="1312">+H510*$X$1</f>
        <v>1600</v>
      </c>
      <c r="J510" s="421">
        <v>700</v>
      </c>
      <c r="K510" s="381">
        <f t="shared" ref="K510" si="1313">+J510*$X$1</f>
        <v>700</v>
      </c>
      <c r="L510" s="421">
        <v>600</v>
      </c>
      <c r="M510" s="381">
        <f t="shared" ref="M510" si="1314">+L510*$X$1</f>
        <v>600</v>
      </c>
      <c r="N510" s="421">
        <v>560</v>
      </c>
      <c r="O510" s="381">
        <f t="shared" ref="O510" si="1315">+N510*$X$1</f>
        <v>560</v>
      </c>
      <c r="P510" s="421">
        <v>510</v>
      </c>
      <c r="Q510" s="381">
        <f t="shared" ref="Q510" si="1316">+P510*$X$1</f>
        <v>510</v>
      </c>
      <c r="R510" s="421">
        <v>460</v>
      </c>
      <c r="S510" s="381">
        <f t="shared" ref="S510" si="1317">+R510*$X$1</f>
        <v>460</v>
      </c>
      <c r="T510" s="421">
        <v>430</v>
      </c>
      <c r="U510" s="381">
        <f t="shared" ref="U510" si="1318">+T510*$X$1</f>
        <v>430</v>
      </c>
      <c r="V510" s="421">
        <v>390</v>
      </c>
      <c r="W510" s="381">
        <f t="shared" ref="W510" si="1319">+V510*$X$1</f>
        <v>390</v>
      </c>
      <c r="X510" s="159"/>
      <c r="Y510" s="154"/>
      <c r="Z510" s="160"/>
      <c r="AA510" s="161"/>
      <c r="AB510" s="35"/>
    </row>
    <row r="511" spans="1:28" ht="12.6" customHeight="1">
      <c r="A511" s="4"/>
      <c r="B511" s="840" t="s">
        <v>780</v>
      </c>
      <c r="C511" s="841"/>
      <c r="D511" s="841"/>
      <c r="E511" s="841"/>
      <c r="F511" s="382"/>
      <c r="G511" s="382"/>
      <c r="H511" s="546">
        <v>900</v>
      </c>
      <c r="I511" s="382">
        <f t="shared" ref="I511" si="1320">+H511*$X$1</f>
        <v>900</v>
      </c>
      <c r="J511" s="546">
        <v>350</v>
      </c>
      <c r="K511" s="382">
        <f t="shared" ref="K511" si="1321">+J511*$X$1</f>
        <v>350</v>
      </c>
      <c r="L511" s="546">
        <v>310</v>
      </c>
      <c r="M511" s="382">
        <f t="shared" ref="M511" si="1322">+L511*$X$1</f>
        <v>310</v>
      </c>
      <c r="N511" s="546">
        <v>280</v>
      </c>
      <c r="O511" s="382">
        <f t="shared" ref="O511" si="1323">+N511*$X$1</f>
        <v>280</v>
      </c>
      <c r="P511" s="546">
        <v>250</v>
      </c>
      <c r="Q511" s="382">
        <f t="shared" ref="Q511" si="1324">+P511*$X$1</f>
        <v>250</v>
      </c>
      <c r="R511" s="546">
        <v>230</v>
      </c>
      <c r="S511" s="382">
        <f t="shared" ref="S511" si="1325">+R511*$X$1</f>
        <v>230</v>
      </c>
      <c r="T511" s="546">
        <v>220</v>
      </c>
      <c r="U511" s="382">
        <f t="shared" ref="U511" si="1326">+T511*$X$1</f>
        <v>220</v>
      </c>
      <c r="V511" s="546">
        <v>210</v>
      </c>
      <c r="W511" s="382">
        <f t="shared" ref="W511" si="1327">+V511*$X$1</f>
        <v>210</v>
      </c>
      <c r="X511" s="159"/>
      <c r="Y511" s="154"/>
      <c r="Z511" s="160"/>
      <c r="AA511" s="161"/>
      <c r="AB511" s="35"/>
    </row>
    <row r="512" spans="1:28" ht="11.25" customHeight="1" thickBot="1">
      <c r="A512" s="106"/>
      <c r="B512" s="84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6"/>
      <c r="W512" s="87"/>
      <c r="AB512" s="88"/>
    </row>
    <row r="513" spans="1:34" ht="15.75" customHeight="1" thickBot="1">
      <c r="B513" s="810" t="s">
        <v>746</v>
      </c>
      <c r="C513" s="811"/>
      <c r="D513" s="811"/>
      <c r="E513" s="811"/>
      <c r="F513" s="811"/>
      <c r="G513" s="811"/>
      <c r="H513" s="811"/>
      <c r="I513" s="811"/>
      <c r="J513" s="811"/>
      <c r="K513" s="811"/>
      <c r="L513" s="811"/>
      <c r="M513" s="811"/>
      <c r="N513" s="811"/>
      <c r="O513" s="811"/>
      <c r="P513" s="811"/>
      <c r="Q513" s="811"/>
      <c r="R513" s="811"/>
      <c r="S513" s="811"/>
      <c r="T513" s="811"/>
      <c r="U513" s="811"/>
      <c r="V513" s="811"/>
      <c r="W513" s="812"/>
      <c r="AB513" s="4"/>
      <c r="AF513" s="815"/>
      <c r="AG513" s="816"/>
      <c r="AH513" s="816"/>
    </row>
    <row r="514" spans="1:34" ht="14.25" customHeight="1">
      <c r="B514" s="772" t="s">
        <v>11</v>
      </c>
      <c r="C514" s="774" t="s">
        <v>12</v>
      </c>
      <c r="D514" s="775"/>
      <c r="E514" s="775"/>
      <c r="F514" s="787" t="s">
        <v>315</v>
      </c>
      <c r="G514" s="787" t="s">
        <v>13</v>
      </c>
      <c r="H514" s="828" t="s">
        <v>528</v>
      </c>
      <c r="I514" s="828"/>
      <c r="J514" s="829"/>
      <c r="K514" s="829"/>
      <c r="L514" s="829"/>
      <c r="M514" s="829"/>
      <c r="N514" s="829"/>
      <c r="O514" s="829"/>
      <c r="P514" s="829"/>
      <c r="Q514" s="829"/>
      <c r="R514" s="829"/>
      <c r="S514" s="829"/>
      <c r="T514" s="829"/>
      <c r="U514" s="829"/>
      <c r="V514" s="829"/>
      <c r="W514" s="830"/>
      <c r="X514" s="777" t="s">
        <v>15</v>
      </c>
      <c r="Y514" s="778"/>
      <c r="Z514" s="778"/>
      <c r="AA514" s="778"/>
      <c r="AB514" s="831" t="s">
        <v>16</v>
      </c>
      <c r="AF514" s="815"/>
      <c r="AG514" s="816"/>
      <c r="AH514" s="816"/>
    </row>
    <row r="515" spans="1:34" ht="12.75" customHeight="1" thickBot="1">
      <c r="B515" s="773"/>
      <c r="C515" s="776"/>
      <c r="D515" s="776"/>
      <c r="E515" s="776"/>
      <c r="F515" s="788"/>
      <c r="G515" s="788"/>
      <c r="H515" s="328"/>
      <c r="I515" s="326" t="s">
        <v>707</v>
      </c>
      <c r="J515" s="328"/>
      <c r="K515" s="326" t="s">
        <v>317</v>
      </c>
      <c r="L515" s="328"/>
      <c r="M515" s="326" t="s">
        <v>318</v>
      </c>
      <c r="N515" s="328"/>
      <c r="O515" s="326" t="s">
        <v>728</v>
      </c>
      <c r="P515" s="328"/>
      <c r="Q515" s="326" t="s">
        <v>18</v>
      </c>
      <c r="R515" s="328"/>
      <c r="S515" s="326" t="s">
        <v>19</v>
      </c>
      <c r="T515" s="328"/>
      <c r="U515" s="326" t="s">
        <v>20</v>
      </c>
      <c r="V515" s="328"/>
      <c r="W515" s="327" t="s">
        <v>729</v>
      </c>
      <c r="X515" s="779"/>
      <c r="Y515" s="780"/>
      <c r="Z515" s="780"/>
      <c r="AA515" s="780"/>
      <c r="AB515" s="832"/>
    </row>
    <row r="516" spans="1:34" ht="12.6" customHeight="1">
      <c r="A516" s="4"/>
      <c r="B516" s="835" t="s">
        <v>712</v>
      </c>
      <c r="C516" s="836"/>
      <c r="D516" s="836"/>
      <c r="E516" s="836"/>
      <c r="F516" s="542">
        <f>31.32*X2</f>
        <v>27029.16</v>
      </c>
      <c r="G516" s="410">
        <f t="shared" ref="G516:K530" si="1328">+F516*$X$1</f>
        <v>27029.16</v>
      </c>
      <c r="H516" s="113">
        <f t="shared" ref="H516:H539" si="1329">F516+2000</f>
        <v>29029.16</v>
      </c>
      <c r="I516" s="410">
        <f t="shared" si="1328"/>
        <v>29029.16</v>
      </c>
      <c r="J516" s="113">
        <f>F516+450</f>
        <v>27479.16</v>
      </c>
      <c r="K516" s="410">
        <f t="shared" si="1328"/>
        <v>27479.16</v>
      </c>
      <c r="L516" s="113">
        <f>F516+380</f>
        <v>27409.16</v>
      </c>
      <c r="M516" s="410">
        <f t="shared" ref="M516" si="1330">+L516*$X$1</f>
        <v>27409.16</v>
      </c>
      <c r="N516" s="113">
        <f>F516+330</f>
        <v>27359.16</v>
      </c>
      <c r="O516" s="410">
        <f t="shared" ref="O516" si="1331">+N516*$X$1</f>
        <v>27359.16</v>
      </c>
      <c r="P516" s="113">
        <f>F516+300</f>
        <v>27329.16</v>
      </c>
      <c r="Q516" s="410">
        <f t="shared" ref="Q516" si="1332">+P516*$X$1</f>
        <v>27329.16</v>
      </c>
      <c r="R516" s="113">
        <f>F516+270</f>
        <v>27299.16</v>
      </c>
      <c r="S516" s="410">
        <f t="shared" ref="S516" si="1333">+R516*$X$1</f>
        <v>27299.16</v>
      </c>
      <c r="T516" s="113">
        <f>F516+230</f>
        <v>27259.16</v>
      </c>
      <c r="U516" s="410">
        <f t="shared" ref="U516" si="1334">+T516*$X$1</f>
        <v>27259.16</v>
      </c>
      <c r="V516" s="113">
        <f>F516+190</f>
        <v>27219.16</v>
      </c>
      <c r="W516" s="410">
        <f t="shared" ref="W516" si="1335">+V516*$X$1</f>
        <v>27219.16</v>
      </c>
      <c r="X516" s="159"/>
      <c r="Y516" s="154"/>
      <c r="Z516" s="160"/>
      <c r="AA516" s="161"/>
      <c r="AB516" s="614">
        <v>570</v>
      </c>
    </row>
    <row r="517" spans="1:34" ht="12.6" customHeight="1">
      <c r="A517" s="4"/>
      <c r="B517" s="730" t="s">
        <v>717</v>
      </c>
      <c r="C517" s="824"/>
      <c r="D517" s="824"/>
      <c r="E517" s="824"/>
      <c r="F517" s="577">
        <v>48211</v>
      </c>
      <c r="G517" s="426">
        <f t="shared" ref="G517" si="1336">+F517*$X$1</f>
        <v>48211</v>
      </c>
      <c r="H517" s="112">
        <f t="shared" si="1329"/>
        <v>50211</v>
      </c>
      <c r="I517" s="426">
        <f t="shared" ref="I517:K518" si="1337">+H517*$X$1</f>
        <v>50211</v>
      </c>
      <c r="J517" s="112">
        <f t="shared" ref="J517:J546" si="1338">F517+450</f>
        <v>48661</v>
      </c>
      <c r="K517" s="426">
        <f t="shared" si="1337"/>
        <v>48661</v>
      </c>
      <c r="L517" s="112">
        <f t="shared" ref="L517:L546" si="1339">F517+380</f>
        <v>48591</v>
      </c>
      <c r="M517" s="426">
        <f t="shared" ref="M517:M551" si="1340">+L517*$X$1</f>
        <v>48591</v>
      </c>
      <c r="N517" s="112">
        <f>F517+330</f>
        <v>48541</v>
      </c>
      <c r="O517" s="426">
        <f t="shared" ref="O517:O519" si="1341">+N517*$X$1</f>
        <v>48541</v>
      </c>
      <c r="P517" s="112">
        <f>F517+300</f>
        <v>48511</v>
      </c>
      <c r="Q517" s="426">
        <f t="shared" ref="Q517:Q518" si="1342">+P517*$X$1</f>
        <v>48511</v>
      </c>
      <c r="R517" s="112">
        <f>F517+270</f>
        <v>48481</v>
      </c>
      <c r="S517" s="426">
        <f t="shared" ref="S517:S518" si="1343">+R517*$X$1</f>
        <v>48481</v>
      </c>
      <c r="T517" s="112">
        <f>F517+230</f>
        <v>48441</v>
      </c>
      <c r="U517" s="426">
        <f t="shared" ref="U517:U518" si="1344">+T517*$X$1</f>
        <v>48441</v>
      </c>
      <c r="V517" s="112">
        <f>F517+190</f>
        <v>48401</v>
      </c>
      <c r="W517" s="426">
        <f t="shared" ref="W517:W518" si="1345">+V517*$X$1</f>
        <v>48401</v>
      </c>
      <c r="X517" s="159"/>
      <c r="Y517" s="154"/>
      <c r="Z517" s="160"/>
      <c r="AA517" s="161"/>
      <c r="AB517" s="614">
        <v>577</v>
      </c>
    </row>
    <row r="518" spans="1:34" ht="12.6" customHeight="1">
      <c r="A518" s="4"/>
      <c r="B518" s="697" t="s">
        <v>725</v>
      </c>
      <c r="C518" s="719"/>
      <c r="D518" s="719"/>
      <c r="E518" s="719"/>
      <c r="F518" s="542">
        <f>33.64*X2</f>
        <v>29031.32</v>
      </c>
      <c r="G518" s="410">
        <f t="shared" si="1328"/>
        <v>29031.32</v>
      </c>
      <c r="H518" s="113">
        <f t="shared" si="1329"/>
        <v>31031.32</v>
      </c>
      <c r="I518" s="410">
        <f t="shared" si="1337"/>
        <v>31031.32</v>
      </c>
      <c r="J518" s="113">
        <f t="shared" si="1338"/>
        <v>29481.32</v>
      </c>
      <c r="K518" s="410">
        <f t="shared" si="1337"/>
        <v>29481.32</v>
      </c>
      <c r="L518" s="113">
        <f t="shared" si="1339"/>
        <v>29411.32</v>
      </c>
      <c r="M518" s="410">
        <f t="shared" si="1340"/>
        <v>29411.32</v>
      </c>
      <c r="N518" s="113">
        <f t="shared" ref="N518" si="1346">F518+330</f>
        <v>29361.32</v>
      </c>
      <c r="O518" s="410">
        <f t="shared" ref="O518" si="1347">+N518*$X$1</f>
        <v>29361.32</v>
      </c>
      <c r="P518" s="113">
        <f t="shared" ref="P518" si="1348">F518+300</f>
        <v>29331.32</v>
      </c>
      <c r="Q518" s="410">
        <f t="shared" si="1342"/>
        <v>29331.32</v>
      </c>
      <c r="R518" s="113">
        <f t="shared" ref="R518" si="1349">F518+270</f>
        <v>29301.32</v>
      </c>
      <c r="S518" s="410">
        <f t="shared" si="1343"/>
        <v>29301.32</v>
      </c>
      <c r="T518" s="113">
        <f t="shared" ref="T518" si="1350">F518+230</f>
        <v>29261.32</v>
      </c>
      <c r="U518" s="410">
        <f t="shared" si="1344"/>
        <v>29261.32</v>
      </c>
      <c r="V518" s="113">
        <f t="shared" ref="V518" si="1351">F518+190</f>
        <v>29221.32</v>
      </c>
      <c r="W518" s="410">
        <f t="shared" si="1345"/>
        <v>29221.32</v>
      </c>
      <c r="X518" s="159"/>
      <c r="Y518" s="154"/>
      <c r="Z518" s="160"/>
      <c r="AA518" s="161"/>
      <c r="AB518" s="614">
        <v>580</v>
      </c>
    </row>
    <row r="519" spans="1:34" ht="12.6" customHeight="1">
      <c r="A519" s="4"/>
      <c r="B519" s="713" t="s">
        <v>726</v>
      </c>
      <c r="C519" s="760"/>
      <c r="D519" s="760"/>
      <c r="E519" s="760"/>
      <c r="F519" s="538">
        <f>38.5*X2</f>
        <v>33225.5</v>
      </c>
      <c r="G519" s="382">
        <f t="shared" si="1328"/>
        <v>33225.5</v>
      </c>
      <c r="H519" s="112">
        <f t="shared" ref="H519" si="1352">F519+2000</f>
        <v>35225.5</v>
      </c>
      <c r="I519" s="426">
        <f t="shared" si="1328"/>
        <v>35225.5</v>
      </c>
      <c r="J519" s="112">
        <f t="shared" ref="J519" si="1353">F519+450</f>
        <v>33675.5</v>
      </c>
      <c r="K519" s="426">
        <f t="shared" si="1328"/>
        <v>33675.5</v>
      </c>
      <c r="L519" s="112">
        <f t="shared" ref="L519" si="1354">F519+380</f>
        <v>33605.5</v>
      </c>
      <c r="M519" s="426">
        <f t="shared" ref="M519" si="1355">+L519*$X$1</f>
        <v>33605.5</v>
      </c>
      <c r="N519" s="112">
        <f t="shared" ref="N519" si="1356">F519+330</f>
        <v>33555.5</v>
      </c>
      <c r="O519" s="426">
        <f t="shared" si="1341"/>
        <v>33555.5</v>
      </c>
      <c r="P519" s="112">
        <f t="shared" ref="P519" si="1357">F519+300</f>
        <v>33525.5</v>
      </c>
      <c r="Q519" s="426">
        <f t="shared" ref="Q519" si="1358">+P519*$X$1</f>
        <v>33525.5</v>
      </c>
      <c r="R519" s="112">
        <f t="shared" ref="R519" si="1359">F519+270</f>
        <v>33495.5</v>
      </c>
      <c r="S519" s="426">
        <f t="shared" ref="S519" si="1360">+R519*$X$1</f>
        <v>33495.5</v>
      </c>
      <c r="T519" s="112">
        <f t="shared" ref="T519" si="1361">F519+230</f>
        <v>33455.5</v>
      </c>
      <c r="U519" s="426">
        <f t="shared" ref="U519" si="1362">+T519*$X$1</f>
        <v>33455.5</v>
      </c>
      <c r="V519" s="112">
        <f t="shared" ref="V519" si="1363">F519+190</f>
        <v>33415.5</v>
      </c>
      <c r="W519" s="426">
        <f t="shared" ref="W519" si="1364">+V519*$X$1</f>
        <v>33415.5</v>
      </c>
      <c r="X519" s="159"/>
      <c r="Y519" s="154"/>
      <c r="Z519" s="160"/>
      <c r="AA519" s="161"/>
      <c r="AB519" s="614">
        <v>582</v>
      </c>
    </row>
    <row r="520" spans="1:34" ht="12.6" customHeight="1">
      <c r="A520" s="4"/>
      <c r="B520" s="697" t="s">
        <v>727</v>
      </c>
      <c r="C520" s="719"/>
      <c r="D520" s="719"/>
      <c r="E520" s="719"/>
      <c r="F520" s="610">
        <v>53750</v>
      </c>
      <c r="G520" s="410">
        <f t="shared" si="1328"/>
        <v>53750</v>
      </c>
      <c r="H520" s="113">
        <f t="shared" si="1329"/>
        <v>55750</v>
      </c>
      <c r="I520" s="410">
        <f t="shared" si="1328"/>
        <v>55750</v>
      </c>
      <c r="J520" s="113">
        <f t="shared" si="1338"/>
        <v>54200</v>
      </c>
      <c r="K520" s="410">
        <f t="shared" si="1328"/>
        <v>54200</v>
      </c>
      <c r="L520" s="113">
        <f t="shared" si="1339"/>
        <v>54130</v>
      </c>
      <c r="M520" s="410">
        <f t="shared" si="1340"/>
        <v>54130</v>
      </c>
      <c r="N520" s="113">
        <f t="shared" ref="N520:N546" si="1365">F520+330</f>
        <v>54080</v>
      </c>
      <c r="O520" s="410">
        <f t="shared" ref="O520:O551" si="1366">+N520*$X$1</f>
        <v>54080</v>
      </c>
      <c r="P520" s="113">
        <f t="shared" ref="P520:P546" si="1367">F520+300</f>
        <v>54050</v>
      </c>
      <c r="Q520" s="410">
        <f t="shared" ref="Q520:Q551" si="1368">+P520*$X$1</f>
        <v>54050</v>
      </c>
      <c r="R520" s="113">
        <f t="shared" ref="R520:R546" si="1369">F520+270</f>
        <v>54020</v>
      </c>
      <c r="S520" s="410">
        <f t="shared" ref="S520:S551" si="1370">+R520*$X$1</f>
        <v>54020</v>
      </c>
      <c r="T520" s="113">
        <f t="shared" ref="T520:T546" si="1371">F520+230</f>
        <v>53980</v>
      </c>
      <c r="U520" s="410">
        <f t="shared" ref="U520:U551" si="1372">+T520*$X$1</f>
        <v>53980</v>
      </c>
      <c r="V520" s="113">
        <f t="shared" ref="V520:V546" si="1373">F520+190</f>
        <v>53940</v>
      </c>
      <c r="W520" s="410">
        <f t="shared" ref="W520:W551" si="1374">+V520*$X$1</f>
        <v>53940</v>
      </c>
      <c r="X520" s="159"/>
      <c r="Y520" s="154"/>
      <c r="Z520" s="160"/>
      <c r="AA520" s="161"/>
      <c r="AB520" s="614">
        <v>584</v>
      </c>
    </row>
    <row r="521" spans="1:34" ht="12.6" customHeight="1">
      <c r="A521" s="4"/>
      <c r="B521" s="713" t="s">
        <v>724</v>
      </c>
      <c r="C521" s="760"/>
      <c r="D521" s="760"/>
      <c r="E521" s="760"/>
      <c r="F521" s="541">
        <f>33*X2</f>
        <v>28479</v>
      </c>
      <c r="G521" s="426">
        <f t="shared" si="1328"/>
        <v>28479</v>
      </c>
      <c r="H521" s="112">
        <f t="shared" si="1329"/>
        <v>30479</v>
      </c>
      <c r="I521" s="426">
        <f t="shared" ref="I521" si="1375">+H521*$X$1</f>
        <v>30479</v>
      </c>
      <c r="J521" s="112">
        <f t="shared" si="1338"/>
        <v>28929</v>
      </c>
      <c r="K521" s="426">
        <f t="shared" ref="K521" si="1376">+J521*$X$1</f>
        <v>28929</v>
      </c>
      <c r="L521" s="112">
        <f t="shared" si="1339"/>
        <v>28859</v>
      </c>
      <c r="M521" s="426">
        <f t="shared" si="1340"/>
        <v>28859</v>
      </c>
      <c r="N521" s="112">
        <f t="shared" si="1365"/>
        <v>28809</v>
      </c>
      <c r="O521" s="426">
        <f t="shared" si="1366"/>
        <v>28809</v>
      </c>
      <c r="P521" s="112">
        <f t="shared" si="1367"/>
        <v>28779</v>
      </c>
      <c r="Q521" s="426">
        <f t="shared" si="1368"/>
        <v>28779</v>
      </c>
      <c r="R521" s="112">
        <f t="shared" si="1369"/>
        <v>28749</v>
      </c>
      <c r="S521" s="426">
        <f t="shared" si="1370"/>
        <v>28749</v>
      </c>
      <c r="T521" s="112">
        <f t="shared" si="1371"/>
        <v>28709</v>
      </c>
      <c r="U521" s="426">
        <f t="shared" si="1372"/>
        <v>28709</v>
      </c>
      <c r="V521" s="112">
        <f t="shared" si="1373"/>
        <v>28669</v>
      </c>
      <c r="W521" s="426">
        <f t="shared" si="1374"/>
        <v>28669</v>
      </c>
      <c r="X521" s="159"/>
      <c r="Y521" s="154"/>
      <c r="Z521" s="160"/>
      <c r="AA521" s="161"/>
      <c r="AB521" s="614">
        <v>586</v>
      </c>
    </row>
    <row r="522" spans="1:34" ht="12.6" customHeight="1">
      <c r="A522" s="4"/>
      <c r="B522" s="837" t="s">
        <v>715</v>
      </c>
      <c r="C522" s="838"/>
      <c r="D522" s="838"/>
      <c r="E522" s="839"/>
      <c r="F522" s="608">
        <v>63582</v>
      </c>
      <c r="G522" s="381">
        <f t="shared" si="1328"/>
        <v>63582</v>
      </c>
      <c r="H522" s="113">
        <f t="shared" si="1329"/>
        <v>65582</v>
      </c>
      <c r="I522" s="410">
        <f t="shared" si="1328"/>
        <v>65582</v>
      </c>
      <c r="J522" s="113">
        <f t="shared" si="1338"/>
        <v>64032</v>
      </c>
      <c r="K522" s="410">
        <f t="shared" si="1328"/>
        <v>64032</v>
      </c>
      <c r="L522" s="113">
        <f t="shared" si="1339"/>
        <v>63962</v>
      </c>
      <c r="M522" s="410">
        <f t="shared" si="1340"/>
        <v>63962</v>
      </c>
      <c r="N522" s="113">
        <f t="shared" si="1365"/>
        <v>63912</v>
      </c>
      <c r="O522" s="410">
        <f t="shared" si="1366"/>
        <v>63912</v>
      </c>
      <c r="P522" s="113">
        <f t="shared" si="1367"/>
        <v>63882</v>
      </c>
      <c r="Q522" s="410">
        <f t="shared" si="1368"/>
        <v>63882</v>
      </c>
      <c r="R522" s="113">
        <f t="shared" si="1369"/>
        <v>63852</v>
      </c>
      <c r="S522" s="410">
        <f t="shared" si="1370"/>
        <v>63852</v>
      </c>
      <c r="T522" s="113">
        <f t="shared" si="1371"/>
        <v>63812</v>
      </c>
      <c r="U522" s="410">
        <f t="shared" si="1372"/>
        <v>63812</v>
      </c>
      <c r="V522" s="113">
        <f t="shared" si="1373"/>
        <v>63772</v>
      </c>
      <c r="W522" s="410">
        <f t="shared" si="1374"/>
        <v>63772</v>
      </c>
      <c r="X522" s="159"/>
      <c r="Y522" s="154"/>
      <c r="Z522" s="160"/>
      <c r="AA522" s="161"/>
      <c r="AB522" s="614">
        <v>599</v>
      </c>
    </row>
    <row r="523" spans="1:34" ht="12.6" customHeight="1">
      <c r="A523" s="4"/>
      <c r="B523" s="825" t="s">
        <v>711</v>
      </c>
      <c r="C523" s="833"/>
      <c r="D523" s="833"/>
      <c r="E523" s="834"/>
      <c r="F523" s="538">
        <f>84*X2</f>
        <v>72492</v>
      </c>
      <c r="G523" s="382">
        <f t="shared" ref="G523" si="1377">+F523*$X$1</f>
        <v>72492</v>
      </c>
      <c r="H523" s="112">
        <f t="shared" si="1329"/>
        <v>74492</v>
      </c>
      <c r="I523" s="426">
        <f t="shared" ref="I523:K523" si="1378">+H523*$X$1</f>
        <v>74492</v>
      </c>
      <c r="J523" s="112">
        <f t="shared" si="1338"/>
        <v>72942</v>
      </c>
      <c r="K523" s="426">
        <f t="shared" si="1378"/>
        <v>72942</v>
      </c>
      <c r="L523" s="112">
        <f t="shared" si="1339"/>
        <v>72872</v>
      </c>
      <c r="M523" s="426">
        <f t="shared" si="1340"/>
        <v>72872</v>
      </c>
      <c r="N523" s="112">
        <f t="shared" si="1365"/>
        <v>72822</v>
      </c>
      <c r="O523" s="426">
        <f t="shared" si="1366"/>
        <v>72822</v>
      </c>
      <c r="P523" s="112">
        <f t="shared" si="1367"/>
        <v>72792</v>
      </c>
      <c r="Q523" s="426">
        <f t="shared" si="1368"/>
        <v>72792</v>
      </c>
      <c r="R523" s="112">
        <f t="shared" si="1369"/>
        <v>72762</v>
      </c>
      <c r="S523" s="426">
        <f t="shared" si="1370"/>
        <v>72762</v>
      </c>
      <c r="T523" s="112">
        <f t="shared" si="1371"/>
        <v>72722</v>
      </c>
      <c r="U523" s="426">
        <f t="shared" si="1372"/>
        <v>72722</v>
      </c>
      <c r="V523" s="112">
        <f t="shared" si="1373"/>
        <v>72682</v>
      </c>
      <c r="W523" s="426">
        <f t="shared" si="1374"/>
        <v>72682</v>
      </c>
      <c r="X523" s="159"/>
      <c r="Y523" s="154"/>
      <c r="Z523" s="160"/>
      <c r="AA523" s="161"/>
      <c r="AB523" s="614">
        <v>605</v>
      </c>
    </row>
    <row r="524" spans="1:34" ht="12.6" customHeight="1">
      <c r="A524" s="4"/>
      <c r="B524" s="837" t="s">
        <v>708</v>
      </c>
      <c r="C524" s="838"/>
      <c r="D524" s="838"/>
      <c r="E524" s="839"/>
      <c r="F524" s="539">
        <f>65.96*X2</f>
        <v>56923.479999999996</v>
      </c>
      <c r="G524" s="381">
        <f t="shared" ref="G524:G525" si="1379">+F524*$X$1</f>
        <v>56923.479999999996</v>
      </c>
      <c r="H524" s="113">
        <f t="shared" si="1329"/>
        <v>58923.479999999996</v>
      </c>
      <c r="I524" s="410">
        <f t="shared" ref="I524:K529" si="1380">+H524*$X$1</f>
        <v>58923.479999999996</v>
      </c>
      <c r="J524" s="113">
        <f t="shared" si="1338"/>
        <v>57373.479999999996</v>
      </c>
      <c r="K524" s="410">
        <f t="shared" si="1380"/>
        <v>57373.479999999996</v>
      </c>
      <c r="L524" s="113">
        <f t="shared" si="1339"/>
        <v>57303.479999999996</v>
      </c>
      <c r="M524" s="410">
        <f t="shared" si="1340"/>
        <v>57303.479999999996</v>
      </c>
      <c r="N524" s="113">
        <f t="shared" si="1365"/>
        <v>57253.479999999996</v>
      </c>
      <c r="O524" s="410">
        <f t="shared" si="1366"/>
        <v>57253.479999999996</v>
      </c>
      <c r="P524" s="113">
        <f t="shared" si="1367"/>
        <v>57223.479999999996</v>
      </c>
      <c r="Q524" s="410">
        <f t="shared" si="1368"/>
        <v>57223.479999999996</v>
      </c>
      <c r="R524" s="113">
        <f t="shared" si="1369"/>
        <v>57193.479999999996</v>
      </c>
      <c r="S524" s="410">
        <f t="shared" si="1370"/>
        <v>57193.479999999996</v>
      </c>
      <c r="T524" s="113">
        <f t="shared" si="1371"/>
        <v>57153.479999999996</v>
      </c>
      <c r="U524" s="410">
        <f t="shared" si="1372"/>
        <v>57153.479999999996</v>
      </c>
      <c r="V524" s="113">
        <f t="shared" si="1373"/>
        <v>57113.479999999996</v>
      </c>
      <c r="W524" s="410">
        <f t="shared" si="1374"/>
        <v>57113.479999999996</v>
      </c>
      <c r="X524" s="159"/>
      <c r="Y524" s="154"/>
      <c r="Z524" s="160"/>
      <c r="AA524" s="161"/>
      <c r="AB524" s="614">
        <v>609</v>
      </c>
    </row>
    <row r="525" spans="1:34" ht="12.6" customHeight="1">
      <c r="A525" s="4"/>
      <c r="B525" s="825" t="s">
        <v>710</v>
      </c>
      <c r="C525" s="833"/>
      <c r="D525" s="833"/>
      <c r="E525" s="834"/>
      <c r="F525" s="538">
        <f>76.98*X2</f>
        <v>66433.740000000005</v>
      </c>
      <c r="G525" s="382">
        <f t="shared" si="1379"/>
        <v>66433.740000000005</v>
      </c>
      <c r="H525" s="112">
        <f t="shared" si="1329"/>
        <v>68433.740000000005</v>
      </c>
      <c r="I525" s="426">
        <f t="shared" ref="I525:K525" si="1381">+H525*$X$1</f>
        <v>68433.740000000005</v>
      </c>
      <c r="J525" s="112">
        <f t="shared" si="1338"/>
        <v>66883.740000000005</v>
      </c>
      <c r="K525" s="426">
        <f t="shared" si="1381"/>
        <v>66883.740000000005</v>
      </c>
      <c r="L525" s="112">
        <f t="shared" si="1339"/>
        <v>66813.740000000005</v>
      </c>
      <c r="M525" s="426">
        <f t="shared" si="1340"/>
        <v>66813.740000000005</v>
      </c>
      <c r="N525" s="112"/>
      <c r="O525" s="426"/>
      <c r="P525" s="112"/>
      <c r="Q525" s="426"/>
      <c r="R525" s="112"/>
      <c r="S525" s="426"/>
      <c r="T525" s="112"/>
      <c r="U525" s="426"/>
      <c r="V525" s="112"/>
      <c r="W525" s="426"/>
      <c r="X525" s="159"/>
      <c r="Y525" s="154"/>
      <c r="Z525" s="160"/>
      <c r="AA525" s="161"/>
      <c r="AB525" s="614">
        <v>611</v>
      </c>
    </row>
    <row r="526" spans="1:34" ht="12.6" customHeight="1">
      <c r="A526" s="4"/>
      <c r="B526" s="837" t="s">
        <v>807</v>
      </c>
      <c r="C526" s="838"/>
      <c r="D526" s="838"/>
      <c r="E526" s="839"/>
      <c r="F526" s="439">
        <v>6006</v>
      </c>
      <c r="G526" s="381">
        <f>+F526*$X$1</f>
        <v>6006</v>
      </c>
      <c r="H526" s="113">
        <f>F526+2000</f>
        <v>8006</v>
      </c>
      <c r="I526" s="410">
        <f t="shared" ref="I526:I527" si="1382">+H526*$X$1</f>
        <v>8006</v>
      </c>
      <c r="J526" s="113">
        <f>F526+450</f>
        <v>6456</v>
      </c>
      <c r="K526" s="410">
        <f t="shared" ref="K526:K527" si="1383">+J526*$X$1</f>
        <v>6456</v>
      </c>
      <c r="L526" s="113">
        <f>F526+380</f>
        <v>6386</v>
      </c>
      <c r="M526" s="410">
        <f>+L526*$X$1</f>
        <v>6386</v>
      </c>
      <c r="N526" s="113">
        <f>F526+330</f>
        <v>6336</v>
      </c>
      <c r="O526" s="410">
        <f>+N526*$X$1</f>
        <v>6336</v>
      </c>
      <c r="P526" s="113">
        <f>F526+300</f>
        <v>6306</v>
      </c>
      <c r="Q526" s="410">
        <f>+P526*$X$1</f>
        <v>6306</v>
      </c>
      <c r="R526" s="113">
        <f>F526+270</f>
        <v>6276</v>
      </c>
      <c r="S526" s="410">
        <f>+R526*$X$1</f>
        <v>6276</v>
      </c>
      <c r="T526" s="113">
        <f>F526+230</f>
        <v>6236</v>
      </c>
      <c r="U526" s="410">
        <f>+T526*$X$1</f>
        <v>6236</v>
      </c>
      <c r="V526" s="113">
        <f t="shared" ref="V526:V527" si="1384">F526+190</f>
        <v>6196</v>
      </c>
      <c r="W526" s="410">
        <f t="shared" ref="W526:W527" si="1385">+V526*$X$1</f>
        <v>6196</v>
      </c>
      <c r="X526" s="159"/>
      <c r="Y526" s="154"/>
      <c r="Z526" s="160"/>
      <c r="AA526" s="161"/>
      <c r="AB526" s="221">
        <v>641</v>
      </c>
    </row>
    <row r="527" spans="1:34" ht="12.6" customHeight="1">
      <c r="A527" s="4"/>
      <c r="B527" s="825" t="s">
        <v>808</v>
      </c>
      <c r="C527" s="833"/>
      <c r="D527" s="833"/>
      <c r="E527" s="834"/>
      <c r="F527" s="538">
        <f>9.81*X2</f>
        <v>8466.0300000000007</v>
      </c>
      <c r="G527" s="382">
        <f t="shared" ref="G527" si="1386">+F527*$X$1</f>
        <v>8466.0300000000007</v>
      </c>
      <c r="H527" s="112">
        <f t="shared" ref="H527" si="1387">F527+2000</f>
        <v>10466.030000000001</v>
      </c>
      <c r="I527" s="426">
        <f t="shared" si="1382"/>
        <v>10466.030000000001</v>
      </c>
      <c r="J527" s="112">
        <f t="shared" ref="J527" si="1388">F527+450</f>
        <v>8916.0300000000007</v>
      </c>
      <c r="K527" s="426">
        <f t="shared" si="1383"/>
        <v>8916.0300000000007</v>
      </c>
      <c r="L527" s="112">
        <f t="shared" ref="L527" si="1389">F527+380</f>
        <v>8846.0300000000007</v>
      </c>
      <c r="M527" s="426">
        <f t="shared" ref="M527" si="1390">+L527*$X$1</f>
        <v>8846.0300000000007</v>
      </c>
      <c r="N527" s="112">
        <f t="shared" ref="N527" si="1391">F527+330</f>
        <v>8796.0300000000007</v>
      </c>
      <c r="O527" s="426">
        <f t="shared" ref="O527" si="1392">+N527*$X$1</f>
        <v>8796.0300000000007</v>
      </c>
      <c r="P527" s="112">
        <f t="shared" ref="P527" si="1393">F527+300</f>
        <v>8766.0300000000007</v>
      </c>
      <c r="Q527" s="426">
        <f t="shared" ref="Q527" si="1394">+P527*$X$1</f>
        <v>8766.0300000000007</v>
      </c>
      <c r="R527" s="112">
        <f t="shared" ref="R527" si="1395">F527+270</f>
        <v>8736.0300000000007</v>
      </c>
      <c r="S527" s="426">
        <f t="shared" ref="S527" si="1396">+R527*$X$1</f>
        <v>8736.0300000000007</v>
      </c>
      <c r="T527" s="112">
        <f t="shared" ref="T527" si="1397">F527+230</f>
        <v>8696.0300000000007</v>
      </c>
      <c r="U527" s="426">
        <f t="shared" ref="U527" si="1398">+T527*$X$1</f>
        <v>8696.0300000000007</v>
      </c>
      <c r="V527" s="112">
        <f t="shared" si="1384"/>
        <v>8656.0300000000007</v>
      </c>
      <c r="W527" s="426">
        <f t="shared" si="1385"/>
        <v>8656.0300000000007</v>
      </c>
      <c r="X527" s="159"/>
      <c r="Y527" s="154"/>
      <c r="Z527" s="160"/>
      <c r="AA527" s="161"/>
      <c r="AB527" s="221">
        <v>642</v>
      </c>
    </row>
    <row r="528" spans="1:34" ht="12.6" customHeight="1">
      <c r="A528" s="4"/>
      <c r="B528" s="837" t="s">
        <v>809</v>
      </c>
      <c r="C528" s="838"/>
      <c r="D528" s="838"/>
      <c r="E528" s="839"/>
      <c r="F528" s="539">
        <f>32.86*X2</f>
        <v>28358.18</v>
      </c>
      <c r="G528" s="381">
        <f t="shared" ref="G528" si="1399">+F528*$X$1</f>
        <v>28358.18</v>
      </c>
      <c r="H528" s="113">
        <f t="shared" ref="H528" si="1400">F528+2000</f>
        <v>30358.18</v>
      </c>
      <c r="I528" s="410">
        <f t="shared" ref="I528" si="1401">+H528*$X$1</f>
        <v>30358.18</v>
      </c>
      <c r="J528" s="113">
        <f t="shared" ref="J528" si="1402">F528+450</f>
        <v>28808.18</v>
      </c>
      <c r="K528" s="410">
        <f t="shared" ref="K528" si="1403">+J528*$X$1</f>
        <v>28808.18</v>
      </c>
      <c r="L528" s="113">
        <f t="shared" ref="L528" si="1404">F528+380</f>
        <v>28738.18</v>
      </c>
      <c r="M528" s="410">
        <f t="shared" ref="M528" si="1405">+L528*$X$1</f>
        <v>28738.18</v>
      </c>
      <c r="N528" s="113">
        <f t="shared" ref="N528" si="1406">F528+330</f>
        <v>28688.18</v>
      </c>
      <c r="O528" s="410">
        <f t="shared" ref="O528" si="1407">+N528*$X$1</f>
        <v>28688.18</v>
      </c>
      <c r="P528" s="113">
        <f t="shared" ref="P528" si="1408">F528+300</f>
        <v>28658.18</v>
      </c>
      <c r="Q528" s="410">
        <f t="shared" ref="Q528" si="1409">+P528*$X$1</f>
        <v>28658.18</v>
      </c>
      <c r="R528" s="113">
        <f t="shared" ref="R528" si="1410">F528+270</f>
        <v>28628.18</v>
      </c>
      <c r="S528" s="410">
        <f t="shared" ref="S528" si="1411">+R528*$X$1</f>
        <v>28628.18</v>
      </c>
      <c r="T528" s="113">
        <f t="shared" ref="T528" si="1412">F528+230</f>
        <v>28588.18</v>
      </c>
      <c r="U528" s="410">
        <f t="shared" ref="U528" si="1413">+T528*$X$1</f>
        <v>28588.18</v>
      </c>
      <c r="V528" s="113">
        <f t="shared" ref="V528" si="1414">F528+190</f>
        <v>28548.18</v>
      </c>
      <c r="W528" s="410">
        <f t="shared" ref="W528" si="1415">+V528*$X$1</f>
        <v>28548.18</v>
      </c>
      <c r="X528" s="159"/>
      <c r="Y528" s="154"/>
      <c r="Z528" s="160"/>
      <c r="AA528" s="161"/>
      <c r="AB528" s="221">
        <v>643</v>
      </c>
    </row>
    <row r="529" spans="1:28" ht="12.6" customHeight="1">
      <c r="A529" s="4"/>
      <c r="B529" s="825" t="s">
        <v>761</v>
      </c>
      <c r="C529" s="833"/>
      <c r="D529" s="833"/>
      <c r="E529" s="834"/>
      <c r="F529" s="538">
        <f>44.7*X2</f>
        <v>38576.100000000006</v>
      </c>
      <c r="G529" s="382">
        <f t="shared" si="1328"/>
        <v>38576.100000000006</v>
      </c>
      <c r="H529" s="112">
        <f t="shared" si="1329"/>
        <v>40576.100000000006</v>
      </c>
      <c r="I529" s="426">
        <f t="shared" si="1380"/>
        <v>40576.100000000006</v>
      </c>
      <c r="J529" s="112">
        <f t="shared" si="1338"/>
        <v>39026.100000000006</v>
      </c>
      <c r="K529" s="426">
        <f t="shared" si="1380"/>
        <v>39026.100000000006</v>
      </c>
      <c r="L529" s="112">
        <f t="shared" si="1339"/>
        <v>38956.100000000006</v>
      </c>
      <c r="M529" s="426">
        <f t="shared" si="1340"/>
        <v>38956.100000000006</v>
      </c>
      <c r="N529" s="112">
        <f t="shared" si="1365"/>
        <v>38906.100000000006</v>
      </c>
      <c r="O529" s="426">
        <f t="shared" si="1366"/>
        <v>38906.100000000006</v>
      </c>
      <c r="P529" s="112">
        <f t="shared" si="1367"/>
        <v>38876.100000000006</v>
      </c>
      <c r="Q529" s="426">
        <f t="shared" si="1368"/>
        <v>38876.100000000006</v>
      </c>
      <c r="R529" s="112">
        <f t="shared" si="1369"/>
        <v>38846.100000000006</v>
      </c>
      <c r="S529" s="426">
        <f t="shared" si="1370"/>
        <v>38846.100000000006</v>
      </c>
      <c r="T529" s="112">
        <f t="shared" si="1371"/>
        <v>38806.100000000006</v>
      </c>
      <c r="U529" s="426">
        <f t="shared" si="1372"/>
        <v>38806.100000000006</v>
      </c>
      <c r="V529" s="112">
        <f t="shared" si="1373"/>
        <v>38766.100000000006</v>
      </c>
      <c r="W529" s="426">
        <f t="shared" si="1374"/>
        <v>38766.100000000006</v>
      </c>
      <c r="X529" s="159"/>
      <c r="Y529" s="154"/>
      <c r="Z529" s="160"/>
      <c r="AA529" s="161"/>
      <c r="AB529" s="614">
        <v>655</v>
      </c>
    </row>
    <row r="530" spans="1:28" ht="12.6" customHeight="1">
      <c r="A530" s="4"/>
      <c r="B530" s="837" t="s">
        <v>709</v>
      </c>
      <c r="C530" s="838"/>
      <c r="D530" s="838"/>
      <c r="E530" s="839"/>
      <c r="F530" s="536">
        <f>47.3*X2</f>
        <v>40819.899999999994</v>
      </c>
      <c r="G530" s="381">
        <f t="shared" si="1328"/>
        <v>40819.899999999994</v>
      </c>
      <c r="H530" s="113">
        <f t="shared" si="1329"/>
        <v>42819.899999999994</v>
      </c>
      <c r="I530" s="410">
        <f t="shared" ref="I530:K530" si="1416">+H530*$X$1</f>
        <v>42819.899999999994</v>
      </c>
      <c r="J530" s="113">
        <f t="shared" si="1338"/>
        <v>41269.899999999994</v>
      </c>
      <c r="K530" s="410">
        <f t="shared" si="1416"/>
        <v>41269.899999999994</v>
      </c>
      <c r="L530" s="113">
        <f t="shared" si="1339"/>
        <v>41199.899999999994</v>
      </c>
      <c r="M530" s="410">
        <f t="shared" si="1340"/>
        <v>41199.899999999994</v>
      </c>
      <c r="N530" s="113">
        <f t="shared" si="1365"/>
        <v>41149.899999999994</v>
      </c>
      <c r="O530" s="410">
        <f t="shared" si="1366"/>
        <v>41149.899999999994</v>
      </c>
      <c r="P530" s="113">
        <f t="shared" si="1367"/>
        <v>41119.899999999994</v>
      </c>
      <c r="Q530" s="410">
        <f t="shared" si="1368"/>
        <v>41119.899999999994</v>
      </c>
      <c r="R530" s="113">
        <f t="shared" si="1369"/>
        <v>41089.899999999994</v>
      </c>
      <c r="S530" s="410">
        <f t="shared" si="1370"/>
        <v>41089.899999999994</v>
      </c>
      <c r="T530" s="113">
        <f t="shared" si="1371"/>
        <v>41049.899999999994</v>
      </c>
      <c r="U530" s="410">
        <f t="shared" si="1372"/>
        <v>41049.899999999994</v>
      </c>
      <c r="V530" s="113">
        <f t="shared" si="1373"/>
        <v>41009.899999999994</v>
      </c>
      <c r="W530" s="410">
        <f t="shared" si="1374"/>
        <v>41009.899999999994</v>
      </c>
      <c r="X530" s="159"/>
      <c r="Y530" s="154"/>
      <c r="Z530" s="160"/>
      <c r="AA530" s="161"/>
      <c r="AB530" s="614">
        <v>657</v>
      </c>
    </row>
    <row r="531" spans="1:28" ht="12.6" customHeight="1">
      <c r="A531" s="4"/>
      <c r="B531" s="846" t="s">
        <v>714</v>
      </c>
      <c r="C531" s="847"/>
      <c r="D531" s="847"/>
      <c r="E531" s="848"/>
      <c r="F531" s="540">
        <f>40.3*X2</f>
        <v>34778.899999999994</v>
      </c>
      <c r="G531" s="450">
        <f t="shared" ref="G531:G533" si="1417">+F531*$X$1</f>
        <v>34778.899999999994</v>
      </c>
      <c r="H531" s="127">
        <f t="shared" si="1329"/>
        <v>36778.899999999994</v>
      </c>
      <c r="I531" s="451">
        <f t="shared" ref="I531:K543" si="1418">+H531*$X$1</f>
        <v>36778.899999999994</v>
      </c>
      <c r="J531" s="127">
        <f t="shared" si="1338"/>
        <v>35228.899999999994</v>
      </c>
      <c r="K531" s="451">
        <f t="shared" si="1418"/>
        <v>35228.899999999994</v>
      </c>
      <c r="L531" s="127">
        <f t="shared" si="1339"/>
        <v>35158.899999999994</v>
      </c>
      <c r="M531" s="451">
        <f t="shared" si="1340"/>
        <v>35158.899999999994</v>
      </c>
      <c r="N531" s="127">
        <f t="shared" si="1365"/>
        <v>35108.899999999994</v>
      </c>
      <c r="O531" s="451">
        <f t="shared" si="1366"/>
        <v>35108.899999999994</v>
      </c>
      <c r="P531" s="127">
        <f t="shared" si="1367"/>
        <v>35078.899999999994</v>
      </c>
      <c r="Q531" s="451">
        <f t="shared" si="1368"/>
        <v>35078.899999999994</v>
      </c>
      <c r="R531" s="127">
        <f t="shared" si="1369"/>
        <v>35048.899999999994</v>
      </c>
      <c r="S531" s="451">
        <f t="shared" si="1370"/>
        <v>35048.899999999994</v>
      </c>
      <c r="T531" s="127">
        <f t="shared" si="1371"/>
        <v>35008.899999999994</v>
      </c>
      <c r="U531" s="451">
        <f t="shared" si="1372"/>
        <v>35008.899999999994</v>
      </c>
      <c r="V531" s="127">
        <f t="shared" si="1373"/>
        <v>34968.899999999994</v>
      </c>
      <c r="W531" s="451">
        <f t="shared" si="1374"/>
        <v>34968.899999999994</v>
      </c>
      <c r="X531" s="159"/>
      <c r="Y531" s="154"/>
      <c r="Z531" s="160"/>
      <c r="AA531" s="161"/>
      <c r="AB531" s="614">
        <v>658</v>
      </c>
    </row>
    <row r="532" spans="1:28" ht="12.6" customHeight="1">
      <c r="A532" s="4"/>
      <c r="B532" s="837" t="s">
        <v>716</v>
      </c>
      <c r="C532" s="838"/>
      <c r="D532" s="838"/>
      <c r="E532" s="839"/>
      <c r="F532" s="536">
        <f>35.4*X2</f>
        <v>30550.199999999997</v>
      </c>
      <c r="G532" s="381">
        <f t="shared" si="1417"/>
        <v>30550.199999999997</v>
      </c>
      <c r="H532" s="113">
        <f t="shared" si="1329"/>
        <v>32550.199999999997</v>
      </c>
      <c r="I532" s="410">
        <f t="shared" si="1418"/>
        <v>32550.199999999997</v>
      </c>
      <c r="J532" s="113">
        <f t="shared" si="1338"/>
        <v>31000.199999999997</v>
      </c>
      <c r="K532" s="410">
        <f t="shared" si="1418"/>
        <v>31000.199999999997</v>
      </c>
      <c r="L532" s="113">
        <f t="shared" si="1339"/>
        <v>30930.199999999997</v>
      </c>
      <c r="M532" s="410">
        <f t="shared" si="1340"/>
        <v>30930.199999999997</v>
      </c>
      <c r="N532" s="113">
        <f t="shared" si="1365"/>
        <v>30880.199999999997</v>
      </c>
      <c r="O532" s="410">
        <f t="shared" si="1366"/>
        <v>30880.199999999997</v>
      </c>
      <c r="P532" s="113">
        <f t="shared" si="1367"/>
        <v>30850.199999999997</v>
      </c>
      <c r="Q532" s="410">
        <f t="shared" si="1368"/>
        <v>30850.199999999997</v>
      </c>
      <c r="R532" s="113">
        <f t="shared" si="1369"/>
        <v>30820.199999999997</v>
      </c>
      <c r="S532" s="410">
        <f t="shared" si="1370"/>
        <v>30820.199999999997</v>
      </c>
      <c r="T532" s="113">
        <f t="shared" si="1371"/>
        <v>30780.199999999997</v>
      </c>
      <c r="U532" s="410">
        <f t="shared" si="1372"/>
        <v>30780.199999999997</v>
      </c>
      <c r="V532" s="113">
        <f t="shared" si="1373"/>
        <v>30740.199999999997</v>
      </c>
      <c r="W532" s="410">
        <f t="shared" si="1374"/>
        <v>30740.199999999997</v>
      </c>
      <c r="X532" s="159"/>
      <c r="Y532" s="154"/>
      <c r="Z532" s="160"/>
      <c r="AA532" s="161"/>
      <c r="AB532" s="614">
        <v>659</v>
      </c>
    </row>
    <row r="533" spans="1:28" ht="12.6" customHeight="1">
      <c r="A533" s="4"/>
      <c r="B533" s="825" t="s">
        <v>718</v>
      </c>
      <c r="C533" s="833"/>
      <c r="D533" s="833"/>
      <c r="E533" s="834"/>
      <c r="F533" s="537">
        <f>18.7*X2</f>
        <v>16138.099999999999</v>
      </c>
      <c r="G533" s="382">
        <f t="shared" si="1417"/>
        <v>16138.099999999999</v>
      </c>
      <c r="H533" s="112">
        <f t="shared" si="1329"/>
        <v>18138.099999999999</v>
      </c>
      <c r="I533" s="426">
        <f t="shared" si="1418"/>
        <v>18138.099999999999</v>
      </c>
      <c r="J533" s="112">
        <f t="shared" si="1338"/>
        <v>16588.099999999999</v>
      </c>
      <c r="K533" s="426">
        <f t="shared" si="1418"/>
        <v>16588.099999999999</v>
      </c>
      <c r="L533" s="112">
        <f t="shared" si="1339"/>
        <v>16518.099999999999</v>
      </c>
      <c r="M533" s="426">
        <f t="shared" si="1340"/>
        <v>16518.099999999999</v>
      </c>
      <c r="N533" s="112">
        <f t="shared" si="1365"/>
        <v>16468.099999999999</v>
      </c>
      <c r="O533" s="426">
        <f t="shared" si="1366"/>
        <v>16468.099999999999</v>
      </c>
      <c r="P533" s="112">
        <f t="shared" si="1367"/>
        <v>16438.099999999999</v>
      </c>
      <c r="Q533" s="426">
        <f t="shared" si="1368"/>
        <v>16438.099999999999</v>
      </c>
      <c r="R533" s="112">
        <f t="shared" si="1369"/>
        <v>16408.099999999999</v>
      </c>
      <c r="S533" s="426">
        <f t="shared" si="1370"/>
        <v>16408.099999999999</v>
      </c>
      <c r="T533" s="112">
        <f t="shared" si="1371"/>
        <v>16368.099999999999</v>
      </c>
      <c r="U533" s="426">
        <f t="shared" si="1372"/>
        <v>16368.099999999999</v>
      </c>
      <c r="V533" s="112">
        <f t="shared" si="1373"/>
        <v>16328.099999999999</v>
      </c>
      <c r="W533" s="426">
        <f t="shared" si="1374"/>
        <v>16328.099999999999</v>
      </c>
      <c r="X533" s="159"/>
      <c r="Y533" s="154"/>
      <c r="Z533" s="160"/>
      <c r="AA533" s="161"/>
      <c r="AB533" s="614">
        <v>660</v>
      </c>
    </row>
    <row r="534" spans="1:28" ht="12.6" customHeight="1">
      <c r="A534" s="4"/>
      <c r="B534" s="837" t="s">
        <v>783</v>
      </c>
      <c r="C534" s="838"/>
      <c r="D534" s="838"/>
      <c r="E534" s="839"/>
      <c r="F534" s="439">
        <v>10520</v>
      </c>
      <c r="G534" s="381">
        <f t="shared" ref="G534:G539" si="1419">+F534*$X$1</f>
        <v>10520</v>
      </c>
      <c r="H534" s="113">
        <f>F534+2000</f>
        <v>12520</v>
      </c>
      <c r="I534" s="410">
        <f t="shared" ref="I534" si="1420">+H534*$X$1</f>
        <v>12520</v>
      </c>
      <c r="J534" s="113">
        <f t="shared" ref="J534" si="1421">F534+450</f>
        <v>10970</v>
      </c>
      <c r="K534" s="410">
        <f t="shared" ref="K534" si="1422">+J534*$X$1</f>
        <v>10970</v>
      </c>
      <c r="L534" s="113">
        <f t="shared" ref="L534" si="1423">F534+380</f>
        <v>10900</v>
      </c>
      <c r="M534" s="410">
        <f t="shared" ref="M534" si="1424">+L534*$X$1</f>
        <v>10900</v>
      </c>
      <c r="N534" s="113">
        <f t="shared" ref="N534" si="1425">F534+330</f>
        <v>10850</v>
      </c>
      <c r="O534" s="410">
        <f t="shared" ref="O534" si="1426">+N534*$X$1</f>
        <v>10850</v>
      </c>
      <c r="P534" s="113">
        <f t="shared" ref="P534" si="1427">F534+300</f>
        <v>10820</v>
      </c>
      <c r="Q534" s="410">
        <f t="shared" ref="Q534" si="1428">+P534*$X$1</f>
        <v>10820</v>
      </c>
      <c r="R534" s="113">
        <f t="shared" ref="R534" si="1429">F534+270</f>
        <v>10790</v>
      </c>
      <c r="S534" s="410">
        <f t="shared" ref="S534" si="1430">+R534*$X$1</f>
        <v>10790</v>
      </c>
      <c r="T534" s="113">
        <f t="shared" ref="T534" si="1431">F534+230</f>
        <v>10750</v>
      </c>
      <c r="U534" s="410">
        <f t="shared" ref="U534" si="1432">+T534*$X$1</f>
        <v>10750</v>
      </c>
      <c r="V534" s="113">
        <f t="shared" ref="V534" si="1433">F534+190</f>
        <v>10710</v>
      </c>
      <c r="W534" s="410">
        <f t="shared" ref="W534" si="1434">+V534*$X$1</f>
        <v>10710</v>
      </c>
      <c r="X534" s="159"/>
      <c r="Y534" s="154"/>
      <c r="Z534" s="160"/>
      <c r="AA534" s="161"/>
      <c r="AB534" s="614">
        <v>661</v>
      </c>
    </row>
    <row r="535" spans="1:28" ht="12.6" customHeight="1">
      <c r="A535" s="4"/>
      <c r="B535" s="825" t="s">
        <v>784</v>
      </c>
      <c r="C535" s="833"/>
      <c r="D535" s="833"/>
      <c r="E535" s="834"/>
      <c r="F535" s="438">
        <v>36908</v>
      </c>
      <c r="G535" s="382">
        <f t="shared" si="1419"/>
        <v>36908</v>
      </c>
      <c r="H535" s="112">
        <f>F535+2000</f>
        <v>38908</v>
      </c>
      <c r="I535" s="426">
        <f t="shared" si="1418"/>
        <v>38908</v>
      </c>
      <c r="J535" s="112">
        <f t="shared" si="1338"/>
        <v>37358</v>
      </c>
      <c r="K535" s="426">
        <f t="shared" si="1418"/>
        <v>37358</v>
      </c>
      <c r="L535" s="112">
        <f t="shared" si="1339"/>
        <v>37288</v>
      </c>
      <c r="M535" s="426">
        <f t="shared" si="1340"/>
        <v>37288</v>
      </c>
      <c r="N535" s="112">
        <f t="shared" si="1365"/>
        <v>37238</v>
      </c>
      <c r="O535" s="426">
        <f t="shared" si="1366"/>
        <v>37238</v>
      </c>
      <c r="P535" s="112">
        <f t="shared" si="1367"/>
        <v>37208</v>
      </c>
      <c r="Q535" s="426">
        <f t="shared" si="1368"/>
        <v>37208</v>
      </c>
      <c r="R535" s="112">
        <f t="shared" si="1369"/>
        <v>37178</v>
      </c>
      <c r="S535" s="426">
        <f t="shared" si="1370"/>
        <v>37178</v>
      </c>
      <c r="T535" s="112">
        <f t="shared" si="1371"/>
        <v>37138</v>
      </c>
      <c r="U535" s="426">
        <f t="shared" si="1372"/>
        <v>37138</v>
      </c>
      <c r="V535" s="112">
        <f t="shared" si="1373"/>
        <v>37098</v>
      </c>
      <c r="W535" s="426">
        <f t="shared" si="1374"/>
        <v>37098</v>
      </c>
      <c r="X535" s="159"/>
      <c r="Y535" s="154"/>
      <c r="Z535" s="160"/>
      <c r="AA535" s="161"/>
      <c r="AB535" s="614">
        <v>664</v>
      </c>
    </row>
    <row r="536" spans="1:28" ht="12.6" customHeight="1">
      <c r="A536" s="4"/>
      <c r="B536" s="849" t="s">
        <v>885</v>
      </c>
      <c r="C536" s="850"/>
      <c r="D536" s="850"/>
      <c r="E536" s="851"/>
      <c r="F536" s="536">
        <f>18.36*X2</f>
        <v>15844.68</v>
      </c>
      <c r="G536" s="381">
        <f t="shared" si="1419"/>
        <v>15844.68</v>
      </c>
      <c r="H536" s="113">
        <f t="shared" ref="H536" si="1435">F536+2000</f>
        <v>17844.68</v>
      </c>
      <c r="I536" s="410">
        <f>+H536*$X$1</f>
        <v>17844.68</v>
      </c>
      <c r="J536" s="113">
        <f t="shared" si="1338"/>
        <v>16294.68</v>
      </c>
      <c r="K536" s="410">
        <f>+J536*$X$1</f>
        <v>16294.68</v>
      </c>
      <c r="L536" s="113">
        <f t="shared" si="1339"/>
        <v>16224.68</v>
      </c>
      <c r="M536" s="410">
        <f t="shared" si="1340"/>
        <v>16224.68</v>
      </c>
      <c r="N536" s="113">
        <f t="shared" si="1365"/>
        <v>16174.68</v>
      </c>
      <c r="O536" s="410">
        <f t="shared" si="1366"/>
        <v>16174.68</v>
      </c>
      <c r="P536" s="113">
        <f t="shared" si="1367"/>
        <v>16144.68</v>
      </c>
      <c r="Q536" s="410">
        <f t="shared" si="1368"/>
        <v>16144.68</v>
      </c>
      <c r="R536" s="113">
        <f t="shared" si="1369"/>
        <v>16114.68</v>
      </c>
      <c r="S536" s="410">
        <f t="shared" si="1370"/>
        <v>16114.68</v>
      </c>
      <c r="T536" s="113">
        <f t="shared" si="1371"/>
        <v>16074.68</v>
      </c>
      <c r="U536" s="410">
        <f t="shared" si="1372"/>
        <v>16074.68</v>
      </c>
      <c r="V536" s="113">
        <f t="shared" si="1373"/>
        <v>16034.68</v>
      </c>
      <c r="W536" s="410">
        <f t="shared" si="1374"/>
        <v>16034.68</v>
      </c>
      <c r="X536" s="159"/>
      <c r="Y536" s="154"/>
      <c r="Z536" s="160"/>
      <c r="AA536" s="161"/>
      <c r="AB536" s="614">
        <v>667</v>
      </c>
    </row>
    <row r="537" spans="1:28" ht="12.6" customHeight="1">
      <c r="A537" s="4"/>
      <c r="B537" s="825" t="s">
        <v>656</v>
      </c>
      <c r="C537" s="833"/>
      <c r="D537" s="833"/>
      <c r="E537" s="834"/>
      <c r="F537" s="537">
        <f>17.5*X2</f>
        <v>15102.5</v>
      </c>
      <c r="G537" s="382">
        <f t="shared" si="1419"/>
        <v>15102.5</v>
      </c>
      <c r="H537" s="112">
        <f t="shared" ref="H537" si="1436">F537+2000</f>
        <v>17102.5</v>
      </c>
      <c r="I537" s="426">
        <f>+H537*$X$1</f>
        <v>17102.5</v>
      </c>
      <c r="J537" s="112">
        <f t="shared" ref="J537" si="1437">F537+450</f>
        <v>15552.5</v>
      </c>
      <c r="K537" s="426">
        <f>+J537*$X$1</f>
        <v>15552.5</v>
      </c>
      <c r="L537" s="112">
        <f t="shared" ref="L537" si="1438">F537+380</f>
        <v>15482.5</v>
      </c>
      <c r="M537" s="426">
        <f t="shared" ref="M537" si="1439">+L537*$X$1</f>
        <v>15482.5</v>
      </c>
      <c r="N537" s="112">
        <f t="shared" ref="N537" si="1440">F537+330</f>
        <v>15432.5</v>
      </c>
      <c r="O537" s="426">
        <f t="shared" ref="O537" si="1441">+N537*$X$1</f>
        <v>15432.5</v>
      </c>
      <c r="P537" s="112">
        <f t="shared" ref="P537" si="1442">F537+300</f>
        <v>15402.5</v>
      </c>
      <c r="Q537" s="426">
        <f t="shared" ref="Q537" si="1443">+P537*$X$1</f>
        <v>15402.5</v>
      </c>
      <c r="R537" s="112">
        <f t="shared" ref="R537" si="1444">F537+270</f>
        <v>15372.5</v>
      </c>
      <c r="S537" s="426">
        <f t="shared" ref="S537" si="1445">+R537*$X$1</f>
        <v>15372.5</v>
      </c>
      <c r="T537" s="112">
        <f t="shared" ref="T537" si="1446">F537+230</f>
        <v>15332.5</v>
      </c>
      <c r="U537" s="426">
        <f t="shared" ref="U537" si="1447">+T537*$X$1</f>
        <v>15332.5</v>
      </c>
      <c r="V537" s="112">
        <f t="shared" ref="V537" si="1448">F537+190</f>
        <v>15292.5</v>
      </c>
      <c r="W537" s="426">
        <f t="shared" ref="W537" si="1449">+V537*$X$1</f>
        <v>15292.5</v>
      </c>
      <c r="X537" s="159"/>
      <c r="Y537" s="154"/>
      <c r="Z537" s="160"/>
      <c r="AA537" s="161"/>
      <c r="AB537" s="221">
        <v>686</v>
      </c>
    </row>
    <row r="538" spans="1:28" ht="12.6" customHeight="1">
      <c r="A538" s="4"/>
      <c r="B538" s="837" t="s">
        <v>719</v>
      </c>
      <c r="C538" s="838"/>
      <c r="D538" s="838"/>
      <c r="E538" s="839"/>
      <c r="F538" s="539">
        <f>36.73*X2</f>
        <v>31697.989999999998</v>
      </c>
      <c r="G538" s="381">
        <f t="shared" si="1419"/>
        <v>31697.989999999998</v>
      </c>
      <c r="H538" s="113">
        <f t="shared" si="1329"/>
        <v>33697.99</v>
      </c>
      <c r="I538" s="410">
        <f>+H538*$X$1</f>
        <v>33697.99</v>
      </c>
      <c r="J538" s="113">
        <f t="shared" si="1338"/>
        <v>32147.989999999998</v>
      </c>
      <c r="K538" s="410">
        <f>+J538*$X$1</f>
        <v>32147.989999999998</v>
      </c>
      <c r="L538" s="113">
        <f t="shared" si="1339"/>
        <v>32077.989999999998</v>
      </c>
      <c r="M538" s="410">
        <f t="shared" si="1340"/>
        <v>32077.989999999998</v>
      </c>
      <c r="N538" s="113">
        <f t="shared" si="1365"/>
        <v>32027.989999999998</v>
      </c>
      <c r="O538" s="410">
        <f t="shared" si="1366"/>
        <v>32027.989999999998</v>
      </c>
      <c r="P538" s="113">
        <f t="shared" si="1367"/>
        <v>31997.989999999998</v>
      </c>
      <c r="Q538" s="410">
        <f t="shared" si="1368"/>
        <v>31997.989999999998</v>
      </c>
      <c r="R538" s="113">
        <f t="shared" si="1369"/>
        <v>31967.989999999998</v>
      </c>
      <c r="S538" s="410">
        <f t="shared" si="1370"/>
        <v>31967.989999999998</v>
      </c>
      <c r="T538" s="113">
        <f t="shared" si="1371"/>
        <v>31927.989999999998</v>
      </c>
      <c r="U538" s="410">
        <f t="shared" si="1372"/>
        <v>31927.989999999998</v>
      </c>
      <c r="V538" s="113">
        <f t="shared" si="1373"/>
        <v>31887.989999999998</v>
      </c>
      <c r="W538" s="410">
        <f t="shared" si="1374"/>
        <v>31887.989999999998</v>
      </c>
      <c r="X538" s="159"/>
      <c r="Y538" s="154"/>
      <c r="Z538" s="160"/>
      <c r="AA538" s="161"/>
      <c r="AB538" s="614">
        <v>687</v>
      </c>
    </row>
    <row r="539" spans="1:28" ht="12.6" customHeight="1">
      <c r="A539" s="4"/>
      <c r="B539" s="825" t="s">
        <v>720</v>
      </c>
      <c r="C539" s="833"/>
      <c r="D539" s="833"/>
      <c r="E539" s="834"/>
      <c r="F539" s="538">
        <f>25.41*X2</f>
        <v>21928.83</v>
      </c>
      <c r="G539" s="382">
        <f t="shared" si="1419"/>
        <v>21928.83</v>
      </c>
      <c r="H539" s="112">
        <f t="shared" si="1329"/>
        <v>23928.83</v>
      </c>
      <c r="I539" s="426">
        <f>+H539*$X$1</f>
        <v>23928.83</v>
      </c>
      <c r="J539" s="112">
        <f t="shared" si="1338"/>
        <v>22378.83</v>
      </c>
      <c r="K539" s="426">
        <f>+J539*$X$1</f>
        <v>22378.83</v>
      </c>
      <c r="L539" s="112">
        <f t="shared" si="1339"/>
        <v>22308.83</v>
      </c>
      <c r="M539" s="426">
        <f t="shared" si="1340"/>
        <v>22308.83</v>
      </c>
      <c r="N539" s="112">
        <f t="shared" si="1365"/>
        <v>22258.83</v>
      </c>
      <c r="O539" s="426">
        <f t="shared" si="1366"/>
        <v>22258.83</v>
      </c>
      <c r="P539" s="112">
        <f t="shared" si="1367"/>
        <v>22228.83</v>
      </c>
      <c r="Q539" s="426">
        <f t="shared" si="1368"/>
        <v>22228.83</v>
      </c>
      <c r="R539" s="112">
        <f t="shared" si="1369"/>
        <v>22198.83</v>
      </c>
      <c r="S539" s="426">
        <f t="shared" si="1370"/>
        <v>22198.83</v>
      </c>
      <c r="T539" s="112">
        <f t="shared" si="1371"/>
        <v>22158.83</v>
      </c>
      <c r="U539" s="426">
        <f t="shared" si="1372"/>
        <v>22158.83</v>
      </c>
      <c r="V539" s="112">
        <f t="shared" si="1373"/>
        <v>22118.83</v>
      </c>
      <c r="W539" s="426">
        <f t="shared" si="1374"/>
        <v>22118.83</v>
      </c>
      <c r="X539" s="159"/>
      <c r="Y539" s="154"/>
      <c r="Z539" s="160"/>
      <c r="AA539" s="161"/>
      <c r="AB539" s="614">
        <v>694</v>
      </c>
    </row>
    <row r="540" spans="1:28" ht="12.6" customHeight="1">
      <c r="A540" s="4"/>
      <c r="B540" s="837" t="s">
        <v>713</v>
      </c>
      <c r="C540" s="838"/>
      <c r="D540" s="838"/>
      <c r="E540" s="839"/>
      <c r="F540" s="536"/>
      <c r="G540" s="381"/>
      <c r="H540" s="113"/>
      <c r="I540" s="410"/>
      <c r="J540" s="113"/>
      <c r="K540" s="410"/>
      <c r="L540" s="113"/>
      <c r="M540" s="410"/>
      <c r="N540" s="113"/>
      <c r="O540" s="410"/>
      <c r="P540" s="113"/>
      <c r="Q540" s="410"/>
      <c r="R540" s="113"/>
      <c r="S540" s="410"/>
      <c r="T540" s="113"/>
      <c r="U540" s="410"/>
      <c r="V540" s="113"/>
      <c r="W540" s="410"/>
      <c r="X540" s="159"/>
      <c r="Y540" s="154"/>
      <c r="Z540" s="160"/>
      <c r="AA540" s="161"/>
      <c r="AB540" s="614">
        <v>695</v>
      </c>
    </row>
    <row r="541" spans="1:28" ht="12.6" customHeight="1">
      <c r="A541" s="4"/>
      <c r="B541" s="825" t="s">
        <v>723</v>
      </c>
      <c r="C541" s="833"/>
      <c r="D541" s="833"/>
      <c r="E541" s="834"/>
      <c r="F541" s="538">
        <f>20.7*X2</f>
        <v>17864.099999999999</v>
      </c>
      <c r="G541" s="382">
        <f>+F541*$X$1</f>
        <v>17864.099999999999</v>
      </c>
      <c r="H541" s="112">
        <f t="shared" ref="H541" si="1450">F541+2000</f>
        <v>19864.099999999999</v>
      </c>
      <c r="I541" s="426">
        <f>+H541*$X$1</f>
        <v>19864.099999999999</v>
      </c>
      <c r="J541" s="112">
        <f t="shared" ref="J541" si="1451">F541+450</f>
        <v>18314.099999999999</v>
      </c>
      <c r="K541" s="426">
        <f>+J541*$X$1</f>
        <v>18314.099999999999</v>
      </c>
      <c r="L541" s="112">
        <f t="shared" ref="L541" si="1452">F541+380</f>
        <v>18244.099999999999</v>
      </c>
      <c r="M541" s="426">
        <f t="shared" ref="M541" si="1453">+L541*$X$1</f>
        <v>18244.099999999999</v>
      </c>
      <c r="N541" s="112">
        <f t="shared" ref="N541" si="1454">F541+330</f>
        <v>18194.099999999999</v>
      </c>
      <c r="O541" s="426">
        <f t="shared" ref="O541" si="1455">+N541*$X$1</f>
        <v>18194.099999999999</v>
      </c>
      <c r="P541" s="112">
        <f t="shared" ref="P541" si="1456">F541+300</f>
        <v>18164.099999999999</v>
      </c>
      <c r="Q541" s="426">
        <f t="shared" ref="Q541" si="1457">+P541*$X$1</f>
        <v>18164.099999999999</v>
      </c>
      <c r="R541" s="112">
        <f t="shared" ref="R541" si="1458">F541+270</f>
        <v>18134.099999999999</v>
      </c>
      <c r="S541" s="426">
        <f t="shared" ref="S541" si="1459">+R541*$X$1</f>
        <v>18134.099999999999</v>
      </c>
      <c r="T541" s="112">
        <f t="shared" ref="T541" si="1460">F541+230</f>
        <v>18094.099999999999</v>
      </c>
      <c r="U541" s="426">
        <f t="shared" ref="U541" si="1461">+T541*$X$1</f>
        <v>18094.099999999999</v>
      </c>
      <c r="V541" s="112">
        <f t="shared" ref="V541" si="1462">F541+190</f>
        <v>18054.099999999999</v>
      </c>
      <c r="W541" s="426">
        <f t="shared" ref="W541" si="1463">+V541*$X$1</f>
        <v>18054.099999999999</v>
      </c>
      <c r="X541" s="159"/>
      <c r="Y541" s="154"/>
      <c r="Z541" s="160"/>
      <c r="AA541" s="161"/>
      <c r="AB541" s="614">
        <v>696</v>
      </c>
    </row>
    <row r="542" spans="1:28" ht="12.6" customHeight="1">
      <c r="A542" s="4"/>
      <c r="B542" s="837" t="s">
        <v>774</v>
      </c>
      <c r="C542" s="838"/>
      <c r="D542" s="838"/>
      <c r="E542" s="839"/>
      <c r="F542" s="536">
        <f>43*X2</f>
        <v>37109</v>
      </c>
      <c r="G542" s="381">
        <f t="shared" ref="G542" si="1464">+F542*$X$1</f>
        <v>37109</v>
      </c>
      <c r="H542" s="113">
        <f t="shared" ref="H542" si="1465">F542+2000</f>
        <v>39109</v>
      </c>
      <c r="I542" s="410">
        <f t="shared" ref="I542:K542" si="1466">+H542*$X$1</f>
        <v>39109</v>
      </c>
      <c r="J542" s="113">
        <f t="shared" si="1338"/>
        <v>37559</v>
      </c>
      <c r="K542" s="410">
        <f t="shared" si="1466"/>
        <v>37559</v>
      </c>
      <c r="L542" s="113">
        <f t="shared" si="1339"/>
        <v>37489</v>
      </c>
      <c r="M542" s="410">
        <f t="shared" si="1340"/>
        <v>37489</v>
      </c>
      <c r="N542" s="113">
        <f t="shared" si="1365"/>
        <v>37439</v>
      </c>
      <c r="O542" s="410">
        <f t="shared" si="1366"/>
        <v>37439</v>
      </c>
      <c r="P542" s="113">
        <f t="shared" si="1367"/>
        <v>37409</v>
      </c>
      <c r="Q542" s="410">
        <f t="shared" si="1368"/>
        <v>37409</v>
      </c>
      <c r="R542" s="113">
        <f t="shared" si="1369"/>
        <v>37379</v>
      </c>
      <c r="S542" s="410">
        <f t="shared" si="1370"/>
        <v>37379</v>
      </c>
      <c r="T542" s="113">
        <f t="shared" si="1371"/>
        <v>37339</v>
      </c>
      <c r="U542" s="410">
        <f t="shared" si="1372"/>
        <v>37339</v>
      </c>
      <c r="V542" s="113">
        <f t="shared" si="1373"/>
        <v>37299</v>
      </c>
      <c r="W542" s="410">
        <f t="shared" si="1374"/>
        <v>37299</v>
      </c>
      <c r="X542" s="159"/>
      <c r="Y542" s="154"/>
      <c r="Z542" s="160"/>
      <c r="AA542" s="161"/>
      <c r="AB542" s="614">
        <v>698</v>
      </c>
    </row>
    <row r="543" spans="1:28" ht="12.6" customHeight="1">
      <c r="A543" s="4"/>
      <c r="B543" s="825" t="s">
        <v>775</v>
      </c>
      <c r="C543" s="833"/>
      <c r="D543" s="833"/>
      <c r="E543" s="834"/>
      <c r="F543" s="537">
        <f>62.515*X2</f>
        <v>53950.445</v>
      </c>
      <c r="G543" s="382">
        <f>+F543*$X$1</f>
        <v>53950.445</v>
      </c>
      <c r="H543" s="112">
        <f t="shared" ref="H543:H546" si="1467">F543+2000</f>
        <v>55950.445</v>
      </c>
      <c r="I543" s="426">
        <f t="shared" si="1418"/>
        <v>55950.445</v>
      </c>
      <c r="J543" s="112">
        <f t="shared" si="1338"/>
        <v>54400.445</v>
      </c>
      <c r="K543" s="426">
        <f t="shared" si="1418"/>
        <v>54400.445</v>
      </c>
      <c r="L543" s="112">
        <f t="shared" si="1339"/>
        <v>54330.445</v>
      </c>
      <c r="M543" s="426">
        <f t="shared" si="1340"/>
        <v>54330.445</v>
      </c>
      <c r="N543" s="112">
        <f t="shared" si="1365"/>
        <v>54280.445</v>
      </c>
      <c r="O543" s="426">
        <f t="shared" si="1366"/>
        <v>54280.445</v>
      </c>
      <c r="P543" s="112">
        <f t="shared" si="1367"/>
        <v>54250.445</v>
      </c>
      <c r="Q543" s="426">
        <f t="shared" si="1368"/>
        <v>54250.445</v>
      </c>
      <c r="R543" s="112">
        <f t="shared" ref="R543" si="1468">F543+270</f>
        <v>54220.445</v>
      </c>
      <c r="S543" s="426">
        <f t="shared" ref="S543" si="1469">+R543*$X$1</f>
        <v>54220.445</v>
      </c>
      <c r="T543" s="112">
        <f t="shared" ref="T543" si="1470">F543+230</f>
        <v>54180.445</v>
      </c>
      <c r="U543" s="426">
        <f t="shared" ref="U543" si="1471">+T543*$X$1</f>
        <v>54180.445</v>
      </c>
      <c r="V543" s="112">
        <f t="shared" ref="V543" si="1472">F543+190</f>
        <v>54140.445</v>
      </c>
      <c r="W543" s="426">
        <f t="shared" ref="W543" si="1473">+V543*$X$1</f>
        <v>54140.445</v>
      </c>
      <c r="X543" s="159"/>
      <c r="Y543" s="154"/>
      <c r="Z543" s="160"/>
      <c r="AA543" s="161"/>
      <c r="AB543" s="614">
        <v>710</v>
      </c>
    </row>
    <row r="544" spans="1:28" ht="12.6" customHeight="1">
      <c r="A544" s="4"/>
      <c r="B544" s="837" t="s">
        <v>739</v>
      </c>
      <c r="C544" s="838"/>
      <c r="D544" s="838"/>
      <c r="E544" s="839"/>
      <c r="F544" s="536">
        <f>72.282*X2</f>
        <v>62379.365999999995</v>
      </c>
      <c r="G544" s="381">
        <f t="shared" ref="G544" si="1474">+F544*$X$1</f>
        <v>62379.365999999995</v>
      </c>
      <c r="H544" s="113">
        <f t="shared" ref="H544" si="1475">F544+2000</f>
        <v>64379.365999999995</v>
      </c>
      <c r="I544" s="410">
        <f t="shared" ref="I544:K544" si="1476">+H544*$X$1</f>
        <v>64379.365999999995</v>
      </c>
      <c r="J544" s="113">
        <f>F544+450</f>
        <v>62829.365999999995</v>
      </c>
      <c r="K544" s="410">
        <f t="shared" si="1476"/>
        <v>62829.365999999995</v>
      </c>
      <c r="L544" s="113">
        <f>F544+380</f>
        <v>62759.365999999995</v>
      </c>
      <c r="M544" s="410">
        <f>+L544*$X$1</f>
        <v>62759.365999999995</v>
      </c>
      <c r="N544" s="113">
        <f>F544+330</f>
        <v>62709.365999999995</v>
      </c>
      <c r="O544" s="410">
        <f>+N544*$X$1</f>
        <v>62709.365999999995</v>
      </c>
      <c r="P544" s="113">
        <f>F544+300</f>
        <v>62679.365999999995</v>
      </c>
      <c r="Q544" s="410">
        <f>+P544*$X$1</f>
        <v>62679.365999999995</v>
      </c>
      <c r="R544" s="113">
        <f>F544+270</f>
        <v>62649.365999999995</v>
      </c>
      <c r="S544" s="410">
        <f>+R544*$X$1</f>
        <v>62649.365999999995</v>
      </c>
      <c r="T544" s="113">
        <f>F544+230</f>
        <v>62609.365999999995</v>
      </c>
      <c r="U544" s="410">
        <f>+T544*$X$1</f>
        <v>62609.365999999995</v>
      </c>
      <c r="V544" s="113">
        <f>F544+190</f>
        <v>62569.365999999995</v>
      </c>
      <c r="W544" s="410">
        <f>+V544*$X$1</f>
        <v>62569.365999999995</v>
      </c>
      <c r="X544" s="159"/>
      <c r="Y544" s="154"/>
      <c r="Z544" s="160"/>
      <c r="AA544" s="161"/>
      <c r="AB544" s="614">
        <v>711</v>
      </c>
    </row>
    <row r="545" spans="1:34" ht="12.6" customHeight="1">
      <c r="A545" s="4"/>
      <c r="B545" s="825" t="s">
        <v>778</v>
      </c>
      <c r="C545" s="833"/>
      <c r="D545" s="833"/>
      <c r="E545" s="834"/>
      <c r="F545" s="537">
        <f>68.375*X2</f>
        <v>59007.625</v>
      </c>
      <c r="G545" s="382">
        <f t="shared" ref="G545:G550" si="1477">+F545*$X$1</f>
        <v>59007.625</v>
      </c>
      <c r="H545" s="112">
        <f>F545+2000</f>
        <v>61007.625</v>
      </c>
      <c r="I545" s="426">
        <f>+H545*$X$1</f>
        <v>61007.625</v>
      </c>
      <c r="J545" s="112">
        <f>F545+450</f>
        <v>59457.625</v>
      </c>
      <c r="K545" s="426">
        <f>+J545*$X$1</f>
        <v>59457.625</v>
      </c>
      <c r="L545" s="112">
        <f>F545+380</f>
        <v>59387.625</v>
      </c>
      <c r="M545" s="426">
        <f>+L545*$X$1</f>
        <v>59387.625</v>
      </c>
      <c r="N545" s="112">
        <f>F545+330</f>
        <v>59337.625</v>
      </c>
      <c r="O545" s="426">
        <f>+N545*$X$1</f>
        <v>59337.625</v>
      </c>
      <c r="P545" s="112">
        <f>F545+300</f>
        <v>59307.625</v>
      </c>
      <c r="Q545" s="426">
        <f>+P545*$X$1</f>
        <v>59307.625</v>
      </c>
      <c r="R545" s="112">
        <f>F545+270</f>
        <v>59277.625</v>
      </c>
      <c r="S545" s="426">
        <f>+R545*$X$1</f>
        <v>59277.625</v>
      </c>
      <c r="T545" s="112">
        <f>F545+230</f>
        <v>59237.625</v>
      </c>
      <c r="U545" s="426">
        <f>+T545*$X$1</f>
        <v>59237.625</v>
      </c>
      <c r="V545" s="112">
        <f>F545+190</f>
        <v>59197.625</v>
      </c>
      <c r="W545" s="426">
        <f>+V545*$X$1</f>
        <v>59197.625</v>
      </c>
      <c r="X545" s="159"/>
      <c r="Y545" s="154"/>
      <c r="Z545" s="160"/>
      <c r="AA545" s="161"/>
      <c r="AB545" s="614">
        <v>714</v>
      </c>
    </row>
    <row r="546" spans="1:34" ht="12.6" customHeight="1">
      <c r="A546" s="4"/>
      <c r="B546" s="837" t="s">
        <v>721</v>
      </c>
      <c r="C546" s="838"/>
      <c r="D546" s="838"/>
      <c r="E546" s="839"/>
      <c r="F546" s="439">
        <v>20594</v>
      </c>
      <c r="G546" s="381">
        <f t="shared" si="1477"/>
        <v>20594</v>
      </c>
      <c r="H546" s="113">
        <f t="shared" si="1467"/>
        <v>22594</v>
      </c>
      <c r="I546" s="410">
        <f t="shared" ref="I546:K546" si="1478">+H546*$X$1</f>
        <v>22594</v>
      </c>
      <c r="J546" s="113">
        <f t="shared" si="1338"/>
        <v>21044</v>
      </c>
      <c r="K546" s="410">
        <f t="shared" si="1478"/>
        <v>21044</v>
      </c>
      <c r="L546" s="113">
        <f t="shared" si="1339"/>
        <v>20974</v>
      </c>
      <c r="M546" s="410">
        <f t="shared" si="1340"/>
        <v>20974</v>
      </c>
      <c r="N546" s="113">
        <f t="shared" si="1365"/>
        <v>20924</v>
      </c>
      <c r="O546" s="410">
        <f t="shared" si="1366"/>
        <v>20924</v>
      </c>
      <c r="P546" s="113">
        <f t="shared" si="1367"/>
        <v>20894</v>
      </c>
      <c r="Q546" s="410">
        <f t="shared" si="1368"/>
        <v>20894</v>
      </c>
      <c r="R546" s="113">
        <f t="shared" si="1369"/>
        <v>20864</v>
      </c>
      <c r="S546" s="410">
        <f t="shared" si="1370"/>
        <v>20864</v>
      </c>
      <c r="T546" s="113">
        <f t="shared" si="1371"/>
        <v>20824</v>
      </c>
      <c r="U546" s="410">
        <f t="shared" si="1372"/>
        <v>20824</v>
      </c>
      <c r="V546" s="113">
        <f t="shared" si="1373"/>
        <v>20784</v>
      </c>
      <c r="W546" s="410">
        <f t="shared" si="1374"/>
        <v>20784</v>
      </c>
      <c r="X546" s="159"/>
      <c r="Y546" s="154"/>
      <c r="Z546" s="160"/>
      <c r="AA546" s="161"/>
      <c r="AB546" s="614">
        <v>715</v>
      </c>
    </row>
    <row r="547" spans="1:34" ht="12.6" customHeight="1">
      <c r="A547" s="4"/>
      <c r="B547" s="825" t="s">
        <v>722</v>
      </c>
      <c r="C547" s="833"/>
      <c r="D547" s="833"/>
      <c r="E547" s="834"/>
      <c r="F547" s="537">
        <f>17.15*X2</f>
        <v>14800.449999999999</v>
      </c>
      <c r="G547" s="382">
        <f t="shared" ref="G547" si="1479">+F547*$X$1</f>
        <v>14800.449999999999</v>
      </c>
      <c r="H547" s="112">
        <f>F547+2000</f>
        <v>16800.449999999997</v>
      </c>
      <c r="I547" s="426">
        <f>+H547*$X$1</f>
        <v>16800.449999999997</v>
      </c>
      <c r="J547" s="112">
        <f>F547+450</f>
        <v>15250.449999999999</v>
      </c>
      <c r="K547" s="426">
        <f>+J547*$X$1</f>
        <v>15250.449999999999</v>
      </c>
      <c r="L547" s="112">
        <f>F547+380</f>
        <v>15180.449999999999</v>
      </c>
      <c r="M547" s="426">
        <f>+L547*$X$1</f>
        <v>15180.449999999999</v>
      </c>
      <c r="N547" s="112">
        <f>F547+330</f>
        <v>15130.449999999999</v>
      </c>
      <c r="O547" s="426">
        <f>+N547*$X$1</f>
        <v>15130.449999999999</v>
      </c>
      <c r="P547" s="112">
        <f>F547+300</f>
        <v>15100.449999999999</v>
      </c>
      <c r="Q547" s="426">
        <f>+P547*$X$1</f>
        <v>15100.449999999999</v>
      </c>
      <c r="R547" s="112">
        <f>F547+270</f>
        <v>15070.449999999999</v>
      </c>
      <c r="S547" s="426">
        <f>+R547*$X$1</f>
        <v>15070.449999999999</v>
      </c>
      <c r="T547" s="112">
        <f>F547+230</f>
        <v>15030.449999999999</v>
      </c>
      <c r="U547" s="426">
        <f>+T547*$X$1</f>
        <v>15030.449999999999</v>
      </c>
      <c r="V547" s="112">
        <f>F547+190</f>
        <v>14990.449999999999</v>
      </c>
      <c r="W547" s="426">
        <f>+V547*$X$1</f>
        <v>14990.449999999999</v>
      </c>
      <c r="X547" s="159"/>
      <c r="Y547" s="154"/>
      <c r="Z547" s="160"/>
      <c r="AA547" s="161"/>
      <c r="AB547" s="614">
        <v>720</v>
      </c>
    </row>
    <row r="548" spans="1:34" ht="12.6" customHeight="1">
      <c r="A548" s="4"/>
      <c r="B548" s="849" t="s">
        <v>802</v>
      </c>
      <c r="C548" s="850"/>
      <c r="D548" s="850"/>
      <c r="E548" s="851"/>
      <c r="F548" s="536">
        <f>6.7*X2</f>
        <v>5782.1</v>
      </c>
      <c r="G548" s="381">
        <f t="shared" si="1477"/>
        <v>5782.1</v>
      </c>
      <c r="H548" s="113">
        <f t="shared" ref="H548:H549" si="1480">F548+2000</f>
        <v>7782.1</v>
      </c>
      <c r="I548" s="410">
        <f>+H548*$X$1</f>
        <v>7782.1</v>
      </c>
      <c r="J548" s="113">
        <f t="shared" ref="J548:J549" si="1481">F548+450</f>
        <v>6232.1</v>
      </c>
      <c r="K548" s="410">
        <f>+J548*$X$1</f>
        <v>6232.1</v>
      </c>
      <c r="L548" s="113">
        <f t="shared" ref="L548:L549" si="1482">F548+380</f>
        <v>6162.1</v>
      </c>
      <c r="M548" s="410">
        <f t="shared" ref="M548:M549" si="1483">+L548*$X$1</f>
        <v>6162.1</v>
      </c>
      <c r="N548" s="113">
        <f t="shared" ref="N548:N549" si="1484">F548+330</f>
        <v>6112.1</v>
      </c>
      <c r="O548" s="410">
        <f t="shared" ref="O548:O549" si="1485">+N548*$X$1</f>
        <v>6112.1</v>
      </c>
      <c r="P548" s="113">
        <f t="shared" ref="P548:P549" si="1486">F548+300</f>
        <v>6082.1</v>
      </c>
      <c r="Q548" s="410">
        <f t="shared" ref="Q548:Q549" si="1487">+P548*$X$1</f>
        <v>6082.1</v>
      </c>
      <c r="R548" s="113">
        <f t="shared" ref="R548:R549" si="1488">F548+270</f>
        <v>6052.1</v>
      </c>
      <c r="S548" s="410">
        <f t="shared" ref="S548:S549" si="1489">+R548*$X$1</f>
        <v>6052.1</v>
      </c>
      <c r="T548" s="113">
        <f t="shared" ref="T548:T549" si="1490">F548+230</f>
        <v>6012.1</v>
      </c>
      <c r="U548" s="410">
        <f t="shared" ref="U548:U549" si="1491">+T548*$X$1</f>
        <v>6012.1</v>
      </c>
      <c r="V548" s="113"/>
      <c r="W548" s="410"/>
      <c r="X548" s="159"/>
      <c r="Y548" s="154"/>
      <c r="Z548" s="160"/>
      <c r="AA548" s="161"/>
      <c r="AB548" s="221">
        <v>741</v>
      </c>
    </row>
    <row r="549" spans="1:34" ht="12.6" customHeight="1">
      <c r="A549" s="4"/>
      <c r="B549" s="849" t="s">
        <v>813</v>
      </c>
      <c r="C549" s="850"/>
      <c r="D549" s="850"/>
      <c r="E549" s="851"/>
      <c r="F549" s="537">
        <f>29.2*X2</f>
        <v>25199.599999999999</v>
      </c>
      <c r="G549" s="382">
        <f t="shared" si="1477"/>
        <v>25199.599999999999</v>
      </c>
      <c r="H549" s="112">
        <f t="shared" si="1480"/>
        <v>27199.599999999999</v>
      </c>
      <c r="I549" s="426">
        <f>+H549*$X$1</f>
        <v>27199.599999999999</v>
      </c>
      <c r="J549" s="112">
        <f t="shared" si="1481"/>
        <v>25649.599999999999</v>
      </c>
      <c r="K549" s="426">
        <f>+J549*$X$1</f>
        <v>25649.599999999999</v>
      </c>
      <c r="L549" s="112">
        <f t="shared" si="1482"/>
        <v>25579.599999999999</v>
      </c>
      <c r="M549" s="426">
        <f t="shared" si="1483"/>
        <v>25579.599999999999</v>
      </c>
      <c r="N549" s="112">
        <f t="shared" si="1484"/>
        <v>25529.599999999999</v>
      </c>
      <c r="O549" s="426">
        <f t="shared" si="1485"/>
        <v>25529.599999999999</v>
      </c>
      <c r="P549" s="112">
        <f t="shared" si="1486"/>
        <v>25499.599999999999</v>
      </c>
      <c r="Q549" s="426">
        <f t="shared" si="1487"/>
        <v>25499.599999999999</v>
      </c>
      <c r="R549" s="112">
        <f t="shared" si="1488"/>
        <v>25469.599999999999</v>
      </c>
      <c r="S549" s="426">
        <f t="shared" si="1489"/>
        <v>25469.599999999999</v>
      </c>
      <c r="T549" s="112">
        <f t="shared" si="1490"/>
        <v>25429.599999999999</v>
      </c>
      <c r="U549" s="426">
        <f t="shared" si="1491"/>
        <v>25429.599999999999</v>
      </c>
      <c r="V549" s="112"/>
      <c r="W549" s="426"/>
      <c r="X549" s="159"/>
      <c r="Y549" s="154"/>
      <c r="Z549" s="160"/>
      <c r="AA549" s="161"/>
      <c r="AB549" s="221">
        <v>742</v>
      </c>
    </row>
    <row r="550" spans="1:34" ht="12.6" customHeight="1">
      <c r="A550" s="4"/>
      <c r="B550" s="849" t="s">
        <v>814</v>
      </c>
      <c r="C550" s="850"/>
      <c r="D550" s="850"/>
      <c r="E550" s="851"/>
      <c r="F550" s="536">
        <f>29.74*X2</f>
        <v>25665.62</v>
      </c>
      <c r="G550" s="381">
        <f t="shared" si="1477"/>
        <v>25665.62</v>
      </c>
      <c r="H550" s="113">
        <f t="shared" ref="H550" si="1492">F550+2000</f>
        <v>27665.62</v>
      </c>
      <c r="I550" s="410">
        <f>+H550*$X$1</f>
        <v>27665.62</v>
      </c>
      <c r="J550" s="113">
        <f t="shared" ref="J550" si="1493">F550+450</f>
        <v>26115.62</v>
      </c>
      <c r="K550" s="410">
        <f>+J550*$X$1</f>
        <v>26115.62</v>
      </c>
      <c r="L550" s="113">
        <f t="shared" ref="L550" si="1494">F550+380</f>
        <v>26045.62</v>
      </c>
      <c r="M550" s="410">
        <f t="shared" ref="M550" si="1495">+L550*$X$1</f>
        <v>26045.62</v>
      </c>
      <c r="N550" s="113">
        <f t="shared" ref="N550" si="1496">F550+330</f>
        <v>25995.62</v>
      </c>
      <c r="O550" s="410">
        <f t="shared" ref="O550" si="1497">+N550*$X$1</f>
        <v>25995.62</v>
      </c>
      <c r="P550" s="113">
        <f t="shared" ref="P550" si="1498">F550+300</f>
        <v>25965.62</v>
      </c>
      <c r="Q550" s="410">
        <f t="shared" ref="Q550" si="1499">+P550*$X$1</f>
        <v>25965.62</v>
      </c>
      <c r="R550" s="113">
        <f t="shared" ref="R550" si="1500">F550+270</f>
        <v>25935.62</v>
      </c>
      <c r="S550" s="410">
        <f t="shared" ref="S550" si="1501">+R550*$X$1</f>
        <v>25935.62</v>
      </c>
      <c r="T550" s="113">
        <f t="shared" ref="T550" si="1502">F550+230</f>
        <v>25895.62</v>
      </c>
      <c r="U550" s="410">
        <f t="shared" ref="U550" si="1503">+T550*$X$1</f>
        <v>25895.62</v>
      </c>
      <c r="V550" s="113"/>
      <c r="W550" s="410"/>
      <c r="X550" s="159"/>
      <c r="Y550" s="154"/>
      <c r="Z550" s="160"/>
      <c r="AA550" s="161"/>
      <c r="AB550" s="221">
        <v>743</v>
      </c>
    </row>
    <row r="551" spans="1:34" ht="12.6" customHeight="1">
      <c r="A551" s="4"/>
      <c r="B551" s="842" t="s">
        <v>781</v>
      </c>
      <c r="C551" s="843"/>
      <c r="D551" s="843"/>
      <c r="E551" s="843"/>
      <c r="F551" s="563"/>
      <c r="G551" s="563"/>
      <c r="H551" s="581">
        <v>1300</v>
      </c>
      <c r="I551" s="382">
        <f t="shared" ref="I551:K551" si="1504">+H551*$X$1</f>
        <v>1300</v>
      </c>
      <c r="J551" s="581">
        <v>600</v>
      </c>
      <c r="K551" s="382">
        <f t="shared" si="1504"/>
        <v>600</v>
      </c>
      <c r="L551" s="581">
        <v>510</v>
      </c>
      <c r="M551" s="382">
        <f t="shared" si="1340"/>
        <v>510</v>
      </c>
      <c r="N551" s="581">
        <v>450</v>
      </c>
      <c r="O551" s="382">
        <f t="shared" si="1366"/>
        <v>450</v>
      </c>
      <c r="P551" s="581">
        <v>410</v>
      </c>
      <c r="Q551" s="382">
        <f t="shared" si="1368"/>
        <v>410</v>
      </c>
      <c r="R551" s="581">
        <v>360</v>
      </c>
      <c r="S551" s="382">
        <f t="shared" si="1370"/>
        <v>360</v>
      </c>
      <c r="T551" s="581">
        <v>320</v>
      </c>
      <c r="U551" s="382">
        <f t="shared" si="1372"/>
        <v>320</v>
      </c>
      <c r="V551" s="581">
        <v>270</v>
      </c>
      <c r="W551" s="382">
        <f t="shared" si="1374"/>
        <v>270</v>
      </c>
      <c r="X551" s="159"/>
      <c r="Y551" s="154"/>
      <c r="Z551" s="160"/>
      <c r="AA551" s="161"/>
      <c r="AB551" s="35"/>
    </row>
    <row r="552" spans="1:34" ht="10.5" customHeight="1">
      <c r="A552" s="82"/>
      <c r="B552" s="120"/>
      <c r="C552" s="443"/>
      <c r="D552" s="443"/>
      <c r="E552" s="443"/>
      <c r="F552" s="444"/>
      <c r="G552" s="444"/>
      <c r="H552" s="135"/>
      <c r="I552" s="444"/>
      <c r="J552" s="135"/>
      <c r="K552" s="444"/>
      <c r="L552" s="135"/>
      <c r="M552" s="444"/>
      <c r="N552" s="135"/>
      <c r="O552" s="444"/>
      <c r="P552" s="135"/>
      <c r="Q552" s="444"/>
      <c r="R552" s="135"/>
      <c r="S552" s="444"/>
      <c r="T552" s="135"/>
      <c r="U552" s="444"/>
      <c r="V552" s="135"/>
      <c r="W552" s="444"/>
      <c r="X552" s="229"/>
      <c r="Y552" s="82"/>
      <c r="Z552" s="230"/>
      <c r="AA552" s="230"/>
      <c r="AB552" s="231"/>
    </row>
    <row r="553" spans="1:34" ht="12.6" customHeight="1">
      <c r="A553" s="20"/>
      <c r="B553" s="267"/>
      <c r="C553" s="69"/>
      <c r="D553" s="69"/>
      <c r="E553" s="69"/>
      <c r="F553" s="444"/>
      <c r="G553" s="444"/>
      <c r="H553" s="148"/>
      <c r="I553" s="516"/>
      <c r="J553" s="135"/>
      <c r="K553" s="516"/>
      <c r="L553" s="135"/>
      <c r="M553" s="516"/>
      <c r="N553" s="135"/>
      <c r="O553" s="516"/>
      <c r="P553" s="135"/>
      <c r="Q553" s="516"/>
      <c r="R553" s="148"/>
      <c r="S553" s="516"/>
      <c r="T553" s="148"/>
      <c r="U553" s="516"/>
      <c r="V553" s="148"/>
      <c r="W553" s="516"/>
      <c r="X553" s="229"/>
      <c r="Y553" s="517"/>
      <c r="Z553" s="517"/>
      <c r="AA553" s="517"/>
      <c r="AB553" s="231"/>
    </row>
    <row r="554" spans="1:34" ht="12.6" customHeight="1">
      <c r="A554" s="20"/>
      <c r="B554" s="267"/>
      <c r="C554" s="69"/>
      <c r="D554" s="69"/>
      <c r="E554" s="69"/>
      <c r="F554" s="444"/>
      <c r="G554" s="444"/>
      <c r="H554" s="148"/>
      <c r="I554" s="516"/>
      <c r="J554" s="135"/>
      <c r="K554" s="516"/>
      <c r="L554" s="135"/>
      <c r="M554" s="516"/>
      <c r="N554" s="135"/>
      <c r="O554" s="516"/>
      <c r="P554" s="135"/>
      <c r="Q554" s="516"/>
      <c r="R554" s="148"/>
      <c r="S554" s="516"/>
      <c r="T554" s="148"/>
      <c r="U554" s="516"/>
      <c r="V554" s="148"/>
      <c r="W554" s="516"/>
      <c r="X554" s="229"/>
      <c r="Y554" s="517"/>
      <c r="Z554" s="517"/>
      <c r="AA554" s="517"/>
      <c r="AB554" s="231"/>
    </row>
    <row r="555" spans="1:34" ht="12.6" customHeight="1">
      <c r="A555" s="20"/>
      <c r="B555" s="267"/>
      <c r="C555" s="69"/>
      <c r="D555" s="69"/>
      <c r="E555" s="69"/>
      <c r="F555" s="444"/>
      <c r="G555" s="444"/>
      <c r="H555" s="148"/>
      <c r="I555" s="516"/>
      <c r="J555" s="135"/>
      <c r="K555" s="516"/>
      <c r="L555" s="135"/>
      <c r="M555" s="516"/>
      <c r="N555" s="135"/>
      <c r="O555" s="516"/>
      <c r="P555" s="135"/>
      <c r="Q555" s="516"/>
      <c r="R555" s="148"/>
      <c r="S555" s="516"/>
      <c r="T555" s="148"/>
      <c r="U555" s="516"/>
      <c r="V555" s="148"/>
      <c r="W555" s="516"/>
      <c r="X555" s="229"/>
      <c r="Y555" s="517"/>
      <c r="Z555" s="517"/>
      <c r="AA555" s="517"/>
      <c r="AB555" s="231"/>
    </row>
    <row r="556" spans="1:34" ht="12.6" customHeight="1">
      <c r="A556" s="20"/>
      <c r="B556" s="267"/>
      <c r="C556" s="69"/>
      <c r="D556" s="69"/>
      <c r="E556" s="69"/>
      <c r="F556" s="444"/>
      <c r="G556" s="444"/>
      <c r="H556" s="148"/>
      <c r="I556" s="516"/>
      <c r="J556" s="135"/>
      <c r="K556" s="516"/>
      <c r="L556" s="135"/>
      <c r="M556" s="516"/>
      <c r="N556" s="135"/>
      <c r="O556" s="516"/>
      <c r="P556" s="135"/>
      <c r="Q556" s="516"/>
      <c r="R556" s="148"/>
      <c r="S556" s="516"/>
      <c r="T556" s="148"/>
      <c r="U556" s="516"/>
      <c r="V556" s="148"/>
      <c r="W556" s="516"/>
      <c r="X556" s="229"/>
      <c r="Y556" s="517"/>
      <c r="Z556" s="517"/>
      <c r="AA556" s="517"/>
      <c r="AB556" s="231"/>
    </row>
    <row r="557" spans="1:34" ht="12.6" customHeight="1">
      <c r="A557" s="20"/>
      <c r="B557" s="267"/>
      <c r="C557" s="69"/>
      <c r="D557" s="69"/>
      <c r="E557" s="69"/>
      <c r="F557" s="444"/>
      <c r="G557" s="444"/>
      <c r="H557" s="148"/>
      <c r="I557" s="516"/>
      <c r="J557" s="135"/>
      <c r="K557" s="516"/>
      <c r="L557" s="135"/>
      <c r="M557" s="516"/>
      <c r="N557" s="135"/>
      <c r="O557" s="516"/>
      <c r="P557" s="135"/>
      <c r="Q557" s="516"/>
      <c r="R557" s="148"/>
      <c r="S557" s="516"/>
      <c r="T557" s="148"/>
      <c r="U557" s="516"/>
      <c r="V557" s="148"/>
      <c r="W557" s="516"/>
      <c r="X557" s="229"/>
      <c r="Y557" s="517"/>
      <c r="Z557" s="517"/>
      <c r="AA557" s="517"/>
      <c r="AB557" s="231"/>
    </row>
    <row r="558" spans="1:34" ht="12.6" customHeight="1" thickBot="1">
      <c r="A558" s="20"/>
      <c r="B558" s="267"/>
      <c r="C558" s="69"/>
      <c r="D558" s="69"/>
      <c r="E558" s="69"/>
      <c r="F558" s="444"/>
      <c r="G558" s="444"/>
      <c r="H558" s="148"/>
      <c r="I558" s="516"/>
      <c r="J558" s="135"/>
      <c r="K558" s="516"/>
      <c r="L558" s="135"/>
      <c r="M558" s="516"/>
      <c r="N558" s="135"/>
      <c r="O558" s="516"/>
      <c r="P558" s="135"/>
      <c r="Q558" s="516"/>
      <c r="R558" s="148"/>
      <c r="S558" s="516"/>
      <c r="T558" s="148"/>
      <c r="U558" s="516"/>
      <c r="V558" s="148"/>
      <c r="W558" s="516"/>
      <c r="X558" s="229"/>
      <c r="Y558" s="517"/>
      <c r="Z558" s="517"/>
      <c r="AA558" s="517"/>
      <c r="AB558" s="231"/>
    </row>
    <row r="559" spans="1:34" ht="14.25" customHeight="1" thickBot="1">
      <c r="B559" s="810" t="s">
        <v>782</v>
      </c>
      <c r="C559" s="811"/>
      <c r="D559" s="811"/>
      <c r="E559" s="811"/>
      <c r="F559" s="811"/>
      <c r="G559" s="811"/>
      <c r="H559" s="811"/>
      <c r="I559" s="811"/>
      <c r="J559" s="811"/>
      <c r="K559" s="811"/>
      <c r="L559" s="811"/>
      <c r="M559" s="811"/>
      <c r="N559" s="811"/>
      <c r="O559" s="811"/>
      <c r="P559" s="811"/>
      <c r="Q559" s="811"/>
      <c r="R559" s="811"/>
      <c r="S559" s="811"/>
      <c r="T559" s="811"/>
      <c r="U559" s="811"/>
      <c r="V559" s="811"/>
      <c r="W559" s="812"/>
      <c r="AB559" s="4"/>
      <c r="AF559" s="815" t="s">
        <v>3</v>
      </c>
      <c r="AG559" s="816"/>
      <c r="AH559" s="816"/>
    </row>
    <row r="560" spans="1:34" ht="12" customHeight="1">
      <c r="B560" s="772" t="s">
        <v>11</v>
      </c>
      <c r="C560" s="774" t="s">
        <v>12</v>
      </c>
      <c r="D560" s="775"/>
      <c r="E560" s="775"/>
      <c r="F560" s="787" t="s">
        <v>315</v>
      </c>
      <c r="G560" s="787" t="s">
        <v>13</v>
      </c>
      <c r="H560" s="1190" t="s">
        <v>316</v>
      </c>
      <c r="I560" s="1190"/>
      <c r="J560" s="1020"/>
      <c r="K560" s="1020"/>
      <c r="L560" s="1020"/>
      <c r="M560" s="1020"/>
      <c r="N560" s="1020"/>
      <c r="O560" s="1020"/>
      <c r="P560" s="1020"/>
      <c r="Q560" s="1020"/>
      <c r="R560" s="1020"/>
      <c r="S560" s="1020"/>
      <c r="T560" s="1020"/>
      <c r="U560" s="1020"/>
      <c r="V560" s="1020"/>
      <c r="W560" s="1021"/>
      <c r="X560" s="777" t="s">
        <v>15</v>
      </c>
      <c r="Y560" s="778"/>
      <c r="Z560" s="778"/>
      <c r="AA560" s="778"/>
      <c r="AB560" s="831" t="s">
        <v>16</v>
      </c>
      <c r="AF560" s="815"/>
      <c r="AG560" s="816"/>
      <c r="AH560" s="816"/>
    </row>
    <row r="561" spans="1:28" ht="11.25" customHeight="1" thickBot="1">
      <c r="B561" s="773"/>
      <c r="C561" s="776"/>
      <c r="D561" s="776"/>
      <c r="E561" s="776"/>
      <c r="F561" s="788"/>
      <c r="G561" s="788"/>
      <c r="H561" s="328"/>
      <c r="I561" s="326" t="s">
        <v>317</v>
      </c>
      <c r="J561" s="328"/>
      <c r="K561" s="326" t="s">
        <v>318</v>
      </c>
      <c r="L561" s="328"/>
      <c r="M561" s="326" t="s">
        <v>728</v>
      </c>
      <c r="N561" s="328"/>
      <c r="O561" s="326" t="s">
        <v>18</v>
      </c>
      <c r="P561" s="328"/>
      <c r="Q561" s="326" t="s">
        <v>19</v>
      </c>
      <c r="R561" s="328"/>
      <c r="S561" s="326" t="s">
        <v>20</v>
      </c>
      <c r="T561" s="328"/>
      <c r="U561" s="326" t="s">
        <v>320</v>
      </c>
      <c r="V561" s="328"/>
      <c r="W561" s="327" t="s">
        <v>21</v>
      </c>
      <c r="X561" s="779"/>
      <c r="Y561" s="780"/>
      <c r="Z561" s="780"/>
      <c r="AA561" s="780"/>
      <c r="AB561" s="832"/>
    </row>
    <row r="562" spans="1:28" ht="12.6" customHeight="1">
      <c r="A562" s="20"/>
      <c r="B562" s="699" t="s">
        <v>680</v>
      </c>
      <c r="C562" s="724"/>
      <c r="D562" s="724"/>
      <c r="E562" s="725"/>
      <c r="F562" s="683">
        <v>2018</v>
      </c>
      <c r="G562" s="670"/>
      <c r="H562" s="131"/>
      <c r="I562" s="457"/>
      <c r="J562" s="131">
        <f>F562+150</f>
        <v>2168</v>
      </c>
      <c r="K562" s="457">
        <f t="shared" ref="K562" si="1505">+J562*$X$1</f>
        <v>2168</v>
      </c>
      <c r="L562" s="131">
        <f t="shared" ref="L562:L567" si="1506">F562+120</f>
        <v>2138</v>
      </c>
      <c r="M562" s="457">
        <f t="shared" ref="M562" si="1507">+L562*$X$1</f>
        <v>2138</v>
      </c>
      <c r="N562" s="131">
        <f t="shared" ref="N562:N567" si="1508">F562+100</f>
        <v>2118</v>
      </c>
      <c r="O562" s="457">
        <f t="shared" ref="O562" si="1509">+N562*$X$1</f>
        <v>2118</v>
      </c>
      <c r="P562" s="131">
        <f t="shared" ref="P562:P567" si="1510">F562+85</f>
        <v>2103</v>
      </c>
      <c r="Q562" s="457">
        <f t="shared" ref="Q562" si="1511">+P562*$X$1</f>
        <v>2103</v>
      </c>
      <c r="R562" s="131">
        <f t="shared" ref="R562:R567" si="1512">F562+75</f>
        <v>2093</v>
      </c>
      <c r="S562" s="457">
        <f t="shared" ref="S562" si="1513">+R562*$X$1</f>
        <v>2093</v>
      </c>
      <c r="T562" s="131">
        <f t="shared" ref="T562:T567" si="1514">F562+70</f>
        <v>2088</v>
      </c>
      <c r="U562" s="457">
        <f t="shared" ref="U562" si="1515">+T562*$X$1</f>
        <v>2088</v>
      </c>
      <c r="V562" s="131">
        <f t="shared" ref="V562:V567" si="1516">F562+65</f>
        <v>2083</v>
      </c>
      <c r="W562" s="457">
        <f t="shared" ref="W562" si="1517">+V562*$X$1</f>
        <v>2083</v>
      </c>
      <c r="X562" s="165"/>
      <c r="Y562" s="166"/>
      <c r="Z562" s="166"/>
      <c r="AA562" s="166"/>
      <c r="AB562" s="35"/>
    </row>
    <row r="563" spans="1:28" ht="12.6" customHeight="1">
      <c r="A563" s="20"/>
      <c r="B563" s="702" t="s">
        <v>474</v>
      </c>
      <c r="C563" s="924"/>
      <c r="D563" s="924"/>
      <c r="E563" s="925"/>
      <c r="F563" s="684">
        <v>875</v>
      </c>
      <c r="G563" s="578"/>
      <c r="H563" s="534"/>
      <c r="I563" s="461"/>
      <c r="J563" s="534"/>
      <c r="K563" s="461"/>
      <c r="L563" s="534">
        <f t="shared" si="1506"/>
        <v>995</v>
      </c>
      <c r="M563" s="461">
        <f t="shared" ref="M563:M564" si="1518">+L563*$X$1</f>
        <v>995</v>
      </c>
      <c r="N563" s="534">
        <f t="shared" si="1508"/>
        <v>975</v>
      </c>
      <c r="O563" s="461">
        <f t="shared" ref="O563:O564" si="1519">+N563*$X$1</f>
        <v>975</v>
      </c>
      <c r="P563" s="534">
        <f t="shared" si="1510"/>
        <v>960</v>
      </c>
      <c r="Q563" s="461">
        <f t="shared" ref="Q563:Q564" si="1520">+P563*$X$1</f>
        <v>960</v>
      </c>
      <c r="R563" s="534">
        <f t="shared" si="1512"/>
        <v>950</v>
      </c>
      <c r="S563" s="461">
        <f t="shared" ref="S563:S564" si="1521">+R563*$X$1</f>
        <v>950</v>
      </c>
      <c r="T563" s="534">
        <f t="shared" si="1514"/>
        <v>945</v>
      </c>
      <c r="U563" s="461">
        <f t="shared" ref="U563:U564" si="1522">+T563*$X$1</f>
        <v>945</v>
      </c>
      <c r="V563" s="534">
        <f t="shared" si="1516"/>
        <v>940</v>
      </c>
      <c r="W563" s="461">
        <f t="shared" ref="W563:W564" si="1523">+V563*$X$1</f>
        <v>940</v>
      </c>
      <c r="X563" s="165"/>
      <c r="Y563" s="166"/>
      <c r="Z563" s="166"/>
      <c r="AA563" s="166"/>
      <c r="AB563" s="35"/>
    </row>
    <row r="564" spans="1:28" ht="12.6" customHeight="1">
      <c r="A564" s="20"/>
      <c r="B564" s="699" t="s">
        <v>552</v>
      </c>
      <c r="C564" s="724"/>
      <c r="D564" s="724"/>
      <c r="E564" s="725"/>
      <c r="F564" s="683">
        <v>1860</v>
      </c>
      <c r="G564" s="670"/>
      <c r="H564" s="131">
        <f>F564+300</f>
        <v>2160</v>
      </c>
      <c r="I564" s="457">
        <f>+H564*$X$1</f>
        <v>2160</v>
      </c>
      <c r="J564" s="131">
        <f>F564+150</f>
        <v>2010</v>
      </c>
      <c r="K564" s="457">
        <f t="shared" ref="K564" si="1524">+J564*$X$1</f>
        <v>2010</v>
      </c>
      <c r="L564" s="131">
        <f t="shared" si="1506"/>
        <v>1980</v>
      </c>
      <c r="M564" s="457">
        <f t="shared" si="1518"/>
        <v>1980</v>
      </c>
      <c r="N564" s="131">
        <f t="shared" si="1508"/>
        <v>1960</v>
      </c>
      <c r="O564" s="457">
        <f t="shared" si="1519"/>
        <v>1960</v>
      </c>
      <c r="P564" s="131">
        <f t="shared" si="1510"/>
        <v>1945</v>
      </c>
      <c r="Q564" s="457">
        <f t="shared" si="1520"/>
        <v>1945</v>
      </c>
      <c r="R564" s="131">
        <f t="shared" si="1512"/>
        <v>1935</v>
      </c>
      <c r="S564" s="457">
        <f t="shared" si="1521"/>
        <v>1935</v>
      </c>
      <c r="T564" s="131">
        <f t="shared" si="1514"/>
        <v>1930</v>
      </c>
      <c r="U564" s="457">
        <f t="shared" si="1522"/>
        <v>1930</v>
      </c>
      <c r="V564" s="131">
        <f t="shared" si="1516"/>
        <v>1925</v>
      </c>
      <c r="W564" s="457">
        <f t="shared" si="1523"/>
        <v>1925</v>
      </c>
      <c r="X564" s="165"/>
      <c r="Y564" s="166"/>
      <c r="Z564" s="166"/>
      <c r="AA564" s="166"/>
      <c r="AB564" s="35"/>
    </row>
    <row r="565" spans="1:28" ht="12.6" customHeight="1">
      <c r="A565" s="20"/>
      <c r="B565" s="702" t="s">
        <v>321</v>
      </c>
      <c r="C565" s="703"/>
      <c r="D565" s="703"/>
      <c r="E565" s="704"/>
      <c r="F565" s="685">
        <v>2798</v>
      </c>
      <c r="G565" s="671"/>
      <c r="H565" s="534">
        <f>F565+300</f>
        <v>3098</v>
      </c>
      <c r="I565" s="461">
        <f>+H565*$X$1</f>
        <v>3098</v>
      </c>
      <c r="J565" s="534">
        <f>F565+150</f>
        <v>2948</v>
      </c>
      <c r="K565" s="461">
        <f t="shared" ref="K565" si="1525">+J565*$X$1</f>
        <v>2948</v>
      </c>
      <c r="L565" s="534">
        <f t="shared" si="1506"/>
        <v>2918</v>
      </c>
      <c r="M565" s="461">
        <f t="shared" ref="M565" si="1526">+L565*$X$1</f>
        <v>2918</v>
      </c>
      <c r="N565" s="534">
        <f t="shared" si="1508"/>
        <v>2898</v>
      </c>
      <c r="O565" s="461">
        <f t="shared" ref="O565" si="1527">+N565*$X$1</f>
        <v>2898</v>
      </c>
      <c r="P565" s="534">
        <f t="shared" si="1510"/>
        <v>2883</v>
      </c>
      <c r="Q565" s="461">
        <f t="shared" ref="Q565" si="1528">+P565*$X$1</f>
        <v>2883</v>
      </c>
      <c r="R565" s="534">
        <f t="shared" si="1512"/>
        <v>2873</v>
      </c>
      <c r="S565" s="461">
        <f t="shared" ref="S565" si="1529">+R565*$X$1</f>
        <v>2873</v>
      </c>
      <c r="T565" s="534">
        <f t="shared" si="1514"/>
        <v>2868</v>
      </c>
      <c r="U565" s="461">
        <f t="shared" ref="U565" si="1530">+T565*$X$1</f>
        <v>2868</v>
      </c>
      <c r="V565" s="534">
        <f t="shared" si="1516"/>
        <v>2863</v>
      </c>
      <c r="W565" s="461">
        <f t="shared" ref="W565" si="1531">+V565*$X$1</f>
        <v>2863</v>
      </c>
      <c r="X565" s="165"/>
      <c r="Y565" s="166"/>
      <c r="Z565" s="166"/>
      <c r="AA565" s="166"/>
      <c r="AB565" s="35"/>
    </row>
    <row r="566" spans="1:28" ht="12.6" customHeight="1">
      <c r="A566" s="20"/>
      <c r="B566" s="1176" t="s">
        <v>322</v>
      </c>
      <c r="C566" s="1177"/>
      <c r="D566" s="1177"/>
      <c r="E566" s="1178"/>
      <c r="F566" s="613">
        <v>2320</v>
      </c>
      <c r="G566" s="565">
        <f>+F566*$X$1</f>
        <v>2320</v>
      </c>
      <c r="H566" s="566">
        <f>F566+300</f>
        <v>2620</v>
      </c>
      <c r="I566" s="567">
        <f>+H566*$X$1</f>
        <v>2620</v>
      </c>
      <c r="J566" s="566">
        <f>F566+150</f>
        <v>2470</v>
      </c>
      <c r="K566" s="567">
        <f t="shared" ref="K566:K567" si="1532">+J566*$X$1</f>
        <v>2470</v>
      </c>
      <c r="L566" s="566">
        <f t="shared" si="1506"/>
        <v>2440</v>
      </c>
      <c r="M566" s="567">
        <f t="shared" ref="M566:M567" si="1533">+L566*$X$1</f>
        <v>2440</v>
      </c>
      <c r="N566" s="566">
        <f t="shared" si="1508"/>
        <v>2420</v>
      </c>
      <c r="O566" s="567">
        <f t="shared" ref="O566:O567" si="1534">+N566*$X$1</f>
        <v>2420</v>
      </c>
      <c r="P566" s="566">
        <f t="shared" si="1510"/>
        <v>2405</v>
      </c>
      <c r="Q566" s="567">
        <f t="shared" ref="Q566:Q567" si="1535">+P566*$X$1</f>
        <v>2405</v>
      </c>
      <c r="R566" s="566">
        <f t="shared" si="1512"/>
        <v>2395</v>
      </c>
      <c r="S566" s="567">
        <f>+R566*$X$1</f>
        <v>2395</v>
      </c>
      <c r="T566" s="566">
        <f t="shared" si="1514"/>
        <v>2390</v>
      </c>
      <c r="U566" s="567">
        <f>+T566*$X$1</f>
        <v>2390</v>
      </c>
      <c r="V566" s="566">
        <f t="shared" si="1516"/>
        <v>2385</v>
      </c>
      <c r="W566" s="567">
        <f t="shared" ref="W566:W567" si="1536">+V566*$X$1</f>
        <v>2385</v>
      </c>
      <c r="X566" s="165"/>
      <c r="Y566" s="166"/>
      <c r="Z566" s="166"/>
      <c r="AA566" s="166"/>
      <c r="AB566" s="35"/>
    </row>
    <row r="567" spans="1:28" ht="12.6" customHeight="1">
      <c r="A567" s="20"/>
      <c r="B567" s="715" t="s">
        <v>323</v>
      </c>
      <c r="C567" s="716"/>
      <c r="D567" s="716"/>
      <c r="E567" s="716"/>
      <c r="F567" s="381">
        <v>2538</v>
      </c>
      <c r="G567" s="461">
        <f>+F567*$X$1</f>
        <v>2538</v>
      </c>
      <c r="H567" s="534">
        <f>F567+300</f>
        <v>2838</v>
      </c>
      <c r="I567" s="461">
        <f>+H567*$X$1</f>
        <v>2838</v>
      </c>
      <c r="J567" s="534">
        <f>F567+150</f>
        <v>2688</v>
      </c>
      <c r="K567" s="461">
        <f t="shared" si="1532"/>
        <v>2688</v>
      </c>
      <c r="L567" s="534">
        <f t="shared" si="1506"/>
        <v>2658</v>
      </c>
      <c r="M567" s="461">
        <f t="shared" si="1533"/>
        <v>2658</v>
      </c>
      <c r="N567" s="534">
        <f t="shared" si="1508"/>
        <v>2638</v>
      </c>
      <c r="O567" s="461">
        <f t="shared" si="1534"/>
        <v>2638</v>
      </c>
      <c r="P567" s="534">
        <f t="shared" si="1510"/>
        <v>2623</v>
      </c>
      <c r="Q567" s="461">
        <f t="shared" si="1535"/>
        <v>2623</v>
      </c>
      <c r="R567" s="534">
        <f t="shared" si="1512"/>
        <v>2613</v>
      </c>
      <c r="S567" s="461">
        <f>+R567*$X$1</f>
        <v>2613</v>
      </c>
      <c r="T567" s="534">
        <f t="shared" si="1514"/>
        <v>2608</v>
      </c>
      <c r="U567" s="461">
        <f>+T567*$X$1</f>
        <v>2608</v>
      </c>
      <c r="V567" s="534">
        <f t="shared" si="1516"/>
        <v>2603</v>
      </c>
      <c r="W567" s="461">
        <f t="shared" si="1536"/>
        <v>2603</v>
      </c>
      <c r="X567" s="165"/>
      <c r="Y567" s="166"/>
      <c r="Z567" s="166"/>
      <c r="AA567" s="166"/>
      <c r="AB567" s="35"/>
    </row>
    <row r="568" spans="1:28" ht="12.6" customHeight="1">
      <c r="A568" s="20"/>
      <c r="B568" s="721" t="s">
        <v>645</v>
      </c>
      <c r="C568" s="722"/>
      <c r="D568" s="722"/>
      <c r="E568" s="723"/>
      <c r="F568" s="426">
        <v>3880</v>
      </c>
      <c r="G568" s="535">
        <f>+F568*$X$1</f>
        <v>3880</v>
      </c>
      <c r="H568" s="131">
        <f t="shared" ref="H568:H569" si="1537">F568+300</f>
        <v>4180</v>
      </c>
      <c r="I568" s="457">
        <f t="shared" ref="I568:I569" si="1538">+H568*$X$1</f>
        <v>4180</v>
      </c>
      <c r="J568" s="131">
        <f t="shared" ref="J568:J573" si="1539">F568+150</f>
        <v>4030</v>
      </c>
      <c r="K568" s="457">
        <f t="shared" ref="K568:K569" si="1540">+J568*$X$1</f>
        <v>4030</v>
      </c>
      <c r="L568" s="131">
        <f t="shared" ref="L568:L573" si="1541">F568+120</f>
        <v>4000</v>
      </c>
      <c r="M568" s="457">
        <f t="shared" ref="M568:M569" si="1542">+L568*$X$1</f>
        <v>4000</v>
      </c>
      <c r="N568" s="131">
        <f t="shared" ref="N568:N573" si="1543">F568+100</f>
        <v>3980</v>
      </c>
      <c r="O568" s="457">
        <f t="shared" ref="O568:O569" si="1544">+N568*$X$1</f>
        <v>3980</v>
      </c>
      <c r="P568" s="131">
        <f t="shared" ref="P568:P573" si="1545">F568+85</f>
        <v>3965</v>
      </c>
      <c r="Q568" s="457">
        <f t="shared" ref="Q568:Q569" si="1546">+P568*$X$1</f>
        <v>3965</v>
      </c>
      <c r="R568" s="131">
        <f t="shared" ref="R568:R573" si="1547">F568+75</f>
        <v>3955</v>
      </c>
      <c r="S568" s="457">
        <f t="shared" ref="S568:S573" si="1548">+R568*$X$1</f>
        <v>3955</v>
      </c>
      <c r="T568" s="131">
        <f t="shared" ref="T568:T573" si="1549">F568+70</f>
        <v>3950</v>
      </c>
      <c r="U568" s="457">
        <f t="shared" ref="U568:U573" si="1550">+T568*$X$1</f>
        <v>3950</v>
      </c>
      <c r="V568" s="131">
        <f t="shared" ref="V568:V573" si="1551">F568+65</f>
        <v>3945</v>
      </c>
      <c r="W568" s="457">
        <f t="shared" ref="W568:W569" si="1552">+V568*$X$1</f>
        <v>3945</v>
      </c>
      <c r="X568" s="165"/>
      <c r="Y568" s="166"/>
      <c r="Z568" s="166"/>
      <c r="AA568" s="166"/>
      <c r="AB568" s="35"/>
    </row>
    <row r="569" spans="1:28" ht="12.6" customHeight="1">
      <c r="A569" s="20"/>
      <c r="B569" s="783" t="s">
        <v>629</v>
      </c>
      <c r="C569" s="784"/>
      <c r="D569" s="784"/>
      <c r="E569" s="785"/>
      <c r="F569" s="410">
        <v>5408</v>
      </c>
      <c r="G569" s="533">
        <f>+F569*$X$1</f>
        <v>5408</v>
      </c>
      <c r="H569" s="534">
        <f t="shared" si="1537"/>
        <v>5708</v>
      </c>
      <c r="I569" s="461">
        <f t="shared" si="1538"/>
        <v>5708</v>
      </c>
      <c r="J569" s="534">
        <f t="shared" si="1539"/>
        <v>5558</v>
      </c>
      <c r="K569" s="461">
        <f t="shared" si="1540"/>
        <v>5558</v>
      </c>
      <c r="L569" s="534">
        <f t="shared" si="1541"/>
        <v>5528</v>
      </c>
      <c r="M569" s="461">
        <f t="shared" si="1542"/>
        <v>5528</v>
      </c>
      <c r="N569" s="534">
        <f t="shared" si="1543"/>
        <v>5508</v>
      </c>
      <c r="O569" s="461">
        <f t="shared" si="1544"/>
        <v>5508</v>
      </c>
      <c r="P569" s="534">
        <f t="shared" si="1545"/>
        <v>5493</v>
      </c>
      <c r="Q569" s="461">
        <f t="shared" si="1546"/>
        <v>5493</v>
      </c>
      <c r="R569" s="534">
        <f t="shared" si="1547"/>
        <v>5483</v>
      </c>
      <c r="S569" s="461">
        <f t="shared" si="1548"/>
        <v>5483</v>
      </c>
      <c r="T569" s="534">
        <f t="shared" si="1549"/>
        <v>5478</v>
      </c>
      <c r="U569" s="461">
        <f t="shared" si="1550"/>
        <v>5478</v>
      </c>
      <c r="V569" s="534">
        <f t="shared" si="1551"/>
        <v>5473</v>
      </c>
      <c r="W569" s="461">
        <f t="shared" si="1552"/>
        <v>5473</v>
      </c>
      <c r="X569" s="165"/>
      <c r="Y569" s="166"/>
      <c r="Z569" s="166"/>
      <c r="AA569" s="166"/>
      <c r="AB569" s="35"/>
    </row>
    <row r="570" spans="1:28" ht="12.6" customHeight="1">
      <c r="A570" s="20"/>
      <c r="B570" s="699" t="s">
        <v>628</v>
      </c>
      <c r="C570" s="724"/>
      <c r="D570" s="724"/>
      <c r="E570" s="725"/>
      <c r="F570" s="426"/>
      <c r="G570" s="535"/>
      <c r="H570" s="131"/>
      <c r="I570" s="457"/>
      <c r="J570" s="131"/>
      <c r="K570" s="457"/>
      <c r="L570" s="131"/>
      <c r="M570" s="457"/>
      <c r="N570" s="131"/>
      <c r="O570" s="457"/>
      <c r="P570" s="131"/>
      <c r="Q570" s="457"/>
      <c r="R570" s="131"/>
      <c r="S570" s="457"/>
      <c r="T570" s="131"/>
      <c r="U570" s="457"/>
      <c r="V570" s="131"/>
      <c r="W570" s="457"/>
      <c r="X570" s="165"/>
      <c r="Y570" s="166"/>
      <c r="Z570" s="166"/>
      <c r="AA570" s="166"/>
      <c r="AB570" s="35"/>
    </row>
    <row r="571" spans="1:28" ht="12.6" customHeight="1">
      <c r="A571" s="4"/>
      <c r="B571" s="837" t="s">
        <v>558</v>
      </c>
      <c r="C571" s="703"/>
      <c r="D571" s="703"/>
      <c r="E571" s="704"/>
      <c r="F571" s="381">
        <v>1665</v>
      </c>
      <c r="G571" s="533">
        <f t="shared" ref="G571:G573" si="1553">+F571*$X$1</f>
        <v>1665</v>
      </c>
      <c r="H571" s="534"/>
      <c r="I571" s="461"/>
      <c r="J571" s="534">
        <f t="shared" si="1539"/>
        <v>1815</v>
      </c>
      <c r="K571" s="461">
        <f t="shared" ref="K571:K573" si="1554">+J571*$X$1</f>
        <v>1815</v>
      </c>
      <c r="L571" s="534">
        <f t="shared" si="1541"/>
        <v>1785</v>
      </c>
      <c r="M571" s="461">
        <f t="shared" ref="M571:M573" si="1555">+L571*$X$1</f>
        <v>1785</v>
      </c>
      <c r="N571" s="534">
        <f t="shared" si="1543"/>
        <v>1765</v>
      </c>
      <c r="O571" s="461">
        <f t="shared" ref="O571:O573" si="1556">+N571*$X$1</f>
        <v>1765</v>
      </c>
      <c r="P571" s="534">
        <f t="shared" si="1545"/>
        <v>1750</v>
      </c>
      <c r="Q571" s="461">
        <f t="shared" ref="Q571:Q573" si="1557">+P571*$X$1</f>
        <v>1750</v>
      </c>
      <c r="R571" s="534">
        <f t="shared" si="1547"/>
        <v>1740</v>
      </c>
      <c r="S571" s="461">
        <f t="shared" si="1548"/>
        <v>1740</v>
      </c>
      <c r="T571" s="534">
        <f t="shared" si="1549"/>
        <v>1735</v>
      </c>
      <c r="U571" s="461">
        <f t="shared" si="1550"/>
        <v>1735</v>
      </c>
      <c r="V571" s="534">
        <f t="shared" si="1551"/>
        <v>1730</v>
      </c>
      <c r="W571" s="461">
        <f t="shared" ref="W571:W573" si="1558">+V571*$X$1</f>
        <v>1730</v>
      </c>
      <c r="X571" s="165"/>
      <c r="Y571" s="150"/>
      <c r="Z571" s="167"/>
      <c r="AA571" s="167"/>
      <c r="AB571" s="614" t="s">
        <v>557</v>
      </c>
    </row>
    <row r="572" spans="1:28" ht="12.6" customHeight="1">
      <c r="A572" s="4"/>
      <c r="B572" s="825" t="s">
        <v>556</v>
      </c>
      <c r="C572" s="724"/>
      <c r="D572" s="724"/>
      <c r="E572" s="725"/>
      <c r="F572" s="382">
        <v>1665</v>
      </c>
      <c r="G572" s="535">
        <f t="shared" si="1553"/>
        <v>1665</v>
      </c>
      <c r="H572" s="131"/>
      <c r="I572" s="457"/>
      <c r="J572" s="131">
        <f t="shared" si="1539"/>
        <v>1815</v>
      </c>
      <c r="K572" s="457">
        <f t="shared" si="1554"/>
        <v>1815</v>
      </c>
      <c r="L572" s="131">
        <f t="shared" si="1541"/>
        <v>1785</v>
      </c>
      <c r="M572" s="457">
        <f t="shared" si="1555"/>
        <v>1785</v>
      </c>
      <c r="N572" s="131">
        <f t="shared" si="1543"/>
        <v>1765</v>
      </c>
      <c r="O572" s="457">
        <f t="shared" si="1556"/>
        <v>1765</v>
      </c>
      <c r="P572" s="131">
        <f t="shared" si="1545"/>
        <v>1750</v>
      </c>
      <c r="Q572" s="457">
        <f t="shared" si="1557"/>
        <v>1750</v>
      </c>
      <c r="R572" s="131">
        <f t="shared" si="1547"/>
        <v>1740</v>
      </c>
      <c r="S572" s="457">
        <f t="shared" si="1548"/>
        <v>1740</v>
      </c>
      <c r="T572" s="131">
        <f t="shared" si="1549"/>
        <v>1735</v>
      </c>
      <c r="U572" s="457">
        <f t="shared" si="1550"/>
        <v>1735</v>
      </c>
      <c r="V572" s="131">
        <f t="shared" si="1551"/>
        <v>1730</v>
      </c>
      <c r="W572" s="457">
        <f t="shared" si="1558"/>
        <v>1730</v>
      </c>
      <c r="X572" s="165"/>
      <c r="Y572" s="150"/>
      <c r="Z572" s="167"/>
      <c r="AA572" s="167"/>
      <c r="AB572" s="614" t="s">
        <v>553</v>
      </c>
    </row>
    <row r="573" spans="1:28" ht="12.6" customHeight="1">
      <c r="A573" s="4"/>
      <c r="B573" s="837" t="s">
        <v>554</v>
      </c>
      <c r="C573" s="703"/>
      <c r="D573" s="703"/>
      <c r="E573" s="704"/>
      <c r="F573" s="381">
        <v>2455</v>
      </c>
      <c r="G573" s="533">
        <f t="shared" si="1553"/>
        <v>2455</v>
      </c>
      <c r="H573" s="534"/>
      <c r="I573" s="461"/>
      <c r="J573" s="534">
        <f t="shared" si="1539"/>
        <v>2605</v>
      </c>
      <c r="K573" s="461">
        <f t="shared" si="1554"/>
        <v>2605</v>
      </c>
      <c r="L573" s="534">
        <f t="shared" si="1541"/>
        <v>2575</v>
      </c>
      <c r="M573" s="461">
        <f t="shared" si="1555"/>
        <v>2575</v>
      </c>
      <c r="N573" s="534">
        <f t="shared" si="1543"/>
        <v>2555</v>
      </c>
      <c r="O573" s="461">
        <f t="shared" si="1556"/>
        <v>2555</v>
      </c>
      <c r="P573" s="534">
        <f t="shared" si="1545"/>
        <v>2540</v>
      </c>
      <c r="Q573" s="461">
        <f t="shared" si="1557"/>
        <v>2540</v>
      </c>
      <c r="R573" s="534">
        <f t="shared" si="1547"/>
        <v>2530</v>
      </c>
      <c r="S573" s="461">
        <f t="shared" si="1548"/>
        <v>2530</v>
      </c>
      <c r="T573" s="534">
        <f t="shared" si="1549"/>
        <v>2525</v>
      </c>
      <c r="U573" s="461">
        <f t="shared" si="1550"/>
        <v>2525</v>
      </c>
      <c r="V573" s="534">
        <f t="shared" si="1551"/>
        <v>2520</v>
      </c>
      <c r="W573" s="461">
        <f t="shared" si="1558"/>
        <v>2520</v>
      </c>
      <c r="X573" s="165"/>
      <c r="Y573" s="150"/>
      <c r="Z573" s="167"/>
      <c r="AA573" s="167"/>
      <c r="AB573" s="614" t="s">
        <v>555</v>
      </c>
    </row>
    <row r="574" spans="1:28" ht="12.6" customHeight="1">
      <c r="A574" s="4"/>
      <c r="B574" s="825" t="s">
        <v>324</v>
      </c>
      <c r="C574" s="724"/>
      <c r="D574" s="724"/>
      <c r="E574" s="725"/>
      <c r="F574" s="427"/>
      <c r="G574" s="103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65"/>
      <c r="Y574" s="150"/>
      <c r="Z574" s="167"/>
      <c r="AA574" s="167"/>
      <c r="AB574" s="614" t="s">
        <v>325</v>
      </c>
    </row>
    <row r="575" spans="1:28" ht="12.6" customHeight="1">
      <c r="A575" s="4"/>
      <c r="B575" s="837" t="s">
        <v>326</v>
      </c>
      <c r="C575" s="703"/>
      <c r="D575" s="703"/>
      <c r="E575" s="704"/>
      <c r="F575" s="298"/>
      <c r="G575" s="105"/>
      <c r="H575" s="298"/>
      <c r="I575" s="298"/>
      <c r="J575" s="298"/>
      <c r="K575" s="298"/>
      <c r="L575" s="298"/>
      <c r="M575" s="298"/>
      <c r="N575" s="298"/>
      <c r="O575" s="298"/>
      <c r="P575" s="298"/>
      <c r="Q575" s="298"/>
      <c r="R575" s="298"/>
      <c r="S575" s="298"/>
      <c r="T575" s="298"/>
      <c r="U575" s="298"/>
      <c r="V575" s="298"/>
      <c r="W575" s="298"/>
      <c r="X575" s="165"/>
      <c r="Y575" s="150"/>
      <c r="Z575" s="167"/>
      <c r="AA575" s="167"/>
      <c r="AB575" s="614"/>
    </row>
    <row r="576" spans="1:28" ht="12.6" customHeight="1">
      <c r="A576" s="4"/>
      <c r="B576" s="789" t="s">
        <v>327</v>
      </c>
      <c r="C576" s="714"/>
      <c r="D576" s="714"/>
      <c r="E576" s="714"/>
      <c r="F576" s="102"/>
      <c r="G576" s="103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65"/>
      <c r="Y576" s="150"/>
      <c r="Z576" s="167"/>
      <c r="AA576" s="167"/>
      <c r="AB576" s="614">
        <v>730</v>
      </c>
    </row>
    <row r="577" spans="1:34" ht="12.6" customHeight="1">
      <c r="A577" s="4"/>
      <c r="B577" s="781" t="s">
        <v>328</v>
      </c>
      <c r="C577" s="698"/>
      <c r="D577" s="698"/>
      <c r="E577" s="698"/>
      <c r="F577" s="298"/>
      <c r="G577" s="105"/>
      <c r="H577" s="298"/>
      <c r="I577" s="298"/>
      <c r="J577" s="298"/>
      <c r="K577" s="298"/>
      <c r="L577" s="298"/>
      <c r="M577" s="298"/>
      <c r="N577" s="298"/>
      <c r="O577" s="298"/>
      <c r="P577" s="298"/>
      <c r="Q577" s="298"/>
      <c r="R577" s="298"/>
      <c r="S577" s="298"/>
      <c r="T577" s="298"/>
      <c r="U577" s="298"/>
      <c r="V577" s="298"/>
      <c r="W577" s="298"/>
      <c r="X577" s="165"/>
      <c r="Y577" s="150"/>
      <c r="Z577" s="167"/>
      <c r="AA577" s="167"/>
      <c r="AB577" s="614">
        <v>731</v>
      </c>
    </row>
    <row r="578" spans="1:34" ht="12.6" customHeight="1">
      <c r="A578" s="4"/>
      <c r="B578" s="789" t="s">
        <v>477</v>
      </c>
      <c r="C578" s="714"/>
      <c r="D578" s="714"/>
      <c r="E578" s="714"/>
      <c r="F578" s="102"/>
      <c r="G578" s="103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59"/>
      <c r="Y578" s="154"/>
      <c r="Z578" s="160"/>
      <c r="AA578" s="161"/>
      <c r="AB578" s="614">
        <v>735</v>
      </c>
    </row>
    <row r="579" spans="1:34" ht="12.6" customHeight="1">
      <c r="A579" s="4"/>
      <c r="B579" s="781" t="s">
        <v>476</v>
      </c>
      <c r="C579" s="698"/>
      <c r="D579" s="698"/>
      <c r="E579" s="698"/>
      <c r="F579" s="298"/>
      <c r="G579" s="105"/>
      <c r="H579" s="298"/>
      <c r="I579" s="298"/>
      <c r="J579" s="298"/>
      <c r="K579" s="298"/>
      <c r="L579" s="298"/>
      <c r="M579" s="298"/>
      <c r="N579" s="298"/>
      <c r="O579" s="298"/>
      <c r="P579" s="298"/>
      <c r="Q579" s="298"/>
      <c r="R579" s="298"/>
      <c r="S579" s="298"/>
      <c r="T579" s="298"/>
      <c r="U579" s="298"/>
      <c r="V579" s="298"/>
      <c r="W579" s="298"/>
      <c r="X579" s="159"/>
      <c r="Y579" s="154"/>
      <c r="Z579" s="160"/>
      <c r="AA579" s="161"/>
      <c r="AB579" s="614">
        <v>736</v>
      </c>
    </row>
    <row r="580" spans="1:34" ht="12.6" customHeight="1">
      <c r="A580" s="4"/>
      <c r="B580" s="789" t="s">
        <v>329</v>
      </c>
      <c r="C580" s="760"/>
      <c r="D580" s="760"/>
      <c r="E580" s="760"/>
      <c r="F580" s="110"/>
      <c r="G580" s="103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59"/>
      <c r="Y580" s="154"/>
      <c r="Z580" s="160"/>
      <c r="AA580" s="161"/>
      <c r="AB580" s="614">
        <v>986</v>
      </c>
    </row>
    <row r="581" spans="1:34" ht="12.6" customHeight="1">
      <c r="A581" s="4"/>
      <c r="B581" s="781" t="s">
        <v>498</v>
      </c>
      <c r="C581" s="719"/>
      <c r="D581" s="719"/>
      <c r="E581" s="719"/>
      <c r="F581" s="298"/>
      <c r="G581" s="105"/>
      <c r="H581" s="298"/>
      <c r="I581" s="298"/>
      <c r="J581" s="298"/>
      <c r="K581" s="298"/>
      <c r="L581" s="298"/>
      <c r="M581" s="298"/>
      <c r="N581" s="298"/>
      <c r="O581" s="298"/>
      <c r="P581" s="298"/>
      <c r="Q581" s="298"/>
      <c r="R581" s="298"/>
      <c r="S581" s="298"/>
      <c r="T581" s="298"/>
      <c r="U581" s="298"/>
      <c r="V581" s="298"/>
      <c r="W581" s="298"/>
      <c r="X581" s="159"/>
      <c r="Y581" s="154"/>
      <c r="Z581" s="160"/>
      <c r="AA581" s="161"/>
      <c r="AB581" s="614"/>
    </row>
    <row r="582" spans="1:34" ht="12.6" customHeight="1">
      <c r="A582" s="4"/>
      <c r="B582" s="789" t="s">
        <v>432</v>
      </c>
      <c r="C582" s="760"/>
      <c r="D582" s="760"/>
      <c r="E582" s="760"/>
      <c r="F582" s="110"/>
      <c r="G582" s="103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59"/>
      <c r="Y582" s="154"/>
      <c r="Z582" s="160"/>
      <c r="AA582" s="161"/>
      <c r="AB582" s="614">
        <v>987</v>
      </c>
    </row>
    <row r="583" spans="1:34" ht="12.6" customHeight="1">
      <c r="A583" s="4"/>
      <c r="B583" s="781" t="s">
        <v>499</v>
      </c>
      <c r="C583" s="719"/>
      <c r="D583" s="719"/>
      <c r="E583" s="719"/>
      <c r="F583" s="298"/>
      <c r="G583" s="105"/>
      <c r="H583" s="298"/>
      <c r="I583" s="298"/>
      <c r="J583" s="298"/>
      <c r="K583" s="298"/>
      <c r="L583" s="298"/>
      <c r="M583" s="298"/>
      <c r="N583" s="298"/>
      <c r="O583" s="298"/>
      <c r="P583" s="298"/>
      <c r="Q583" s="298"/>
      <c r="R583" s="298"/>
      <c r="S583" s="298"/>
      <c r="T583" s="298"/>
      <c r="U583" s="298"/>
      <c r="V583" s="298"/>
      <c r="W583" s="298"/>
      <c r="X583" s="159"/>
      <c r="Y583" s="154"/>
      <c r="Z583" s="160"/>
      <c r="AA583" s="161"/>
      <c r="AB583" s="614"/>
    </row>
    <row r="584" spans="1:34" ht="12.6" customHeight="1">
      <c r="A584" s="4"/>
      <c r="B584" s="789" t="s">
        <v>330</v>
      </c>
      <c r="C584" s="714"/>
      <c r="D584" s="714"/>
      <c r="E584" s="714"/>
      <c r="F584" s="102"/>
      <c r="G584" s="103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59"/>
      <c r="Y584" s="154"/>
      <c r="Z584" s="160"/>
      <c r="AA584" s="161"/>
      <c r="AB584" s="614">
        <v>989</v>
      </c>
    </row>
    <row r="585" spans="1:34" ht="12.6" customHeight="1">
      <c r="A585" s="4"/>
      <c r="B585" s="781" t="s">
        <v>331</v>
      </c>
      <c r="C585" s="698"/>
      <c r="D585" s="698"/>
      <c r="E585" s="698"/>
      <c r="F585" s="298"/>
      <c r="G585" s="105"/>
      <c r="H585" s="298"/>
      <c r="I585" s="298"/>
      <c r="J585" s="298"/>
      <c r="K585" s="298"/>
      <c r="L585" s="298"/>
      <c r="M585" s="298"/>
      <c r="N585" s="298"/>
      <c r="O585" s="298"/>
      <c r="P585" s="298"/>
      <c r="Q585" s="298"/>
      <c r="R585" s="298"/>
      <c r="S585" s="298"/>
      <c r="T585" s="298"/>
      <c r="U585" s="298"/>
      <c r="V585" s="298"/>
      <c r="W585" s="298"/>
      <c r="X585" s="159"/>
      <c r="Y585" s="154"/>
      <c r="Z585" s="160"/>
      <c r="AA585" s="161"/>
      <c r="AB585" s="648" t="s">
        <v>332</v>
      </c>
    </row>
    <row r="586" spans="1:34" ht="12.6" customHeight="1">
      <c r="A586" s="4"/>
      <c r="B586" s="789" t="s">
        <v>333</v>
      </c>
      <c r="C586" s="760"/>
      <c r="D586" s="760"/>
      <c r="E586" s="760"/>
      <c r="F586" s="102"/>
      <c r="G586" s="103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62"/>
      <c r="Y586" s="152"/>
      <c r="Z586" s="163"/>
      <c r="AA586" s="164"/>
      <c r="AB586" s="35"/>
    </row>
    <row r="587" spans="1:34" ht="9" customHeight="1" thickBot="1">
      <c r="A587" s="82"/>
      <c r="B587" s="120"/>
      <c r="C587" s="228"/>
      <c r="D587" s="228"/>
      <c r="E587" s="228"/>
      <c r="F587" s="148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229"/>
      <c r="Y587" s="82"/>
      <c r="Z587" s="230"/>
      <c r="AA587" s="230"/>
      <c r="AB587" s="231"/>
    </row>
    <row r="588" spans="1:34" ht="13.5" customHeight="1" thickBot="1">
      <c r="B588" s="810" t="s">
        <v>334</v>
      </c>
      <c r="C588" s="811"/>
      <c r="D588" s="811"/>
      <c r="E588" s="811"/>
      <c r="F588" s="811"/>
      <c r="G588" s="811"/>
      <c r="H588" s="811"/>
      <c r="I588" s="811"/>
      <c r="J588" s="811"/>
      <c r="K588" s="811"/>
      <c r="L588" s="811"/>
      <c r="M588" s="811"/>
      <c r="N588" s="811"/>
      <c r="O588" s="811"/>
      <c r="P588" s="811"/>
      <c r="Q588" s="811"/>
      <c r="R588" s="811"/>
      <c r="S588" s="811"/>
      <c r="T588" s="860"/>
      <c r="U588" s="861"/>
      <c r="V588" s="8"/>
      <c r="W588" s="8"/>
      <c r="AB588" s="4"/>
    </row>
    <row r="589" spans="1:34" ht="12" customHeight="1">
      <c r="B589" s="772" t="s">
        <v>11</v>
      </c>
      <c r="C589" s="774" t="s">
        <v>12</v>
      </c>
      <c r="D589" s="775"/>
      <c r="E589" s="775"/>
      <c r="F589" s="787" t="s">
        <v>315</v>
      </c>
      <c r="G589" s="787" t="s">
        <v>13</v>
      </c>
      <c r="H589" s="1094" t="s">
        <v>335</v>
      </c>
      <c r="I589" s="1095"/>
      <c r="J589" s="1096"/>
      <c r="K589" s="1096"/>
      <c r="L589" s="1096"/>
      <c r="M589" s="1096"/>
      <c r="N589" s="1096"/>
      <c r="O589" s="1096"/>
      <c r="P589" s="1096"/>
      <c r="Q589" s="1096"/>
      <c r="R589" s="1096"/>
      <c r="S589" s="1096"/>
      <c r="T589" s="1097"/>
      <c r="U589" s="1098"/>
      <c r="V589" s="8"/>
      <c r="W589" s="631"/>
      <c r="X589" s="778" t="s">
        <v>15</v>
      </c>
      <c r="Y589" s="901"/>
      <c r="Z589" s="901"/>
      <c r="AA589" s="901"/>
      <c r="AB589" s="831" t="s">
        <v>16</v>
      </c>
      <c r="AF589" s="815" t="s">
        <v>3</v>
      </c>
      <c r="AG589" s="816"/>
      <c r="AH589" s="816"/>
    </row>
    <row r="590" spans="1:34" ht="12" customHeight="1" thickBot="1">
      <c r="B590" s="773"/>
      <c r="C590" s="776"/>
      <c r="D590" s="776"/>
      <c r="E590" s="776"/>
      <c r="F590" s="788"/>
      <c r="G590" s="788"/>
      <c r="H590" s="325"/>
      <c r="I590" s="326" t="s">
        <v>317</v>
      </c>
      <c r="J590" s="326"/>
      <c r="K590" s="326" t="s">
        <v>318</v>
      </c>
      <c r="L590" s="326"/>
      <c r="M590" s="326" t="s">
        <v>319</v>
      </c>
      <c r="N590" s="326"/>
      <c r="O590" s="326" t="s">
        <v>19</v>
      </c>
      <c r="P590" s="326"/>
      <c r="Q590" s="326" t="s">
        <v>20</v>
      </c>
      <c r="R590" s="326"/>
      <c r="S590" s="326" t="s">
        <v>320</v>
      </c>
      <c r="T590" s="326"/>
      <c r="U590" s="327" t="s">
        <v>21</v>
      </c>
      <c r="V590" s="4"/>
      <c r="W590" s="632"/>
      <c r="X590" s="902"/>
      <c r="Y590" s="902"/>
      <c r="Z590" s="902"/>
      <c r="AA590" s="902"/>
      <c r="AB590" s="832"/>
    </row>
    <row r="591" spans="1:34" ht="12.6" customHeight="1">
      <c r="B591" s="782" t="s">
        <v>336</v>
      </c>
      <c r="C591" s="782"/>
      <c r="D591" s="782"/>
      <c r="E591" s="782"/>
      <c r="F591" s="112"/>
      <c r="G591" s="103"/>
      <c r="H591" s="112"/>
      <c r="I591" s="564"/>
      <c r="J591" s="564"/>
      <c r="K591" s="564"/>
      <c r="L591" s="564"/>
      <c r="M591" s="564"/>
      <c r="N591" s="564"/>
      <c r="O591" s="564"/>
      <c r="P591" s="564"/>
      <c r="Q591" s="564"/>
      <c r="R591" s="564"/>
      <c r="S591" s="564"/>
      <c r="T591" s="564"/>
      <c r="U591" s="564"/>
      <c r="V591" s="4"/>
      <c r="W591" s="202"/>
      <c r="X591" s="156"/>
      <c r="Y591" s="156"/>
      <c r="Z591" s="154"/>
      <c r="AA591" s="157"/>
      <c r="AB591" s="649" t="s">
        <v>337</v>
      </c>
    </row>
    <row r="592" spans="1:34" ht="12.6" customHeight="1">
      <c r="B592" s="837" t="s">
        <v>338</v>
      </c>
      <c r="C592" s="838"/>
      <c r="D592" s="838"/>
      <c r="E592" s="839"/>
      <c r="F592" s="113"/>
      <c r="G592" s="105"/>
      <c r="H592" s="113"/>
      <c r="I592" s="421"/>
      <c r="J592" s="421"/>
      <c r="K592" s="421"/>
      <c r="L592" s="421"/>
      <c r="M592" s="421"/>
      <c r="N592" s="421"/>
      <c r="O592" s="421"/>
      <c r="P592" s="421"/>
      <c r="Q592" s="421"/>
      <c r="R592" s="421"/>
      <c r="S592" s="421"/>
      <c r="T592" s="421"/>
      <c r="U592" s="421"/>
      <c r="V592" s="4"/>
      <c r="W592" s="202"/>
      <c r="X592" s="156"/>
      <c r="Y592" s="156"/>
      <c r="Z592" s="154"/>
      <c r="AA592" s="157"/>
      <c r="AB592" s="648" t="s">
        <v>339</v>
      </c>
    </row>
    <row r="593" spans="1:121" ht="12.6" customHeight="1">
      <c r="B593" s="789" t="s">
        <v>340</v>
      </c>
      <c r="C593" s="789"/>
      <c r="D593" s="789"/>
      <c r="E593" s="789"/>
      <c r="F593" s="564"/>
      <c r="G593" s="103"/>
      <c r="H593" s="570"/>
      <c r="I593" s="117"/>
      <c r="J593" s="564"/>
      <c r="K593" s="564"/>
      <c r="L593" s="564"/>
      <c r="M593" s="564"/>
      <c r="N593" s="564"/>
      <c r="O593" s="564"/>
      <c r="P593" s="564"/>
      <c r="Q593" s="564"/>
      <c r="R593" s="564"/>
      <c r="S593" s="564"/>
      <c r="T593" s="564"/>
      <c r="U593" s="564"/>
      <c r="V593" s="4"/>
      <c r="W593" s="202"/>
      <c r="X593" s="156"/>
      <c r="Y593" s="156"/>
      <c r="Z593" s="154"/>
      <c r="AA593" s="157"/>
      <c r="AB593" s="648" t="s">
        <v>341</v>
      </c>
      <c r="AF593" s="899"/>
      <c r="AG593" s="899"/>
      <c r="AH593" s="899"/>
      <c r="AI593" s="899"/>
      <c r="AJ593" s="900"/>
    </row>
    <row r="594" spans="1:121" ht="12.6" customHeight="1">
      <c r="B594" s="781" t="s">
        <v>342</v>
      </c>
      <c r="C594" s="781"/>
      <c r="D594" s="781"/>
      <c r="E594" s="781"/>
      <c r="F594" s="421"/>
      <c r="G594" s="105"/>
      <c r="H594" s="113"/>
      <c r="I594" s="421"/>
      <c r="J594" s="421"/>
      <c r="K594" s="421"/>
      <c r="L594" s="421"/>
      <c r="M594" s="421"/>
      <c r="N594" s="421"/>
      <c r="O594" s="421"/>
      <c r="P594" s="421"/>
      <c r="Q594" s="421"/>
      <c r="R594" s="421"/>
      <c r="S594" s="421"/>
      <c r="T594" s="421"/>
      <c r="U594" s="421"/>
      <c r="V594" s="4"/>
      <c r="W594" s="202"/>
      <c r="X594" s="156"/>
      <c r="Y594" s="156"/>
      <c r="Z594" s="154"/>
      <c r="AA594" s="157"/>
      <c r="AB594" s="648" t="s">
        <v>343</v>
      </c>
    </row>
    <row r="595" spans="1:121" ht="12.6" customHeight="1">
      <c r="B595" s="789" t="s">
        <v>344</v>
      </c>
      <c r="C595" s="789"/>
      <c r="D595" s="789"/>
      <c r="E595" s="789"/>
      <c r="F595" s="104"/>
      <c r="G595" s="568"/>
      <c r="H595" s="569"/>
      <c r="I595" s="569"/>
      <c r="J595" s="564"/>
      <c r="K595" s="564"/>
      <c r="L595" s="564"/>
      <c r="M595" s="564"/>
      <c r="N595" s="564"/>
      <c r="O595" s="564"/>
      <c r="P595" s="564"/>
      <c r="Q595" s="564"/>
      <c r="R595" s="564"/>
      <c r="S595" s="564"/>
      <c r="T595" s="564"/>
      <c r="U595" s="564"/>
      <c r="V595" s="4"/>
      <c r="W595" s="202"/>
      <c r="X595" s="156"/>
      <c r="Y595" s="156"/>
      <c r="Z595" s="154"/>
      <c r="AA595" s="157"/>
      <c r="AB595" s="648" t="s">
        <v>345</v>
      </c>
    </row>
    <row r="596" spans="1:121" ht="12.6" customHeight="1">
      <c r="B596" s="837" t="s">
        <v>346</v>
      </c>
      <c r="C596" s="838"/>
      <c r="D596" s="838"/>
      <c r="E596" s="839"/>
      <c r="F596" s="421"/>
      <c r="G596" s="421"/>
      <c r="H596" s="111"/>
      <c r="I596" s="111"/>
      <c r="J596" s="421"/>
      <c r="K596" s="421"/>
      <c r="L596" s="421"/>
      <c r="M596" s="421"/>
      <c r="N596" s="421"/>
      <c r="O596" s="421"/>
      <c r="P596" s="421"/>
      <c r="Q596" s="421"/>
      <c r="R596" s="421"/>
      <c r="S596" s="421"/>
      <c r="T596" s="421"/>
      <c r="U596" s="421"/>
      <c r="V596" s="4"/>
      <c r="W596" s="202"/>
      <c r="X596" s="156"/>
      <c r="Y596" s="156"/>
      <c r="Z596" s="154"/>
      <c r="AA596" s="157"/>
      <c r="AB596" s="648"/>
    </row>
    <row r="597" spans="1:121" ht="12.6" customHeight="1">
      <c r="B597" s="789" t="s">
        <v>347</v>
      </c>
      <c r="C597" s="789"/>
      <c r="D597" s="789"/>
      <c r="E597" s="789"/>
      <c r="F597" s="564"/>
      <c r="G597" s="564"/>
      <c r="H597" s="117"/>
      <c r="I597" s="117"/>
      <c r="J597" s="564"/>
      <c r="K597" s="564"/>
      <c r="L597" s="564"/>
      <c r="M597" s="564"/>
      <c r="N597" s="130"/>
      <c r="O597" s="564"/>
      <c r="P597" s="564"/>
      <c r="Q597" s="564"/>
      <c r="R597" s="564"/>
      <c r="S597" s="564"/>
      <c r="T597" s="564"/>
      <c r="U597" s="564"/>
      <c r="V597" s="4"/>
      <c r="W597" s="197"/>
      <c r="X597" s="154"/>
      <c r="Y597" s="154"/>
      <c r="Z597" s="154"/>
      <c r="AA597" s="157"/>
      <c r="AB597" s="648" t="s">
        <v>348</v>
      </c>
    </row>
    <row r="598" spans="1:121" ht="12.6" customHeight="1">
      <c r="B598" s="781" t="s">
        <v>349</v>
      </c>
      <c r="C598" s="781"/>
      <c r="D598" s="781"/>
      <c r="E598" s="781"/>
      <c r="F598" s="274"/>
      <c r="G598" s="258"/>
      <c r="H598" s="111"/>
      <c r="I598" s="111"/>
      <c r="J598" s="258"/>
      <c r="K598" s="258"/>
      <c r="L598" s="258"/>
      <c r="M598" s="258"/>
      <c r="N598" s="129"/>
      <c r="O598" s="258"/>
      <c r="P598" s="258"/>
      <c r="Q598" s="258"/>
      <c r="R598" s="258"/>
      <c r="S598" s="258"/>
      <c r="T598" s="258"/>
      <c r="U598" s="258"/>
      <c r="V598" s="42"/>
      <c r="W598" s="197"/>
      <c r="X598" s="154"/>
      <c r="Y598" s="154"/>
      <c r="Z598" s="154"/>
      <c r="AA598" s="157"/>
      <c r="AB598" s="648" t="s">
        <v>350</v>
      </c>
    </row>
    <row r="599" spans="1:121" ht="12.6" customHeight="1">
      <c r="B599" s="789" t="s">
        <v>351</v>
      </c>
      <c r="C599" s="789"/>
      <c r="D599" s="789"/>
      <c r="E599" s="789"/>
      <c r="F599" s="102"/>
      <c r="G599" s="102"/>
      <c r="H599" s="117"/>
      <c r="I599" s="117"/>
      <c r="J599" s="102"/>
      <c r="K599" s="102"/>
      <c r="L599" s="102"/>
      <c r="M599" s="102"/>
      <c r="N599" s="102"/>
      <c r="O599" s="102"/>
      <c r="P599" s="130"/>
      <c r="Q599" s="102"/>
      <c r="R599" s="130"/>
      <c r="S599" s="102"/>
      <c r="T599" s="130"/>
      <c r="U599" s="102"/>
      <c r="V599" s="4"/>
      <c r="W599" s="212"/>
      <c r="X599" s="188"/>
      <c r="Y599" s="188"/>
      <c r="Z599" s="188"/>
      <c r="AA599" s="189"/>
      <c r="AB599" s="648" t="s">
        <v>352</v>
      </c>
    </row>
    <row r="600" spans="1:121" ht="12.6" customHeight="1">
      <c r="B600" s="781" t="s">
        <v>353</v>
      </c>
      <c r="C600" s="781"/>
      <c r="D600" s="781"/>
      <c r="E600" s="781"/>
      <c r="F600" s="274"/>
      <c r="G600" s="254"/>
      <c r="H600" s="111"/>
      <c r="I600" s="111"/>
      <c r="J600" s="254"/>
      <c r="K600" s="254"/>
      <c r="L600" s="254"/>
      <c r="M600" s="254"/>
      <c r="N600" s="254"/>
      <c r="O600" s="254"/>
      <c r="P600" s="129"/>
      <c r="Q600" s="254"/>
      <c r="R600" s="129"/>
      <c r="S600" s="254"/>
      <c r="T600" s="129"/>
      <c r="U600" s="254"/>
      <c r="V600" s="4"/>
      <c r="W600" s="212"/>
      <c r="X600" s="188"/>
      <c r="Y600" s="188"/>
      <c r="Z600" s="188"/>
      <c r="AA600" s="189"/>
      <c r="AB600" s="648" t="s">
        <v>354</v>
      </c>
    </row>
    <row r="601" spans="1:121" ht="12.6" customHeight="1">
      <c r="B601" s="789" t="s">
        <v>355</v>
      </c>
      <c r="C601" s="789"/>
      <c r="D601" s="789"/>
      <c r="E601" s="789"/>
      <c r="F601" s="102"/>
      <c r="G601" s="102"/>
      <c r="H601" s="117"/>
      <c r="I601" s="117"/>
      <c r="J601" s="102"/>
      <c r="K601" s="102"/>
      <c r="L601" s="102"/>
      <c r="M601" s="102"/>
      <c r="N601" s="102"/>
      <c r="O601" s="102"/>
      <c r="P601" s="130"/>
      <c r="Q601" s="102"/>
      <c r="R601" s="130"/>
      <c r="S601" s="102"/>
      <c r="T601" s="130"/>
      <c r="U601" s="102"/>
      <c r="V601" s="4"/>
      <c r="W601" s="212"/>
      <c r="X601" s="156"/>
      <c r="Y601" s="156"/>
      <c r="Z601" s="156"/>
      <c r="AA601" s="156"/>
      <c r="AB601" s="648" t="s">
        <v>531</v>
      </c>
    </row>
    <row r="602" spans="1:121" ht="12.6" customHeight="1">
      <c r="B602" s="781" t="s">
        <v>445</v>
      </c>
      <c r="C602" s="781"/>
      <c r="D602" s="781"/>
      <c r="E602" s="781"/>
      <c r="F602" s="381"/>
      <c r="G602" s="381"/>
      <c r="H602" s="111"/>
      <c r="I602" s="111"/>
      <c r="J602" s="421"/>
      <c r="K602" s="381"/>
      <c r="L602" s="421"/>
      <c r="M602" s="381"/>
      <c r="N602" s="421"/>
      <c r="O602" s="381"/>
      <c r="P602" s="421"/>
      <c r="Q602" s="381"/>
      <c r="R602" s="421"/>
      <c r="S602" s="381"/>
      <c r="T602" s="421"/>
      <c r="U602" s="381"/>
      <c r="V602" s="4"/>
      <c r="W602" s="202"/>
      <c r="X602" s="202"/>
      <c r="Y602" s="156"/>
      <c r="Z602" s="154"/>
      <c r="AA602" s="157"/>
      <c r="AB602" s="648" t="s">
        <v>356</v>
      </c>
    </row>
    <row r="603" spans="1:121" ht="12.6" customHeight="1">
      <c r="B603" s="789" t="s">
        <v>357</v>
      </c>
      <c r="C603" s="789"/>
      <c r="D603" s="789"/>
      <c r="E603" s="789"/>
      <c r="F603" s="382"/>
      <c r="G603" s="382"/>
      <c r="H603" s="117"/>
      <c r="I603" s="117"/>
      <c r="J603" s="511"/>
      <c r="K603" s="382"/>
      <c r="L603" s="511"/>
      <c r="M603" s="382"/>
      <c r="N603" s="511"/>
      <c r="O603" s="382"/>
      <c r="P603" s="511"/>
      <c r="Q603" s="382"/>
      <c r="R603" s="511"/>
      <c r="S603" s="382"/>
      <c r="T603" s="511"/>
      <c r="U603" s="382"/>
      <c r="V603" s="4"/>
      <c r="W603" s="202"/>
      <c r="X603" s="202"/>
      <c r="Y603" s="156"/>
      <c r="Z603" s="154"/>
      <c r="AA603" s="157"/>
      <c r="AB603" s="649" t="s">
        <v>358</v>
      </c>
    </row>
    <row r="604" spans="1:121" s="7" customFormat="1" ht="12.6" customHeight="1">
      <c r="A604" s="11"/>
      <c r="B604" s="781" t="s">
        <v>359</v>
      </c>
      <c r="C604" s="781"/>
      <c r="D604" s="781"/>
      <c r="E604" s="781"/>
      <c r="F604" s="381"/>
      <c r="G604" s="381"/>
      <c r="H604" s="111"/>
      <c r="I604" s="111"/>
      <c r="J604" s="421"/>
      <c r="K604" s="381"/>
      <c r="L604" s="421"/>
      <c r="M604" s="381"/>
      <c r="N604" s="421"/>
      <c r="O604" s="381"/>
      <c r="P604" s="421"/>
      <c r="Q604" s="381"/>
      <c r="R604" s="421"/>
      <c r="S604" s="381"/>
      <c r="T604" s="421"/>
      <c r="U604" s="381"/>
      <c r="V604" s="4"/>
      <c r="W604" s="202"/>
      <c r="X604" s="202"/>
      <c r="Y604" s="156"/>
      <c r="Z604" s="154"/>
      <c r="AA604" s="157"/>
      <c r="AB604" s="648" t="s">
        <v>360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s="7" customFormat="1" ht="12.6" customHeight="1">
      <c r="A605" s="11"/>
      <c r="B605" s="782" t="s">
        <v>361</v>
      </c>
      <c r="C605" s="782"/>
      <c r="D605" s="782"/>
      <c r="E605" s="782"/>
      <c r="F605" s="409"/>
      <c r="G605" s="416"/>
      <c r="H605" s="117"/>
      <c r="I605" s="117"/>
      <c r="J605" s="511"/>
      <c r="K605" s="382"/>
      <c r="L605" s="511"/>
      <c r="M605" s="382"/>
      <c r="N605" s="511"/>
      <c r="O605" s="382"/>
      <c r="P605" s="511"/>
      <c r="Q605" s="382"/>
      <c r="R605" s="511"/>
      <c r="S605" s="382"/>
      <c r="T605" s="511"/>
      <c r="U605" s="382"/>
      <c r="V605" s="4"/>
      <c r="W605" s="202"/>
      <c r="X605" s="202"/>
      <c r="Y605" s="156"/>
      <c r="Z605" s="154"/>
      <c r="AA605" s="157"/>
      <c r="AB605" s="648" t="s">
        <v>362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</row>
    <row r="606" spans="1:121" s="1" customFormat="1" ht="12.6" customHeight="1">
      <c r="A606" s="11"/>
      <c r="B606" s="837" t="s">
        <v>363</v>
      </c>
      <c r="C606" s="703"/>
      <c r="D606" s="703"/>
      <c r="E606" s="895"/>
      <c r="F606" s="337"/>
      <c r="G606" s="381"/>
      <c r="H606" s="111"/>
      <c r="I606" s="111"/>
      <c r="J606" s="421"/>
      <c r="K606" s="381"/>
      <c r="L606" s="421"/>
      <c r="M606" s="381"/>
      <c r="N606" s="421"/>
      <c r="O606" s="381"/>
      <c r="P606" s="421"/>
      <c r="Q606" s="381"/>
      <c r="R606" s="421"/>
      <c r="S606" s="381"/>
      <c r="T606" s="421"/>
      <c r="U606" s="381"/>
      <c r="V606" s="4"/>
      <c r="W606" s="202"/>
      <c r="X606" s="202"/>
      <c r="Y606" s="244"/>
      <c r="Z606" s="154"/>
      <c r="AA606" s="157"/>
      <c r="AB606" s="648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121" ht="12.6" customHeight="1">
      <c r="B607" s="789" t="s">
        <v>364</v>
      </c>
      <c r="C607" s="789"/>
      <c r="D607" s="789"/>
      <c r="E607" s="789"/>
      <c r="F607" s="409"/>
      <c r="G607" s="416"/>
      <c r="H607" s="117"/>
      <c r="I607" s="117"/>
      <c r="J607" s="102"/>
      <c r="K607" s="382"/>
      <c r="L607" s="102"/>
      <c r="M607" s="382"/>
      <c r="N607" s="102"/>
      <c r="O607" s="382"/>
      <c r="P607" s="102"/>
      <c r="Q607" s="382"/>
      <c r="R607" s="102"/>
      <c r="S607" s="382"/>
      <c r="T607" s="102"/>
      <c r="U607" s="382"/>
      <c r="V607" s="4"/>
      <c r="W607" s="202"/>
      <c r="X607" s="202"/>
      <c r="Y607" s="156"/>
      <c r="Z607" s="154"/>
      <c r="AA607" s="157"/>
      <c r="AB607" s="648" t="s">
        <v>365</v>
      </c>
    </row>
    <row r="608" spans="1:121" ht="12.6" customHeight="1">
      <c r="A608" s="232"/>
      <c r="B608" s="790" t="s">
        <v>422</v>
      </c>
      <c r="C608" s="791"/>
      <c r="D608" s="791"/>
      <c r="E608" s="791"/>
      <c r="F608" s="381"/>
      <c r="G608" s="452"/>
      <c r="H608" s="132"/>
      <c r="I608" s="134"/>
      <c r="J608" s="110"/>
      <c r="K608" s="459"/>
      <c r="L608" s="132"/>
      <c r="M608" s="459"/>
      <c r="N608" s="132"/>
      <c r="O608" s="459"/>
      <c r="P608" s="132"/>
      <c r="Q608" s="459"/>
      <c r="R608" s="237"/>
      <c r="S608" s="459"/>
      <c r="T608" s="237"/>
      <c r="U608" s="459"/>
      <c r="V608" s="82"/>
      <c r="W608" s="284"/>
      <c r="X608" s="174"/>
      <c r="Y608" s="174"/>
      <c r="Z608" s="174"/>
      <c r="AA608" s="174"/>
      <c r="AB608" s="269"/>
    </row>
    <row r="609" spans="1:28" ht="12.6" customHeight="1">
      <c r="A609" s="232"/>
      <c r="B609" s="782" t="s">
        <v>423</v>
      </c>
      <c r="C609" s="731"/>
      <c r="D609" s="731"/>
      <c r="E609" s="731"/>
      <c r="F609" s="382"/>
      <c r="G609" s="453"/>
      <c r="H609" s="132"/>
      <c r="I609" s="132"/>
      <c r="J609" s="110"/>
      <c r="K609" s="460"/>
      <c r="L609" s="132"/>
      <c r="M609" s="460"/>
      <c r="N609" s="132"/>
      <c r="O609" s="460"/>
      <c r="P609" s="132"/>
      <c r="Q609" s="460"/>
      <c r="R609" s="243"/>
      <c r="S609" s="457"/>
      <c r="T609" s="243"/>
      <c r="U609" s="457"/>
      <c r="V609" s="82"/>
      <c r="W609" s="284"/>
      <c r="X609" s="174"/>
      <c r="Y609" s="174"/>
      <c r="Z609" s="174"/>
      <c r="AA609" s="174"/>
      <c r="AB609" s="239"/>
    </row>
    <row r="610" spans="1:28" ht="12.6" customHeight="1">
      <c r="A610" s="232"/>
      <c r="B610" s="790" t="s">
        <v>424</v>
      </c>
      <c r="C610" s="791"/>
      <c r="D610" s="791"/>
      <c r="E610" s="791"/>
      <c r="F610" s="381"/>
      <c r="G610" s="452"/>
      <c r="H610" s="132"/>
      <c r="I610" s="134"/>
      <c r="J610" s="110"/>
      <c r="K610" s="459"/>
      <c r="L610" s="132"/>
      <c r="M610" s="459"/>
      <c r="N610" s="132"/>
      <c r="O610" s="459"/>
      <c r="P610" s="132"/>
      <c r="Q610" s="459"/>
      <c r="R610" s="237"/>
      <c r="S610" s="461"/>
      <c r="T610" s="237"/>
      <c r="U610" s="461"/>
      <c r="V610" s="82"/>
      <c r="W610" s="284"/>
      <c r="X610" s="174"/>
      <c r="Y610" s="174"/>
      <c r="Z610" s="174"/>
      <c r="AA610" s="174"/>
      <c r="AB610" s="239"/>
    </row>
    <row r="611" spans="1:28" ht="12.6" customHeight="1">
      <c r="A611" s="232"/>
      <c r="B611" s="782" t="s">
        <v>421</v>
      </c>
      <c r="C611" s="731"/>
      <c r="D611" s="731"/>
      <c r="E611" s="731"/>
      <c r="F611" s="382"/>
      <c r="G611" s="453"/>
      <c r="H611" s="132"/>
      <c r="I611" s="132"/>
      <c r="J611" s="110"/>
      <c r="K611" s="460"/>
      <c r="L611" s="132"/>
      <c r="M611" s="460"/>
      <c r="N611" s="132"/>
      <c r="O611" s="460"/>
      <c r="P611" s="132"/>
      <c r="Q611" s="460"/>
      <c r="R611" s="243"/>
      <c r="S611" s="457"/>
      <c r="T611" s="243"/>
      <c r="U611" s="457"/>
      <c r="V611" s="82"/>
      <c r="W611" s="284"/>
      <c r="X611" s="174"/>
      <c r="Y611" s="174"/>
      <c r="Z611" s="174"/>
      <c r="AA611" s="174"/>
      <c r="AB611" s="239"/>
    </row>
    <row r="612" spans="1:28" ht="12.6" customHeight="1">
      <c r="B612" s="708" t="s">
        <v>858</v>
      </c>
      <c r="C612" s="708"/>
      <c r="D612" s="708"/>
      <c r="E612" s="708"/>
      <c r="F612" s="536">
        <f>3.35*X2</f>
        <v>2891.05</v>
      </c>
      <c r="G612" s="454">
        <f>+F612*$X$1</f>
        <v>2891.05</v>
      </c>
      <c r="H612" s="111"/>
      <c r="I612" s="111"/>
      <c r="J612" s="421">
        <f>F612+200</f>
        <v>3091.05</v>
      </c>
      <c r="K612" s="381">
        <f t="shared" ref="K612" si="1559">+J612*$X$1</f>
        <v>3091.05</v>
      </c>
      <c r="L612" s="421">
        <f>F612+100</f>
        <v>2991.05</v>
      </c>
      <c r="M612" s="381">
        <f t="shared" ref="M612" si="1560">+L612*$X$1</f>
        <v>2991.05</v>
      </c>
      <c r="N612" s="421">
        <f>F612+80</f>
        <v>2971.05</v>
      </c>
      <c r="O612" s="381">
        <f t="shared" ref="O612" si="1561">+N612*$X$1</f>
        <v>2971.05</v>
      </c>
      <c r="P612" s="421">
        <f>F612+60</f>
        <v>2951.05</v>
      </c>
      <c r="Q612" s="381">
        <f t="shared" ref="Q612" si="1562">+P612*$X$1</f>
        <v>2951.05</v>
      </c>
      <c r="R612" s="421">
        <f>F612+50</f>
        <v>2941.05</v>
      </c>
      <c r="S612" s="381">
        <f t="shared" ref="S612" si="1563">+R612*$X$1</f>
        <v>2941.05</v>
      </c>
      <c r="T612" s="421">
        <f>F612+44</f>
        <v>2935.05</v>
      </c>
      <c r="U612" s="381">
        <f t="shared" ref="U612" si="1564">+T612*$X$1</f>
        <v>2935.05</v>
      </c>
      <c r="V612" s="28"/>
      <c r="W612" s="657"/>
      <c r="X612" s="657"/>
      <c r="Y612" s="156"/>
      <c r="Z612" s="154"/>
      <c r="AA612" s="157"/>
      <c r="AB612" s="648" t="s">
        <v>859</v>
      </c>
    </row>
    <row r="613" spans="1:28" ht="12.6" customHeight="1">
      <c r="B613" s="708" t="s">
        <v>869</v>
      </c>
      <c r="C613" s="708"/>
      <c r="D613" s="708"/>
      <c r="E613" s="708"/>
      <c r="F613" s="537">
        <f>13.1*X2</f>
        <v>11305.3</v>
      </c>
      <c r="G613" s="456">
        <f>+F613*$X$1</f>
        <v>11305.3</v>
      </c>
      <c r="H613" s="117"/>
      <c r="I613" s="117"/>
      <c r="J613" s="661">
        <f>F613+200</f>
        <v>11505.3</v>
      </c>
      <c r="K613" s="382">
        <f t="shared" ref="K613" si="1565">+J613*$X$1</f>
        <v>11505.3</v>
      </c>
      <c r="L613" s="661">
        <f>F613+100</f>
        <v>11405.3</v>
      </c>
      <c r="M613" s="382">
        <f t="shared" ref="M613" si="1566">+L613*$X$1</f>
        <v>11405.3</v>
      </c>
      <c r="N613" s="661">
        <f>F613+80</f>
        <v>11385.3</v>
      </c>
      <c r="O613" s="382">
        <f t="shared" ref="O613" si="1567">+N613*$X$1</f>
        <v>11385.3</v>
      </c>
      <c r="P613" s="661">
        <f>F613+60</f>
        <v>11365.3</v>
      </c>
      <c r="Q613" s="382">
        <f t="shared" ref="Q613" si="1568">+P613*$X$1</f>
        <v>11365.3</v>
      </c>
      <c r="R613" s="661">
        <f>F613+50</f>
        <v>11355.3</v>
      </c>
      <c r="S613" s="382">
        <f t="shared" ref="S613" si="1569">+R613*$X$1</f>
        <v>11355.3</v>
      </c>
      <c r="T613" s="661">
        <f>F613+44</f>
        <v>11349.3</v>
      </c>
      <c r="U613" s="382">
        <f t="shared" ref="U613" si="1570">+T613*$X$1</f>
        <v>11349.3</v>
      </c>
      <c r="V613" s="28"/>
      <c r="W613" s="659"/>
      <c r="X613" s="659"/>
      <c r="Y613" s="156"/>
      <c r="Z613" s="154"/>
      <c r="AA613" s="157"/>
      <c r="AB613" s="648" t="s">
        <v>870</v>
      </c>
    </row>
    <row r="614" spans="1:28" ht="12.6" customHeight="1">
      <c r="B614" s="781" t="s">
        <v>615</v>
      </c>
      <c r="C614" s="781"/>
      <c r="D614" s="781"/>
      <c r="E614" s="781"/>
      <c r="F614" s="536">
        <f>4.5*X2</f>
        <v>3883.5</v>
      </c>
      <c r="G614" s="454">
        <f>+F614*$X$1</f>
        <v>3883.5</v>
      </c>
      <c r="H614" s="111"/>
      <c r="I614" s="111"/>
      <c r="J614" s="421">
        <f>F614+200</f>
        <v>4083.5</v>
      </c>
      <c r="K614" s="381">
        <f t="shared" ref="K614" si="1571">+J614*$X$1</f>
        <v>4083.5</v>
      </c>
      <c r="L614" s="421">
        <f>F614+100</f>
        <v>3983.5</v>
      </c>
      <c r="M614" s="381">
        <f t="shared" ref="M614" si="1572">+L614*$X$1</f>
        <v>3983.5</v>
      </c>
      <c r="N614" s="421">
        <f>F614+80</f>
        <v>3963.5</v>
      </c>
      <c r="O614" s="381">
        <f t="shared" ref="O614" si="1573">+N614*$X$1</f>
        <v>3963.5</v>
      </c>
      <c r="P614" s="421">
        <f>F614+60</f>
        <v>3943.5</v>
      </c>
      <c r="Q614" s="381">
        <f t="shared" ref="Q614" si="1574">+P614*$X$1</f>
        <v>3943.5</v>
      </c>
      <c r="R614" s="421">
        <f>F614+50</f>
        <v>3933.5</v>
      </c>
      <c r="S614" s="381">
        <f t="shared" ref="S614" si="1575">+R614*$X$1</f>
        <v>3933.5</v>
      </c>
      <c r="T614" s="421">
        <f>F614+44</f>
        <v>3927.5</v>
      </c>
      <c r="U614" s="381">
        <f t="shared" ref="U614:U616" si="1576">+T614*$X$1</f>
        <v>3927.5</v>
      </c>
      <c r="V614" s="28"/>
      <c r="W614" s="283"/>
      <c r="X614" s="283"/>
      <c r="Y614" s="156"/>
      <c r="Z614" s="154"/>
      <c r="AA614" s="157"/>
      <c r="AB614" s="648" t="s">
        <v>519</v>
      </c>
    </row>
    <row r="615" spans="1:28" ht="12.6" customHeight="1">
      <c r="B615" s="789" t="s">
        <v>871</v>
      </c>
      <c r="C615" s="789"/>
      <c r="D615" s="789"/>
      <c r="E615" s="789"/>
      <c r="F615" s="537"/>
      <c r="G615" s="416"/>
      <c r="H615" s="112"/>
      <c r="I615" s="382"/>
      <c r="J615" s="661"/>
      <c r="K615" s="382"/>
      <c r="L615" s="661"/>
      <c r="M615" s="382"/>
      <c r="N615" s="661"/>
      <c r="O615" s="382"/>
      <c r="P615" s="661"/>
      <c r="Q615" s="382"/>
      <c r="R615" s="661"/>
      <c r="S615" s="382"/>
      <c r="T615" s="661"/>
      <c r="U615" s="382"/>
      <c r="V615" s="4"/>
      <c r="W615" s="334"/>
      <c r="X615" s="334"/>
      <c r="Y615" s="156"/>
      <c r="Z615" s="154"/>
      <c r="AA615" s="157"/>
      <c r="AB615" s="648" t="s">
        <v>872</v>
      </c>
    </row>
    <row r="616" spans="1:28" ht="12.6" customHeight="1">
      <c r="B616" s="781" t="s">
        <v>610</v>
      </c>
      <c r="C616" s="781"/>
      <c r="D616" s="781"/>
      <c r="E616" s="781"/>
      <c r="F616" s="536">
        <f>32.57*X2</f>
        <v>28107.91</v>
      </c>
      <c r="G616" s="417">
        <f t="shared" ref="G616" si="1577">+F616*$X$1</f>
        <v>28107.91</v>
      </c>
      <c r="H616" s="113">
        <f>F616+380</f>
        <v>28487.91</v>
      </c>
      <c r="I616" s="381">
        <f t="shared" ref="I616" si="1578">+H616*$X$1</f>
        <v>28487.91</v>
      </c>
      <c r="J616" s="421">
        <f>F616+200</f>
        <v>28307.91</v>
      </c>
      <c r="K616" s="381">
        <f t="shared" ref="K616" si="1579">+J616*$X$1</f>
        <v>28307.91</v>
      </c>
      <c r="L616" s="421">
        <f>F616+100</f>
        <v>28207.91</v>
      </c>
      <c r="M616" s="381">
        <f t="shared" ref="M616" si="1580">+L616*$X$1</f>
        <v>28207.91</v>
      </c>
      <c r="N616" s="421">
        <f>F616+80</f>
        <v>28187.91</v>
      </c>
      <c r="O616" s="381">
        <f t="shared" ref="O616" si="1581">+N616*$X$1</f>
        <v>28187.91</v>
      </c>
      <c r="P616" s="421">
        <f>F616+60</f>
        <v>28167.91</v>
      </c>
      <c r="Q616" s="381">
        <f t="shared" ref="Q616" si="1582">+P616*$X$1</f>
        <v>28167.91</v>
      </c>
      <c r="R616" s="421">
        <f>F616+50</f>
        <v>28157.91</v>
      </c>
      <c r="S616" s="381">
        <f t="shared" ref="S616" si="1583">+R616*$X$1</f>
        <v>28157.91</v>
      </c>
      <c r="T616" s="421">
        <f>F616+44</f>
        <v>28151.91</v>
      </c>
      <c r="U616" s="381">
        <f t="shared" si="1576"/>
        <v>28151.91</v>
      </c>
      <c r="V616" s="4"/>
      <c r="W616" s="334"/>
      <c r="X616" s="334"/>
      <c r="Y616" s="156"/>
      <c r="Z616" s="154"/>
      <c r="AA616" s="157"/>
      <c r="AB616" s="648" t="s">
        <v>873</v>
      </c>
    </row>
    <row r="617" spans="1:28" ht="12.6" customHeight="1">
      <c r="A617" s="12"/>
      <c r="B617" s="859" t="s">
        <v>366</v>
      </c>
      <c r="C617" s="859"/>
      <c r="D617" s="859"/>
      <c r="E617" s="859"/>
      <c r="F617" s="537">
        <f>38.574*X2</f>
        <v>33289.362000000001</v>
      </c>
      <c r="G617" s="455">
        <f t="shared" ref="G617" si="1584">+F617*$X$1</f>
        <v>33289.362000000001</v>
      </c>
      <c r="H617" s="117"/>
      <c r="I617" s="117"/>
      <c r="J617" s="661">
        <f>F617+200</f>
        <v>33489.362000000001</v>
      </c>
      <c r="K617" s="382">
        <f t="shared" ref="K617" si="1585">+J617*$X$1</f>
        <v>33489.362000000001</v>
      </c>
      <c r="L617" s="661">
        <f>F617+100</f>
        <v>33389.362000000001</v>
      </c>
      <c r="M617" s="382">
        <f t="shared" ref="M617" si="1586">+L617*$X$1</f>
        <v>33389.362000000001</v>
      </c>
      <c r="N617" s="661">
        <f>F617+80</f>
        <v>33369.362000000001</v>
      </c>
      <c r="O617" s="382">
        <f t="shared" ref="O617" si="1587">+N617*$X$1</f>
        <v>33369.362000000001</v>
      </c>
      <c r="P617" s="661">
        <f>F617+60</f>
        <v>33349.362000000001</v>
      </c>
      <c r="Q617" s="382">
        <f t="shared" ref="Q617" si="1588">+P617*$X$1</f>
        <v>33349.362000000001</v>
      </c>
      <c r="R617" s="661">
        <f>F617+50</f>
        <v>33339.362000000001</v>
      </c>
      <c r="S617" s="382">
        <f t="shared" ref="S617" si="1589">+R617*$X$1</f>
        <v>33339.362000000001</v>
      </c>
      <c r="T617" s="661"/>
      <c r="U617" s="382"/>
      <c r="V617" s="198"/>
      <c r="W617" s="283"/>
      <c r="X617" s="154"/>
      <c r="Y617" s="158"/>
      <c r="Z617" s="154"/>
      <c r="AA617" s="157"/>
      <c r="AB617" s="648" t="s">
        <v>547</v>
      </c>
    </row>
    <row r="618" spans="1:28" ht="12.6" customHeight="1">
      <c r="A618" s="12"/>
      <c r="B618" s="870" t="s">
        <v>546</v>
      </c>
      <c r="C618" s="870"/>
      <c r="D618" s="870"/>
      <c r="E618" s="870"/>
      <c r="F618" s="381"/>
      <c r="G618" s="411"/>
      <c r="H618" s="111"/>
      <c r="I618" s="111"/>
      <c r="J618" s="421"/>
      <c r="K618" s="381"/>
      <c r="L618" s="421"/>
      <c r="M618" s="381"/>
      <c r="N618" s="421"/>
      <c r="O618" s="381"/>
      <c r="P618" s="421"/>
      <c r="Q618" s="381"/>
      <c r="R618" s="421"/>
      <c r="S618" s="381"/>
      <c r="T618" s="421"/>
      <c r="U618" s="381"/>
      <c r="V618" s="198"/>
      <c r="W618" s="299"/>
      <c r="X618" s="154"/>
      <c r="Y618" s="158"/>
      <c r="Z618" s="154"/>
      <c r="AA618" s="157"/>
      <c r="AB618" s="648" t="s">
        <v>367</v>
      </c>
    </row>
    <row r="619" spans="1:28" ht="12.6" customHeight="1">
      <c r="A619" s="232"/>
      <c r="B619" s="782" t="s">
        <v>672</v>
      </c>
      <c r="C619" s="731"/>
      <c r="D619" s="731"/>
      <c r="E619" s="731"/>
      <c r="F619" s="382">
        <v>8970</v>
      </c>
      <c r="G619" s="456">
        <f t="shared" ref="G619" si="1590">+F619*$X$1</f>
        <v>8970</v>
      </c>
      <c r="H619" s="112">
        <f>F619+450</f>
        <v>9420</v>
      </c>
      <c r="I619" s="382">
        <f t="shared" ref="I619:I626" si="1591">+H619*$X$1</f>
        <v>9420</v>
      </c>
      <c r="J619" s="112">
        <f>F619+380</f>
        <v>9350</v>
      </c>
      <c r="K619" s="426">
        <f>+J619*$X$1</f>
        <v>9350</v>
      </c>
      <c r="L619" s="112">
        <f>F619+330</f>
        <v>9300</v>
      </c>
      <c r="M619" s="426">
        <f>+L619*$X$1</f>
        <v>9300</v>
      </c>
      <c r="N619" s="112">
        <f>F619+270</f>
        <v>9240</v>
      </c>
      <c r="O619" s="426">
        <f>+N619*$X$1</f>
        <v>9240</v>
      </c>
      <c r="P619" s="112">
        <f>F619+230</f>
        <v>9200</v>
      </c>
      <c r="Q619" s="426">
        <f>+P619*$X$1</f>
        <v>9200</v>
      </c>
      <c r="R619" s="661">
        <f>F619+190</f>
        <v>9160</v>
      </c>
      <c r="S619" s="382">
        <f t="shared" ref="S619" si="1592">+R619*$X$1</f>
        <v>9160</v>
      </c>
      <c r="T619" s="376"/>
      <c r="U619" s="382"/>
      <c r="V619" s="82"/>
      <c r="W619" s="284"/>
      <c r="X619" s="412"/>
      <c r="Y619" s="412"/>
      <c r="Z619" s="412"/>
      <c r="AA619" s="412"/>
      <c r="AB619" s="648" t="s">
        <v>874</v>
      </c>
    </row>
    <row r="620" spans="1:28" ht="12.6" customHeight="1">
      <c r="A620" s="232"/>
      <c r="B620" s="790" t="s">
        <v>515</v>
      </c>
      <c r="C620" s="791"/>
      <c r="D620" s="791"/>
      <c r="E620" s="791"/>
      <c r="F620" s="381">
        <v>10050</v>
      </c>
      <c r="G620" s="454">
        <f t="shared" ref="G620:G624" si="1593">+F620*$X$1</f>
        <v>10050</v>
      </c>
      <c r="H620" s="113">
        <f>F620+380</f>
        <v>10430</v>
      </c>
      <c r="I620" s="381">
        <f t="shared" si="1591"/>
        <v>10430</v>
      </c>
      <c r="J620" s="421">
        <f>F620+200</f>
        <v>10250</v>
      </c>
      <c r="K620" s="381">
        <f t="shared" ref="K620" si="1594">+J620*$X$1</f>
        <v>10250</v>
      </c>
      <c r="L620" s="421">
        <f>F620+100</f>
        <v>10150</v>
      </c>
      <c r="M620" s="381">
        <f t="shared" ref="M620" si="1595">+L620*$X$1</f>
        <v>10150</v>
      </c>
      <c r="N620" s="421">
        <f>F620+80</f>
        <v>10130</v>
      </c>
      <c r="O620" s="381">
        <f t="shared" ref="O620" si="1596">+N620*$X$1</f>
        <v>10130</v>
      </c>
      <c r="P620" s="421">
        <f>F620+60</f>
        <v>10110</v>
      </c>
      <c r="Q620" s="381">
        <f t="shared" ref="Q620" si="1597">+P620*$X$1</f>
        <v>10110</v>
      </c>
      <c r="R620" s="421">
        <f>F620+50</f>
        <v>10100</v>
      </c>
      <c r="S620" s="381">
        <f t="shared" ref="S620" si="1598">+R620*$X$1</f>
        <v>10100</v>
      </c>
      <c r="T620" s="421"/>
      <c r="U620" s="381"/>
      <c r="V620" s="82"/>
      <c r="W620" s="284"/>
      <c r="X620" s="174"/>
      <c r="Y620" s="174"/>
      <c r="Z620" s="174"/>
      <c r="AA620" s="174"/>
      <c r="AB620" s="648" t="s">
        <v>518</v>
      </c>
    </row>
    <row r="621" spans="1:28" ht="12.6" customHeight="1">
      <c r="A621" s="232"/>
      <c r="B621" s="782" t="s">
        <v>671</v>
      </c>
      <c r="C621" s="731"/>
      <c r="D621" s="731"/>
      <c r="E621" s="731"/>
      <c r="F621" s="382">
        <v>10050</v>
      </c>
      <c r="G621" s="456">
        <f t="shared" ref="G621" si="1599">+F621*$X$1</f>
        <v>10050</v>
      </c>
      <c r="H621" s="112">
        <f>F621+380</f>
        <v>10430</v>
      </c>
      <c r="I621" s="382">
        <f t="shared" si="1591"/>
        <v>10430</v>
      </c>
      <c r="J621" s="661">
        <f>F621+200</f>
        <v>10250</v>
      </c>
      <c r="K621" s="382">
        <f t="shared" ref="K621" si="1600">+J621*$X$1</f>
        <v>10250</v>
      </c>
      <c r="L621" s="661">
        <f>F621+100</f>
        <v>10150</v>
      </c>
      <c r="M621" s="382">
        <f t="shared" ref="M621" si="1601">+L621*$X$1</f>
        <v>10150</v>
      </c>
      <c r="N621" s="661">
        <f>F621+80</f>
        <v>10130</v>
      </c>
      <c r="O621" s="382">
        <f t="shared" ref="O621" si="1602">+N621*$X$1</f>
        <v>10130</v>
      </c>
      <c r="P621" s="661">
        <f>F621+60</f>
        <v>10110</v>
      </c>
      <c r="Q621" s="382">
        <f t="shared" ref="Q621" si="1603">+P621*$X$1</f>
        <v>10110</v>
      </c>
      <c r="R621" s="661">
        <f>F621+50</f>
        <v>10100</v>
      </c>
      <c r="S621" s="382">
        <f t="shared" ref="S621:S623" si="1604">+R621*$X$1</f>
        <v>10100</v>
      </c>
      <c r="T621" s="661"/>
      <c r="U621" s="382"/>
      <c r="V621" s="82"/>
      <c r="W621" s="284"/>
      <c r="X621" s="412"/>
      <c r="Y621" s="412"/>
      <c r="Z621" s="412"/>
      <c r="AA621" s="412"/>
      <c r="AB621" s="648" t="s">
        <v>673</v>
      </c>
    </row>
    <row r="622" spans="1:28" ht="12.6" customHeight="1">
      <c r="A622" s="232"/>
      <c r="B622" s="790" t="s">
        <v>514</v>
      </c>
      <c r="C622" s="791"/>
      <c r="D622" s="791"/>
      <c r="E622" s="791"/>
      <c r="F622" s="381">
        <v>11136</v>
      </c>
      <c r="G622" s="454">
        <f t="shared" si="1593"/>
        <v>11136</v>
      </c>
      <c r="H622" s="113">
        <f>F622+450</f>
        <v>11586</v>
      </c>
      <c r="I622" s="381">
        <f t="shared" si="1591"/>
        <v>11586</v>
      </c>
      <c r="J622" s="113">
        <f>F622+380</f>
        <v>11516</v>
      </c>
      <c r="K622" s="410">
        <f>+J622*$X$1</f>
        <v>11516</v>
      </c>
      <c r="L622" s="113">
        <f>F622+330</f>
        <v>11466</v>
      </c>
      <c r="M622" s="410">
        <f>+L622*$X$1</f>
        <v>11466</v>
      </c>
      <c r="N622" s="113">
        <f>F622+270</f>
        <v>11406</v>
      </c>
      <c r="O622" s="410">
        <f>+N622*$X$1</f>
        <v>11406</v>
      </c>
      <c r="P622" s="113">
        <f>F622+230</f>
        <v>11366</v>
      </c>
      <c r="Q622" s="410">
        <f>+P622*$X$1</f>
        <v>11366</v>
      </c>
      <c r="R622" s="421">
        <f>F622+190</f>
        <v>11326</v>
      </c>
      <c r="S622" s="381">
        <f t="shared" si="1604"/>
        <v>11326</v>
      </c>
      <c r="T622" s="414"/>
      <c r="U622" s="381"/>
      <c r="V622" s="82"/>
      <c r="W622" s="284"/>
      <c r="X622" s="174"/>
      <c r="Y622" s="174"/>
      <c r="Z622" s="174"/>
      <c r="AA622" s="174"/>
      <c r="AB622" s="648" t="s">
        <v>517</v>
      </c>
    </row>
    <row r="623" spans="1:28" ht="12.6" customHeight="1">
      <c r="A623" s="232"/>
      <c r="B623" s="819" t="s">
        <v>674</v>
      </c>
      <c r="C623" s="820"/>
      <c r="D623" s="820"/>
      <c r="E623" s="820"/>
      <c r="F623" s="537">
        <f>15.29*X2</f>
        <v>13195.269999999999</v>
      </c>
      <c r="G623" s="456">
        <f t="shared" ref="G623" si="1605">+F623*$X$1</f>
        <v>13195.269999999999</v>
      </c>
      <c r="H623" s="112">
        <f>F623+450</f>
        <v>13645.269999999999</v>
      </c>
      <c r="I623" s="382">
        <f t="shared" si="1591"/>
        <v>13645.269999999999</v>
      </c>
      <c r="J623" s="112">
        <f>F623+380</f>
        <v>13575.269999999999</v>
      </c>
      <c r="K623" s="426">
        <f>+J623*$X$1</f>
        <v>13575.269999999999</v>
      </c>
      <c r="L623" s="112">
        <f>F623+330</f>
        <v>13525.269999999999</v>
      </c>
      <c r="M623" s="426">
        <f>+L623*$X$1</f>
        <v>13525.269999999999</v>
      </c>
      <c r="N623" s="112">
        <f>F623+270</f>
        <v>13465.269999999999</v>
      </c>
      <c r="O623" s="426">
        <f>+N623*$X$1</f>
        <v>13465.269999999999</v>
      </c>
      <c r="P623" s="112">
        <f>F623+230</f>
        <v>13425.269999999999</v>
      </c>
      <c r="Q623" s="426">
        <f>+P623*$X$1</f>
        <v>13425.269999999999</v>
      </c>
      <c r="R623" s="661">
        <f>F623+190</f>
        <v>13385.269999999999</v>
      </c>
      <c r="S623" s="382">
        <f t="shared" si="1604"/>
        <v>13385.269999999999</v>
      </c>
      <c r="T623" s="376"/>
      <c r="U623" s="382"/>
      <c r="V623" s="82"/>
      <c r="W623" s="284"/>
      <c r="X623" s="415"/>
      <c r="Y623" s="415"/>
      <c r="Z623" s="415"/>
      <c r="AA623" s="415"/>
      <c r="AB623" s="648" t="s">
        <v>875</v>
      </c>
    </row>
    <row r="624" spans="1:28" ht="12.6" customHeight="1">
      <c r="A624" s="232"/>
      <c r="B624" s="790" t="s">
        <v>578</v>
      </c>
      <c r="C624" s="791"/>
      <c r="D624" s="791"/>
      <c r="E624" s="791"/>
      <c r="F624" s="536">
        <f>8.7*X2</f>
        <v>7508.0999999999995</v>
      </c>
      <c r="G624" s="454">
        <f t="shared" si="1593"/>
        <v>7508.0999999999995</v>
      </c>
      <c r="H624" s="113">
        <f>F624+450</f>
        <v>7958.0999999999995</v>
      </c>
      <c r="I624" s="381">
        <f t="shared" si="1591"/>
        <v>7958.0999999999995</v>
      </c>
      <c r="J624" s="113">
        <f>F624+380</f>
        <v>7888.0999999999995</v>
      </c>
      <c r="K624" s="410">
        <f>+J624*$X$1</f>
        <v>7888.0999999999995</v>
      </c>
      <c r="L624" s="113">
        <f>F624+330</f>
        <v>7838.0999999999995</v>
      </c>
      <c r="M624" s="410">
        <f>+L624*$X$1</f>
        <v>7838.0999999999995</v>
      </c>
      <c r="N624" s="113">
        <f>F624+270</f>
        <v>7778.0999999999995</v>
      </c>
      <c r="O624" s="410">
        <f>+N624*$X$1</f>
        <v>7778.0999999999995</v>
      </c>
      <c r="P624" s="113">
        <f>F624+230</f>
        <v>7738.0999999999995</v>
      </c>
      <c r="Q624" s="410">
        <f>+P624*$X$1</f>
        <v>7738.0999999999995</v>
      </c>
      <c r="R624" s="421">
        <f>F624+190</f>
        <v>7698.0999999999995</v>
      </c>
      <c r="S624" s="381">
        <f t="shared" ref="S624:S626" si="1606">+R624*$X$1</f>
        <v>7698.0999999999995</v>
      </c>
      <c r="T624" s="421"/>
      <c r="U624" s="381"/>
      <c r="V624" s="82"/>
      <c r="W624" s="284"/>
      <c r="X624" s="174"/>
      <c r="Y624" s="174"/>
      <c r="Z624" s="174"/>
      <c r="AA624" s="174"/>
      <c r="AB624" s="648" t="s">
        <v>842</v>
      </c>
    </row>
    <row r="625" spans="1:34" ht="12.6" customHeight="1">
      <c r="A625" s="232"/>
      <c r="B625" s="857" t="s">
        <v>878</v>
      </c>
      <c r="C625" s="858"/>
      <c r="D625" s="858"/>
      <c r="E625" s="858"/>
      <c r="F625" s="540">
        <f>11.8*X2</f>
        <v>10183.400000000001</v>
      </c>
      <c r="G625" s="690">
        <f t="shared" ref="G625" si="1607">+F625*$X$1</f>
        <v>10183.400000000001</v>
      </c>
      <c r="H625" s="127">
        <f>F625+450</f>
        <v>10633.400000000001</v>
      </c>
      <c r="I625" s="450">
        <f t="shared" ref="I625" si="1608">+H625*$X$1</f>
        <v>10633.400000000001</v>
      </c>
      <c r="J625" s="127">
        <f>F625+380</f>
        <v>10563.400000000001</v>
      </c>
      <c r="K625" s="451">
        <f>+J625*$X$1</f>
        <v>10563.400000000001</v>
      </c>
      <c r="L625" s="127">
        <f>F625+330</f>
        <v>10513.400000000001</v>
      </c>
      <c r="M625" s="451">
        <f>+L625*$X$1</f>
        <v>10513.400000000001</v>
      </c>
      <c r="N625" s="127">
        <f>F625+270</f>
        <v>10453.400000000001</v>
      </c>
      <c r="O625" s="451">
        <f>+N625*$X$1</f>
        <v>10453.400000000001</v>
      </c>
      <c r="P625" s="127">
        <f>F625+230</f>
        <v>10413.400000000001</v>
      </c>
      <c r="Q625" s="451">
        <f>+P625*$X$1</f>
        <v>10413.400000000001</v>
      </c>
      <c r="R625" s="640">
        <f>F625+190</f>
        <v>10373.400000000001</v>
      </c>
      <c r="S625" s="450">
        <f t="shared" ref="S625" si="1609">+R625*$X$1</f>
        <v>10373.400000000001</v>
      </c>
      <c r="T625" s="640"/>
      <c r="U625" s="450"/>
      <c r="V625" s="82"/>
      <c r="W625" s="284"/>
      <c r="X625" s="575"/>
      <c r="Y625" s="575"/>
      <c r="Z625" s="575"/>
      <c r="AA625" s="575"/>
      <c r="AB625" s="648" t="s">
        <v>843</v>
      </c>
    </row>
    <row r="626" spans="1:34" ht="12.6" customHeight="1">
      <c r="A626" s="232"/>
      <c r="B626" s="857" t="s">
        <v>577</v>
      </c>
      <c r="C626" s="858"/>
      <c r="D626" s="858"/>
      <c r="E626" s="858"/>
      <c r="F626" s="540">
        <f>8.5*X2</f>
        <v>7335.5</v>
      </c>
      <c r="G626" s="690">
        <f t="shared" ref="G626" si="1610">+F626*$X$1</f>
        <v>7335.5</v>
      </c>
      <c r="H626" s="127">
        <f>F626+450</f>
        <v>7785.5</v>
      </c>
      <c r="I626" s="450">
        <f t="shared" si="1591"/>
        <v>7785.5</v>
      </c>
      <c r="J626" s="127">
        <f>F626+380</f>
        <v>7715.5</v>
      </c>
      <c r="K626" s="451">
        <f>+J626*$X$1</f>
        <v>7715.5</v>
      </c>
      <c r="L626" s="127">
        <f>F626+330</f>
        <v>7665.5</v>
      </c>
      <c r="M626" s="451">
        <f>+L626*$X$1</f>
        <v>7665.5</v>
      </c>
      <c r="N626" s="127">
        <f>F626+270</f>
        <v>7605.5</v>
      </c>
      <c r="O626" s="451">
        <f>+N626*$X$1</f>
        <v>7605.5</v>
      </c>
      <c r="P626" s="127">
        <f>F626+230</f>
        <v>7565.5</v>
      </c>
      <c r="Q626" s="451">
        <f>+P626*$X$1</f>
        <v>7565.5</v>
      </c>
      <c r="R626" s="640">
        <f>F626+190</f>
        <v>7525.5</v>
      </c>
      <c r="S626" s="450">
        <f t="shared" si="1606"/>
        <v>7525.5</v>
      </c>
      <c r="T626" s="640"/>
      <c r="U626" s="450"/>
      <c r="V626" s="82"/>
      <c r="W626" s="284"/>
      <c r="X626" s="174"/>
      <c r="Y626" s="174"/>
      <c r="Z626" s="174"/>
      <c r="AA626" s="174"/>
      <c r="AB626" s="648" t="s">
        <v>844</v>
      </c>
    </row>
    <row r="627" spans="1:34" ht="12.6" customHeight="1">
      <c r="A627" s="232"/>
      <c r="B627" s="120"/>
      <c r="C627" s="662"/>
      <c r="D627" s="662"/>
      <c r="E627" s="662"/>
      <c r="F627" s="669"/>
      <c r="G627" s="444"/>
      <c r="H627" s="135"/>
      <c r="I627" s="444"/>
      <c r="J627" s="135"/>
      <c r="K627" s="444"/>
      <c r="L627" s="135"/>
      <c r="M627" s="444"/>
      <c r="N627" s="135"/>
      <c r="O627" s="444"/>
      <c r="P627" s="135"/>
      <c r="Q627" s="444"/>
      <c r="R627" s="135"/>
      <c r="S627" s="444"/>
      <c r="T627" s="135"/>
      <c r="U627" s="444"/>
      <c r="V627" s="82"/>
      <c r="W627" s="666"/>
      <c r="X627" s="663"/>
      <c r="Y627" s="663"/>
      <c r="Z627" s="663"/>
      <c r="AA627" s="663"/>
      <c r="AB627" s="672"/>
    </row>
    <row r="628" spans="1:34" ht="12.6" customHeight="1">
      <c r="A628" s="232"/>
      <c r="B628" s="120"/>
      <c r="C628" s="662"/>
      <c r="D628" s="662"/>
      <c r="E628" s="662"/>
      <c r="F628" s="669"/>
      <c r="G628" s="444"/>
      <c r="H628" s="135"/>
      <c r="I628" s="444"/>
      <c r="J628" s="135"/>
      <c r="K628" s="444"/>
      <c r="L628" s="135"/>
      <c r="M628" s="444"/>
      <c r="N628" s="135"/>
      <c r="O628" s="444"/>
      <c r="P628" s="135"/>
      <c r="Q628" s="444"/>
      <c r="R628" s="135"/>
      <c r="S628" s="444"/>
      <c r="T628" s="135"/>
      <c r="U628" s="444"/>
      <c r="V628" s="82"/>
      <c r="W628" s="666"/>
      <c r="X628" s="663"/>
      <c r="Y628" s="663"/>
      <c r="Z628" s="663"/>
      <c r="AA628" s="663"/>
      <c r="AB628" s="672"/>
    </row>
    <row r="629" spans="1:34" ht="12.6" customHeight="1">
      <c r="A629" s="232"/>
      <c r="B629" s="120"/>
      <c r="C629" s="662"/>
      <c r="D629" s="662"/>
      <c r="E629" s="662"/>
      <c r="F629" s="669"/>
      <c r="G629" s="444"/>
      <c r="H629" s="135"/>
      <c r="I629" s="444"/>
      <c r="J629" s="135"/>
      <c r="K629" s="444"/>
      <c r="L629" s="135"/>
      <c r="M629" s="444"/>
      <c r="N629" s="135"/>
      <c r="O629" s="444"/>
      <c r="P629" s="135"/>
      <c r="Q629" s="444"/>
      <c r="R629" s="135"/>
      <c r="S629" s="444"/>
      <c r="T629" s="135"/>
      <c r="U629" s="444"/>
      <c r="V629" s="82"/>
      <c r="W629" s="666"/>
      <c r="X629" s="663"/>
      <c r="Y629" s="663"/>
      <c r="Z629" s="663"/>
      <c r="AA629" s="663"/>
      <c r="AB629" s="672"/>
    </row>
    <row r="630" spans="1:34" ht="12.6" customHeight="1">
      <c r="A630" s="232"/>
      <c r="B630" s="120"/>
      <c r="C630" s="662"/>
      <c r="D630" s="662"/>
      <c r="E630" s="662"/>
      <c r="F630" s="669"/>
      <c r="G630" s="444"/>
      <c r="H630" s="135"/>
      <c r="I630" s="444"/>
      <c r="J630" s="135"/>
      <c r="K630" s="444"/>
      <c r="L630" s="135"/>
      <c r="M630" s="444"/>
      <c r="N630" s="135"/>
      <c r="O630" s="444"/>
      <c r="P630" s="135"/>
      <c r="Q630" s="444"/>
      <c r="R630" s="135"/>
      <c r="S630" s="444"/>
      <c r="T630" s="135"/>
      <c r="U630" s="444"/>
      <c r="V630" s="82"/>
      <c r="W630" s="666"/>
      <c r="X630" s="663"/>
      <c r="Y630" s="663"/>
      <c r="Z630" s="663"/>
      <c r="AA630" s="663"/>
      <c r="AB630" s="672"/>
    </row>
    <row r="631" spans="1:34" ht="12.6" customHeight="1">
      <c r="A631" s="232"/>
      <c r="B631" s="120"/>
      <c r="C631" s="662"/>
      <c r="D631" s="662"/>
      <c r="E631" s="662"/>
      <c r="F631" s="669"/>
      <c r="G631" s="444"/>
      <c r="H631" s="135"/>
      <c r="I631" s="444"/>
      <c r="J631" s="135"/>
      <c r="K631" s="444"/>
      <c r="L631" s="135"/>
      <c r="M631" s="444"/>
      <c r="N631" s="135"/>
      <c r="O631" s="444"/>
      <c r="P631" s="135"/>
      <c r="Q631" s="444"/>
      <c r="R631" s="135"/>
      <c r="S631" s="444"/>
      <c r="T631" s="135"/>
      <c r="U631" s="444"/>
      <c r="V631" s="82"/>
      <c r="W631" s="666"/>
      <c r="X631" s="663"/>
      <c r="Y631" s="663"/>
      <c r="Z631" s="663"/>
      <c r="AA631" s="663"/>
      <c r="AB631" s="672"/>
    </row>
    <row r="632" spans="1:34" ht="12.6" customHeight="1">
      <c r="A632" s="232"/>
      <c r="B632" s="120"/>
      <c r="C632" s="662"/>
      <c r="D632" s="662"/>
      <c r="E632" s="662"/>
      <c r="F632" s="669"/>
      <c r="G632" s="444"/>
      <c r="H632" s="135"/>
      <c r="I632" s="444"/>
      <c r="J632" s="135"/>
      <c r="K632" s="444"/>
      <c r="L632" s="135"/>
      <c r="M632" s="444"/>
      <c r="N632" s="135"/>
      <c r="O632" s="444"/>
      <c r="P632" s="135"/>
      <c r="Q632" s="444"/>
      <c r="R632" s="135"/>
      <c r="S632" s="444"/>
      <c r="T632" s="135"/>
      <c r="U632" s="444"/>
      <c r="V632" s="82"/>
      <c r="W632" s="666"/>
      <c r="X632" s="663"/>
      <c r="Y632" s="663"/>
      <c r="Z632" s="663"/>
      <c r="AA632" s="663"/>
      <c r="AB632" s="672"/>
    </row>
    <row r="633" spans="1:34" ht="12.6" customHeight="1">
      <c r="A633" s="232"/>
      <c r="B633" s="120"/>
      <c r="C633" s="662"/>
      <c r="D633" s="662"/>
      <c r="E633" s="662"/>
      <c r="F633" s="669"/>
      <c r="G633" s="444"/>
      <c r="H633" s="135"/>
      <c r="I633" s="444"/>
      <c r="J633" s="135"/>
      <c r="K633" s="444"/>
      <c r="L633" s="135"/>
      <c r="M633" s="444"/>
      <c r="N633" s="135"/>
      <c r="O633" s="444"/>
      <c r="P633" s="135"/>
      <c r="Q633" s="444"/>
      <c r="R633" s="135"/>
      <c r="S633" s="444"/>
      <c r="T633" s="135"/>
      <c r="U633" s="444"/>
      <c r="V633" s="82"/>
      <c r="W633" s="666"/>
      <c r="X633" s="663"/>
      <c r="Y633" s="663"/>
      <c r="Z633" s="663"/>
      <c r="AA633" s="663"/>
      <c r="AB633" s="672"/>
    </row>
    <row r="634" spans="1:34" ht="12.6" customHeight="1">
      <c r="A634" s="232"/>
      <c r="B634" s="120"/>
      <c r="C634" s="662"/>
      <c r="D634" s="662"/>
      <c r="E634" s="662"/>
      <c r="F634" s="669"/>
      <c r="G634" s="444"/>
      <c r="H634" s="135"/>
      <c r="I634" s="444"/>
      <c r="J634" s="135"/>
      <c r="K634" s="444"/>
      <c r="L634" s="135"/>
      <c r="M634" s="444"/>
      <c r="N634" s="135"/>
      <c r="O634" s="444"/>
      <c r="P634" s="135"/>
      <c r="Q634" s="444"/>
      <c r="R634" s="135"/>
      <c r="S634" s="444"/>
      <c r="T634" s="135"/>
      <c r="U634" s="444"/>
      <c r="V634" s="82"/>
      <c r="W634" s="666"/>
      <c r="X634" s="663"/>
      <c r="Y634" s="663"/>
      <c r="Z634" s="663"/>
      <c r="AA634" s="663"/>
      <c r="AB634" s="672"/>
    </row>
    <row r="635" spans="1:34" ht="12.6" customHeight="1">
      <c r="A635" s="232"/>
      <c r="B635" s="120"/>
      <c r="C635" s="662"/>
      <c r="D635" s="662"/>
      <c r="E635" s="662"/>
      <c r="F635" s="669"/>
      <c r="G635" s="444"/>
      <c r="H635" s="135"/>
      <c r="I635" s="444"/>
      <c r="J635" s="135"/>
      <c r="K635" s="444"/>
      <c r="L635" s="135"/>
      <c r="M635" s="444"/>
      <c r="N635" s="135"/>
      <c r="O635" s="444"/>
      <c r="P635" s="135"/>
      <c r="Q635" s="444"/>
      <c r="R635" s="135"/>
      <c r="S635" s="444"/>
      <c r="T635" s="135"/>
      <c r="U635" s="444"/>
      <c r="V635" s="82"/>
      <c r="W635" s="666"/>
      <c r="X635" s="663"/>
      <c r="Y635" s="663"/>
      <c r="Z635" s="663"/>
      <c r="AA635" s="663"/>
      <c r="AB635" s="672"/>
    </row>
    <row r="636" spans="1:34" ht="12.6" customHeight="1">
      <c r="A636" s="232"/>
      <c r="B636" s="120"/>
      <c r="C636" s="662"/>
      <c r="D636" s="662"/>
      <c r="E636" s="662"/>
      <c r="F636" s="669"/>
      <c r="G636" s="444"/>
      <c r="H636" s="135"/>
      <c r="I636" s="444"/>
      <c r="J636" s="135"/>
      <c r="K636" s="444"/>
      <c r="L636" s="135"/>
      <c r="M636" s="444"/>
      <c r="N636" s="135"/>
      <c r="O636" s="444"/>
      <c r="P636" s="135"/>
      <c r="Q636" s="444"/>
      <c r="R636" s="135"/>
      <c r="S636" s="444"/>
      <c r="T636" s="135"/>
      <c r="U636" s="444"/>
      <c r="V636" s="82"/>
      <c r="W636" s="666"/>
      <c r="X636" s="663"/>
      <c r="Y636" s="663"/>
      <c r="Z636" s="663"/>
      <c r="AA636" s="663"/>
      <c r="AB636" s="672"/>
    </row>
    <row r="637" spans="1:34" ht="12.6" customHeight="1">
      <c r="A637" s="232"/>
      <c r="B637" s="120"/>
      <c r="C637" s="662"/>
      <c r="D637" s="662"/>
      <c r="E637" s="662"/>
      <c r="F637" s="669"/>
      <c r="G637" s="444"/>
      <c r="H637" s="135"/>
      <c r="I637" s="444"/>
      <c r="J637" s="135"/>
      <c r="K637" s="444"/>
      <c r="L637" s="135"/>
      <c r="M637" s="444"/>
      <c r="N637" s="135"/>
      <c r="O637" s="444"/>
      <c r="P637" s="135"/>
      <c r="Q637" s="444"/>
      <c r="R637" s="135"/>
      <c r="S637" s="444"/>
      <c r="T637" s="135"/>
      <c r="U637" s="444"/>
      <c r="V637" s="82"/>
      <c r="W637" s="666"/>
      <c r="X637" s="663"/>
      <c r="Y637" s="663"/>
      <c r="Z637" s="663"/>
      <c r="AA637" s="663"/>
      <c r="AB637" s="672"/>
    </row>
    <row r="638" spans="1:34" ht="12.6" customHeight="1" thickBot="1">
      <c r="A638" s="232"/>
      <c r="B638" s="120"/>
      <c r="C638" s="291"/>
      <c r="D638" s="291"/>
      <c r="E638" s="291"/>
      <c r="F638" s="135"/>
      <c r="G638" s="292"/>
      <c r="H638" s="292"/>
      <c r="I638" s="292"/>
      <c r="J638" s="292"/>
      <c r="K638" s="292"/>
      <c r="L638" s="292"/>
      <c r="M638" s="292"/>
      <c r="N638" s="292"/>
      <c r="O638" s="292"/>
      <c r="P638" s="292"/>
      <c r="Q638" s="292"/>
      <c r="R638" s="235"/>
      <c r="S638" s="292"/>
      <c r="T638" s="235"/>
      <c r="U638" s="292"/>
      <c r="V638" s="82"/>
      <c r="W638" s="289"/>
      <c r="X638" s="290"/>
      <c r="Y638" s="290"/>
      <c r="Z638" s="290"/>
      <c r="AA638" s="290"/>
      <c r="AB638" s="96"/>
    </row>
    <row r="639" spans="1:34" ht="20.25" customHeight="1" thickBot="1">
      <c r="A639" s="31"/>
      <c r="B639" s="871" t="s">
        <v>368</v>
      </c>
      <c r="C639" s="872"/>
      <c r="D639" s="872"/>
      <c r="E639" s="872"/>
      <c r="F639" s="872"/>
      <c r="G639" s="872"/>
      <c r="H639" s="872"/>
      <c r="I639" s="872"/>
      <c r="J639" s="872"/>
      <c r="K639" s="872"/>
      <c r="L639" s="872"/>
      <c r="M639" s="872"/>
      <c r="N639" s="872"/>
      <c r="O639" s="872"/>
      <c r="P639" s="872"/>
      <c r="Q639" s="872"/>
      <c r="R639" s="872"/>
      <c r="S639" s="872"/>
      <c r="T639" s="872"/>
      <c r="U639" s="872"/>
      <c r="V639" s="872"/>
      <c r="W639" s="873"/>
      <c r="AF639" s="815"/>
      <c r="AG639" s="816"/>
      <c r="AH639" s="816"/>
    </row>
    <row r="640" spans="1:34" ht="12.6" customHeight="1">
      <c r="A640" s="20"/>
      <c r="B640" s="1187"/>
      <c r="C640" s="1188"/>
      <c r="D640" s="1188"/>
      <c r="E640" s="1188"/>
      <c r="F640" s="1188"/>
      <c r="G640" s="1189"/>
      <c r="H640" s="392"/>
      <c r="I640" s="393" t="s">
        <v>318</v>
      </c>
      <c r="J640" s="393"/>
      <c r="K640" s="393" t="s">
        <v>18</v>
      </c>
      <c r="L640" s="393"/>
      <c r="M640" s="393" t="s">
        <v>19</v>
      </c>
      <c r="N640" s="393"/>
      <c r="O640" s="393" t="s">
        <v>20</v>
      </c>
      <c r="P640" s="393"/>
      <c r="Q640" s="393" t="s">
        <v>320</v>
      </c>
      <c r="R640" s="393"/>
      <c r="S640" s="393" t="s">
        <v>21</v>
      </c>
      <c r="T640" s="393"/>
      <c r="U640" s="393" t="s">
        <v>22</v>
      </c>
      <c r="V640" s="393"/>
      <c r="W640" s="394" t="s">
        <v>23</v>
      </c>
    </row>
    <row r="641" spans="1:35" ht="12.6" customHeight="1">
      <c r="A641" s="1180"/>
      <c r="B641" s="852" t="s">
        <v>636</v>
      </c>
      <c r="C641" s="853"/>
      <c r="D641" s="853"/>
      <c r="E641" s="853"/>
      <c r="F641" s="853"/>
      <c r="G641" s="854"/>
      <c r="H641" s="390"/>
      <c r="I641" s="583"/>
      <c r="J641" s="584"/>
      <c r="K641" s="502"/>
      <c r="L641" s="389">
        <v>50</v>
      </c>
      <c r="M641" s="502">
        <f>+L641*$X$1</f>
        <v>50</v>
      </c>
      <c r="N641" s="581">
        <v>40</v>
      </c>
      <c r="O641" s="502">
        <f>+N641*$X$1</f>
        <v>40</v>
      </c>
      <c r="P641" s="581">
        <v>35</v>
      </c>
      <c r="Q641" s="502">
        <f>+P641*$X$1</f>
        <v>35</v>
      </c>
      <c r="R641" s="581">
        <v>31</v>
      </c>
      <c r="S641" s="502">
        <f>+R641*$X$1</f>
        <v>31</v>
      </c>
      <c r="T641" s="581">
        <v>28</v>
      </c>
      <c r="U641" s="503">
        <f>+T641*$X$1</f>
        <v>28</v>
      </c>
      <c r="V641" s="581">
        <v>25</v>
      </c>
      <c r="W641" s="504">
        <f>+V641*$X$1</f>
        <v>25</v>
      </c>
    </row>
    <row r="642" spans="1:35" ht="12.6" customHeight="1">
      <c r="A642" s="1180"/>
      <c r="B642" s="1091" t="s">
        <v>369</v>
      </c>
      <c r="C642" s="1092"/>
      <c r="D642" s="1092"/>
      <c r="E642" s="1092"/>
      <c r="F642" s="1092"/>
      <c r="G642" s="1093"/>
      <c r="H642" s="82"/>
      <c r="I642" s="585"/>
      <c r="J642" s="586">
        <v>120</v>
      </c>
      <c r="K642" s="505">
        <f>+J642*$X$1</f>
        <v>120</v>
      </c>
      <c r="L642" s="587">
        <v>90</v>
      </c>
      <c r="M642" s="588">
        <f>+L642*$X$1</f>
        <v>90</v>
      </c>
      <c r="N642" s="125">
        <v>70</v>
      </c>
      <c r="O642" s="588">
        <f>+N642*$X$1</f>
        <v>70</v>
      </c>
      <c r="P642" s="125">
        <v>60</v>
      </c>
      <c r="Q642" s="588">
        <f>+P642*$X$1</f>
        <v>60</v>
      </c>
      <c r="R642" s="125">
        <v>50</v>
      </c>
      <c r="S642" s="588">
        <f>+R642*$X$1</f>
        <v>50</v>
      </c>
      <c r="T642" s="125">
        <v>45</v>
      </c>
      <c r="U642" s="588">
        <f>+T642*$X$1</f>
        <v>45</v>
      </c>
      <c r="V642" s="125">
        <v>40</v>
      </c>
      <c r="W642" s="589">
        <f>+V642*$X$1</f>
        <v>40</v>
      </c>
    </row>
    <row r="643" spans="1:35" ht="12.6" customHeight="1">
      <c r="A643" s="1180"/>
      <c r="B643" s="852" t="s">
        <v>637</v>
      </c>
      <c r="C643" s="853"/>
      <c r="D643" s="853"/>
      <c r="E643" s="853"/>
      <c r="F643" s="853"/>
      <c r="G643" s="854"/>
      <c r="H643" s="389"/>
      <c r="I643" s="502"/>
      <c r="J643" s="389"/>
      <c r="K643" s="502"/>
      <c r="L643" s="389">
        <v>75</v>
      </c>
      <c r="M643" s="502">
        <f>+L643*$X$1</f>
        <v>75</v>
      </c>
      <c r="N643" s="581">
        <v>60</v>
      </c>
      <c r="O643" s="502">
        <f>+N643*$X$1</f>
        <v>60</v>
      </c>
      <c r="P643" s="581">
        <v>55</v>
      </c>
      <c r="Q643" s="502">
        <f>+P643*$X$1</f>
        <v>55</v>
      </c>
      <c r="R643" s="581">
        <v>50</v>
      </c>
      <c r="S643" s="502">
        <f>+R643*$X$1</f>
        <v>50</v>
      </c>
      <c r="T643" s="581">
        <v>46</v>
      </c>
      <c r="U643" s="503">
        <f>+T643*$X$1</f>
        <v>46</v>
      </c>
      <c r="V643" s="581">
        <v>42</v>
      </c>
      <c r="W643" s="504">
        <f>+V643*$X$1</f>
        <v>42</v>
      </c>
    </row>
    <row r="644" spans="1:35" ht="12.6" customHeight="1">
      <c r="A644" s="1180"/>
      <c r="B644" s="867" t="s">
        <v>635</v>
      </c>
      <c r="C644" s="868"/>
      <c r="D644" s="868"/>
      <c r="E644" s="868"/>
      <c r="F644" s="868"/>
      <c r="G644" s="869"/>
      <c r="H644" s="590">
        <v>290</v>
      </c>
      <c r="I644" s="505">
        <f>+H644*$X$1</f>
        <v>290</v>
      </c>
      <c r="J644" s="590">
        <v>150</v>
      </c>
      <c r="K644" s="505">
        <f>+J644*$X$1</f>
        <v>150</v>
      </c>
      <c r="L644" s="590">
        <v>120</v>
      </c>
      <c r="M644" s="505">
        <f>+L644*$X$1</f>
        <v>120</v>
      </c>
      <c r="N644" s="421">
        <v>100</v>
      </c>
      <c r="O644" s="505">
        <f>+N644*$X$1</f>
        <v>100</v>
      </c>
      <c r="P644" s="421">
        <v>85</v>
      </c>
      <c r="Q644" s="505">
        <f>+P644*$X$1</f>
        <v>85</v>
      </c>
      <c r="R644" s="421">
        <v>78</v>
      </c>
      <c r="S644" s="505">
        <f>+R644*$X$1</f>
        <v>78</v>
      </c>
      <c r="T644" s="421">
        <v>73</v>
      </c>
      <c r="U644" s="588">
        <f>+T644*$X$1</f>
        <v>73</v>
      </c>
      <c r="V644" s="421">
        <v>68</v>
      </c>
      <c r="W644" s="591">
        <f>+V644*$X$1</f>
        <v>68</v>
      </c>
    </row>
    <row r="645" spans="1:35" ht="12.75" customHeight="1" thickBot="1">
      <c r="A645" s="1180"/>
      <c r="B645" s="896" t="s">
        <v>638</v>
      </c>
      <c r="C645" s="897"/>
      <c r="D645" s="897"/>
      <c r="E645" s="897"/>
      <c r="F645" s="897"/>
      <c r="G645" s="897"/>
      <c r="H645" s="897"/>
      <c r="I645" s="897"/>
      <c r="J645" s="897"/>
      <c r="K645" s="897"/>
      <c r="L645" s="897"/>
      <c r="M645" s="897"/>
      <c r="N645" s="897"/>
      <c r="O645" s="897"/>
      <c r="P645" s="897"/>
      <c r="Q645" s="897"/>
      <c r="R645" s="897"/>
      <c r="S645" s="897"/>
      <c r="T645" s="897"/>
      <c r="U645" s="897"/>
      <c r="V645" s="897"/>
      <c r="W645" s="898"/>
    </row>
    <row r="646" spans="1:35" ht="13.5" customHeight="1">
      <c r="A646" s="1180"/>
      <c r="B646" s="874" t="s">
        <v>747</v>
      </c>
      <c r="C646" s="875"/>
      <c r="D646" s="875"/>
      <c r="E646" s="875"/>
      <c r="F646" s="875"/>
      <c r="G646" s="876"/>
      <c r="H646" s="862"/>
      <c r="I646" s="855" t="s">
        <v>318</v>
      </c>
      <c r="J646" s="862"/>
      <c r="K646" s="855" t="s">
        <v>18</v>
      </c>
      <c r="L646" s="855"/>
      <c r="M646" s="855" t="s">
        <v>19</v>
      </c>
      <c r="N646" s="855"/>
      <c r="O646" s="855" t="s">
        <v>20</v>
      </c>
      <c r="P646" s="855"/>
      <c r="Q646" s="855" t="s">
        <v>320</v>
      </c>
      <c r="R646" s="855"/>
      <c r="S646" s="855" t="s">
        <v>21</v>
      </c>
      <c r="T646" s="855"/>
      <c r="U646" s="855" t="s">
        <v>22</v>
      </c>
      <c r="V646" s="855"/>
      <c r="W646" s="864" t="s">
        <v>23</v>
      </c>
    </row>
    <row r="647" spans="1:35" ht="11.25" customHeight="1">
      <c r="A647" s="1180"/>
      <c r="B647" s="877"/>
      <c r="C647" s="878"/>
      <c r="D647" s="878"/>
      <c r="E647" s="878"/>
      <c r="F647" s="878"/>
      <c r="G647" s="879"/>
      <c r="H647" s="863"/>
      <c r="I647" s="866"/>
      <c r="J647" s="863"/>
      <c r="K647" s="866"/>
      <c r="L647" s="856"/>
      <c r="M647" s="856"/>
      <c r="N647" s="856"/>
      <c r="O647" s="856"/>
      <c r="P647" s="856"/>
      <c r="Q647" s="856"/>
      <c r="R647" s="856"/>
      <c r="S647" s="856"/>
      <c r="T647" s="856"/>
      <c r="U647" s="856"/>
      <c r="V647" s="856"/>
      <c r="W647" s="865"/>
      <c r="AB647" s="66"/>
      <c r="AC647" s="66"/>
      <c r="AD647" s="66"/>
      <c r="AE647" s="66"/>
      <c r="AF647" s="66"/>
      <c r="AG647" s="66"/>
      <c r="AH647" s="66"/>
      <c r="AI647" s="66"/>
    </row>
    <row r="648" spans="1:35" ht="12.6" customHeight="1">
      <c r="A648" s="1180"/>
      <c r="B648" s="1088" t="s">
        <v>745</v>
      </c>
      <c r="C648" s="1089"/>
      <c r="D648" s="1089"/>
      <c r="E648" s="1089"/>
      <c r="F648" s="1089"/>
      <c r="G648" s="1090"/>
      <c r="H648" s="391">
        <v>510</v>
      </c>
      <c r="I648" s="506">
        <f>+H648*$X$1</f>
        <v>510</v>
      </c>
      <c r="J648" s="98">
        <v>410</v>
      </c>
      <c r="K648" s="506">
        <f>+J648*$X$1</f>
        <v>410</v>
      </c>
      <c r="L648" s="581">
        <v>360</v>
      </c>
      <c r="M648" s="502">
        <f>+L648*$X$1</f>
        <v>360</v>
      </c>
      <c r="N648" s="581">
        <v>320</v>
      </c>
      <c r="O648" s="502">
        <f>+N648*$X$1</f>
        <v>320</v>
      </c>
      <c r="P648" s="581">
        <v>270</v>
      </c>
      <c r="Q648" s="502">
        <f>+P648*$X$1</f>
        <v>270</v>
      </c>
      <c r="R648" s="581">
        <v>250</v>
      </c>
      <c r="S648" s="502">
        <f>+R648*$X$1</f>
        <v>250</v>
      </c>
      <c r="T648" s="581">
        <v>230</v>
      </c>
      <c r="U648" s="502">
        <f>+T648*$X$1</f>
        <v>230</v>
      </c>
      <c r="V648" s="581">
        <v>220</v>
      </c>
      <c r="W648" s="504">
        <f>+V648*$X$1</f>
        <v>220</v>
      </c>
    </row>
    <row r="649" spans="1:35" ht="12.6" customHeight="1">
      <c r="A649" s="1180"/>
      <c r="B649" s="1181" t="s">
        <v>742</v>
      </c>
      <c r="C649" s="1182"/>
      <c r="D649" s="1182"/>
      <c r="E649" s="1182"/>
      <c r="F649" s="1182"/>
      <c r="G649" s="1183"/>
      <c r="H649" s="101">
        <v>570</v>
      </c>
      <c r="I649" s="593">
        <f>+H649*$X$1</f>
        <v>570</v>
      </c>
      <c r="J649" s="78">
        <v>480</v>
      </c>
      <c r="K649" s="593">
        <f>+J649*$X$1</f>
        <v>480</v>
      </c>
      <c r="L649" s="421">
        <v>450</v>
      </c>
      <c r="M649" s="505">
        <f>+L649*$X$1</f>
        <v>450</v>
      </c>
      <c r="N649" s="421">
        <v>410</v>
      </c>
      <c r="O649" s="505">
        <f>+N649*$X$1</f>
        <v>410</v>
      </c>
      <c r="P649" s="421">
        <v>380</v>
      </c>
      <c r="Q649" s="505">
        <f>+P649*$X$1</f>
        <v>380</v>
      </c>
      <c r="R649" s="421">
        <v>350</v>
      </c>
      <c r="S649" s="505">
        <f>+R649*$X$1</f>
        <v>350</v>
      </c>
      <c r="T649" s="421">
        <v>330</v>
      </c>
      <c r="U649" s="505">
        <f>+T649*$X$1</f>
        <v>330</v>
      </c>
      <c r="V649" s="421">
        <v>310</v>
      </c>
      <c r="W649" s="591">
        <f>+V649*$X$1</f>
        <v>310</v>
      </c>
    </row>
    <row r="650" spans="1:35" ht="12.6" customHeight="1">
      <c r="A650" s="1180"/>
      <c r="B650" s="1088" t="s">
        <v>744</v>
      </c>
      <c r="C650" s="1089"/>
      <c r="D650" s="1089"/>
      <c r="E650" s="1089"/>
      <c r="F650" s="1089"/>
      <c r="G650" s="1090"/>
      <c r="H650" s="391">
        <v>780</v>
      </c>
      <c r="I650" s="506">
        <f>+H650*$X$1</f>
        <v>780</v>
      </c>
      <c r="J650" s="98">
        <v>700</v>
      </c>
      <c r="K650" s="506">
        <f>+J650*$X$1</f>
        <v>700</v>
      </c>
      <c r="L650" s="581">
        <v>600</v>
      </c>
      <c r="M650" s="502">
        <f>+L650*$X$1</f>
        <v>600</v>
      </c>
      <c r="N650" s="581">
        <v>550</v>
      </c>
      <c r="O650" s="502">
        <f>+N650*$X$1</f>
        <v>550</v>
      </c>
      <c r="P650" s="581">
        <v>510</v>
      </c>
      <c r="Q650" s="502">
        <f>+P650*$X$1</f>
        <v>510</v>
      </c>
      <c r="R650" s="581">
        <v>490</v>
      </c>
      <c r="S650" s="502">
        <f>+R650*$X$1</f>
        <v>490</v>
      </c>
      <c r="T650" s="581">
        <v>480</v>
      </c>
      <c r="U650" s="502">
        <f>+T650*$X$1</f>
        <v>480</v>
      </c>
      <c r="V650" s="581">
        <v>460</v>
      </c>
      <c r="W650" s="504">
        <f>+V650*$X$1</f>
        <v>460</v>
      </c>
    </row>
    <row r="651" spans="1:35" ht="12.6" customHeight="1" thickBot="1">
      <c r="A651" s="1180"/>
      <c r="B651" s="1184" t="s">
        <v>743</v>
      </c>
      <c r="C651" s="1185"/>
      <c r="D651" s="1185"/>
      <c r="E651" s="1185"/>
      <c r="F651" s="1185"/>
      <c r="G651" s="1186"/>
      <c r="H651" s="592">
        <v>1060</v>
      </c>
      <c r="I651" s="594">
        <f>+H651*$X$1</f>
        <v>1060</v>
      </c>
      <c r="J651" s="595">
        <v>920</v>
      </c>
      <c r="K651" s="596">
        <f>+J651*$X$1</f>
        <v>920</v>
      </c>
      <c r="L651" s="597">
        <v>800</v>
      </c>
      <c r="M651" s="598">
        <f>+L651*$X$1</f>
        <v>800</v>
      </c>
      <c r="N651" s="597">
        <v>740</v>
      </c>
      <c r="O651" s="598">
        <f>+N651*$X$1</f>
        <v>740</v>
      </c>
      <c r="P651" s="597">
        <v>710</v>
      </c>
      <c r="Q651" s="598">
        <f>+P651*$X$1</f>
        <v>710</v>
      </c>
      <c r="R651" s="597">
        <v>690</v>
      </c>
      <c r="S651" s="598">
        <f>+R651*$X$1</f>
        <v>690</v>
      </c>
      <c r="T651" s="597">
        <v>670</v>
      </c>
      <c r="U651" s="598">
        <f>+T651*$X$1</f>
        <v>670</v>
      </c>
      <c r="V651" s="597">
        <v>650</v>
      </c>
      <c r="W651" s="599">
        <f>+V651*$X$1</f>
        <v>650</v>
      </c>
    </row>
    <row r="652" spans="1:35" ht="8.25" customHeight="1">
      <c r="A652" s="232"/>
      <c r="B652" s="233"/>
      <c r="C652" s="233"/>
      <c r="D652" s="233"/>
      <c r="E652" s="233"/>
      <c r="F652" s="234"/>
      <c r="G652" s="234"/>
      <c r="H652" s="82"/>
      <c r="I652" s="235"/>
      <c r="J652" s="235"/>
      <c r="K652" s="235"/>
      <c r="L652" s="235"/>
      <c r="M652" s="235"/>
      <c r="N652" s="235"/>
      <c r="O652" s="235"/>
      <c r="P652" s="235"/>
      <c r="Q652" s="235"/>
      <c r="R652" s="235"/>
      <c r="S652" s="235"/>
      <c r="T652" s="235"/>
      <c r="U652" s="235"/>
      <c r="V652" s="82"/>
      <c r="W652" s="227"/>
      <c r="X652" s="226"/>
      <c r="Y652" s="226"/>
      <c r="Z652" s="226"/>
      <c r="AA652" s="226"/>
      <c r="AB652" s="236"/>
    </row>
    <row r="653" spans="1:35" ht="13.5" customHeight="1">
      <c r="B653" s="1086" t="s">
        <v>646</v>
      </c>
      <c r="C653" s="1087"/>
      <c r="D653" s="1087"/>
      <c r="E653" s="1087"/>
      <c r="F653" s="1087"/>
      <c r="G653" s="1087"/>
      <c r="H653" s="1087"/>
      <c r="I653" s="1087"/>
      <c r="J653" s="1087"/>
      <c r="K653" s="76" t="s">
        <v>639</v>
      </c>
      <c r="L653" s="77">
        <v>20</v>
      </c>
      <c r="M653" s="501">
        <f>+L653*$X$1</f>
        <v>20</v>
      </c>
      <c r="N653" s="75"/>
      <c r="O653" s="76" t="s">
        <v>640</v>
      </c>
      <c r="P653" s="77">
        <v>17</v>
      </c>
      <c r="Q653" s="501">
        <f>+P653*$X$1</f>
        <v>17</v>
      </c>
      <c r="R653" s="53"/>
      <c r="S653" s="53"/>
      <c r="T653" s="53"/>
      <c r="U653" s="53"/>
      <c r="V653" s="53"/>
      <c r="W653" s="53"/>
    </row>
    <row r="654" spans="1:35" ht="9.75" customHeight="1">
      <c r="B654" s="56"/>
      <c r="C654" s="199"/>
      <c r="D654" s="199"/>
      <c r="E654" s="199"/>
      <c r="F654" s="199"/>
      <c r="G654" s="199"/>
      <c r="H654" s="199"/>
      <c r="I654" s="199"/>
      <c r="J654" s="199"/>
      <c r="K654" s="57"/>
      <c r="L654" s="58"/>
      <c r="M654" s="59"/>
      <c r="N654" s="53"/>
      <c r="O654" s="57"/>
      <c r="P654" s="58"/>
      <c r="Q654" s="59"/>
      <c r="R654" s="53"/>
      <c r="S654" s="53"/>
      <c r="T654" s="53"/>
      <c r="U654" s="53"/>
      <c r="V654" s="53"/>
      <c r="W654" s="53"/>
    </row>
    <row r="655" spans="1:35">
      <c r="B655" s="3"/>
      <c r="C655" s="1084" t="s">
        <v>370</v>
      </c>
      <c r="D655" s="1085"/>
      <c r="E655" s="1085"/>
      <c r="F655" s="1085"/>
      <c r="G655" s="1085"/>
      <c r="H655" s="1085"/>
      <c r="I655" s="1085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>
      <c r="B656" s="3"/>
      <c r="C656" s="1156" t="s">
        <v>371</v>
      </c>
      <c r="D656" s="1157"/>
      <c r="E656" s="1157"/>
      <c r="F656" s="1157"/>
      <c r="G656" s="1158"/>
      <c r="H656" s="673"/>
      <c r="I656" s="664"/>
      <c r="J656" s="4"/>
      <c r="K656" s="4"/>
      <c r="L656" s="41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>
      <c r="B657" s="3"/>
      <c r="C657" s="1081" t="s">
        <v>372</v>
      </c>
      <c r="D657" s="1082"/>
      <c r="E657" s="1082"/>
      <c r="F657" s="1082"/>
      <c r="G657" s="1083"/>
      <c r="H657" s="48"/>
      <c r="I657" s="674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>
      <c r="B658" s="3"/>
      <c r="C658" s="1081" t="s">
        <v>373</v>
      </c>
      <c r="D658" s="1082"/>
      <c r="E658" s="1082"/>
      <c r="F658" s="1082"/>
      <c r="G658" s="1083"/>
      <c r="H658" s="50"/>
      <c r="I658" s="500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>
      <c r="B659" s="3"/>
      <c r="C659" s="1168" t="s">
        <v>740</v>
      </c>
      <c r="D659" s="1169"/>
      <c r="E659" s="1169"/>
      <c r="F659" s="1169"/>
      <c r="G659" s="1169"/>
      <c r="H659" s="1170"/>
      <c r="I659" s="1171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>
      <c r="B660" s="3"/>
      <c r="C660" s="1172"/>
      <c r="D660" s="878"/>
      <c r="E660" s="878"/>
      <c r="F660" s="878"/>
      <c r="G660" s="878"/>
      <c r="H660" s="1173"/>
      <c r="I660" s="1174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>
      <c r="B661" s="4"/>
      <c r="C661" s="55"/>
      <c r="D661" s="55"/>
      <c r="E661" s="55"/>
      <c r="F661" s="55"/>
      <c r="G661" s="55"/>
      <c r="H661" s="49"/>
      <c r="I661" s="458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>
      <c r="B662" s="880" t="s">
        <v>700</v>
      </c>
      <c r="C662" s="881"/>
      <c r="D662" s="881"/>
      <c r="E662" s="881"/>
      <c r="F662" s="881"/>
      <c r="G662" s="881"/>
      <c r="H662" s="881"/>
      <c r="I662" s="881"/>
      <c r="J662" s="881"/>
      <c r="K662" s="881"/>
      <c r="L662" s="881"/>
      <c r="M662" s="881"/>
      <c r="N662" s="881"/>
      <c r="O662" s="881"/>
      <c r="P662" s="881"/>
      <c r="Q662" s="881"/>
      <c r="R662" s="881"/>
      <c r="S662" s="881"/>
      <c r="T662" s="881"/>
      <c r="U662" s="881"/>
      <c r="V662" s="881"/>
      <c r="W662" s="882"/>
    </row>
    <row r="663" spans="2:34" ht="13.5" customHeight="1">
      <c r="B663" s="883"/>
      <c r="C663" s="884"/>
      <c r="D663" s="884"/>
      <c r="E663" s="884"/>
      <c r="F663" s="884"/>
      <c r="G663" s="884"/>
      <c r="H663" s="884"/>
      <c r="I663" s="884"/>
      <c r="J663" s="884"/>
      <c r="K663" s="884"/>
      <c r="L663" s="884"/>
      <c r="M663" s="884"/>
      <c r="N663" s="884"/>
      <c r="O663" s="884"/>
      <c r="P663" s="884"/>
      <c r="Q663" s="884"/>
      <c r="R663" s="884"/>
      <c r="S663" s="884"/>
      <c r="T663" s="884"/>
      <c r="U663" s="884"/>
      <c r="V663" s="884"/>
      <c r="W663" s="885"/>
    </row>
    <row r="664" spans="2:34" ht="13.5" customHeight="1" thickBot="1">
      <c r="B664" s="886"/>
      <c r="C664" s="887"/>
      <c r="D664" s="887"/>
      <c r="E664" s="887"/>
      <c r="F664" s="887"/>
      <c r="G664" s="887"/>
      <c r="H664" s="887"/>
      <c r="I664" s="887"/>
      <c r="J664" s="887"/>
      <c r="K664" s="887"/>
      <c r="L664" s="887"/>
      <c r="M664" s="887"/>
      <c r="N664" s="887"/>
      <c r="O664" s="887"/>
      <c r="P664" s="887"/>
      <c r="Q664" s="887"/>
      <c r="R664" s="887"/>
      <c r="S664" s="887"/>
      <c r="T664" s="887"/>
      <c r="U664" s="887"/>
      <c r="V664" s="887"/>
      <c r="W664" s="888"/>
    </row>
    <row r="665" spans="2:34" ht="12.6" customHeight="1">
      <c r="B665" s="4"/>
      <c r="C665" s="47"/>
      <c r="D665" s="47"/>
      <c r="E665" s="47"/>
      <c r="F665" s="47"/>
      <c r="G665" s="47"/>
      <c r="H665" s="49"/>
      <c r="I665" s="49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>
      <c r="B666" s="3"/>
      <c r="C666" s="889" t="s">
        <v>876</v>
      </c>
      <c r="D666" s="890"/>
      <c r="E666" s="890"/>
      <c r="F666" s="890"/>
      <c r="G666" s="890"/>
      <c r="H666" s="890"/>
      <c r="I666" s="89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AF666" s="815" t="s">
        <v>3</v>
      </c>
      <c r="AG666" s="816"/>
      <c r="AH666" s="816"/>
    </row>
    <row r="667" spans="2:34" ht="12.95" customHeight="1">
      <c r="B667" s="3"/>
      <c r="C667" s="1159"/>
      <c r="D667" s="1160"/>
      <c r="E667" s="1160"/>
      <c r="F667" s="1160"/>
      <c r="G667" s="1160"/>
      <c r="H667" s="1160"/>
      <c r="I667" s="116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>
      <c r="B668" s="3"/>
      <c r="C668" s="1162"/>
      <c r="D668" s="1163"/>
      <c r="E668" s="1163"/>
      <c r="F668" s="1163"/>
      <c r="G668" s="1163"/>
      <c r="H668" s="1163"/>
      <c r="I668" s="116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>
      <c r="B669" s="3"/>
      <c r="C669" s="1162"/>
      <c r="D669" s="1163"/>
      <c r="E669" s="1163"/>
      <c r="F669" s="1163"/>
      <c r="G669" s="1163"/>
      <c r="H669" s="1163"/>
      <c r="I669" s="116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>
      <c r="B670" s="3"/>
      <c r="C670" s="1162"/>
      <c r="D670" s="1163"/>
      <c r="E670" s="1163"/>
      <c r="F670" s="1163"/>
      <c r="G670" s="1163"/>
      <c r="H670" s="1163"/>
      <c r="I670" s="116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>
      <c r="B671" s="3"/>
      <c r="C671" s="1162"/>
      <c r="D671" s="1163"/>
      <c r="E671" s="1163"/>
      <c r="F671" s="1163"/>
      <c r="G671" s="1163"/>
      <c r="H671" s="1163"/>
      <c r="I671" s="116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>
      <c r="B672" s="3"/>
      <c r="C672" s="1162"/>
      <c r="D672" s="1163"/>
      <c r="E672" s="1163"/>
      <c r="F672" s="1163"/>
      <c r="G672" s="1163"/>
      <c r="H672" s="1163"/>
      <c r="I672" s="116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>
      <c r="B673" s="3"/>
      <c r="C673" s="1165"/>
      <c r="D673" s="1166"/>
      <c r="E673" s="1166"/>
      <c r="F673" s="1166"/>
      <c r="G673" s="1166"/>
      <c r="H673" s="1166"/>
      <c r="I673" s="1167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>
      <c r="B674" s="3"/>
      <c r="C674" s="892" t="s">
        <v>500</v>
      </c>
      <c r="D674" s="892"/>
      <c r="E674" s="893"/>
      <c r="F674" s="893"/>
      <c r="G674" s="894"/>
      <c r="H674" s="50">
        <v>800</v>
      </c>
      <c r="I674" s="505">
        <f>+H674*$X$1</f>
        <v>800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>
      <c r="B675" s="3"/>
      <c r="C675" s="892" t="s">
        <v>877</v>
      </c>
      <c r="D675" s="892"/>
      <c r="E675" s="893"/>
      <c r="F675" s="893"/>
      <c r="G675" s="894"/>
      <c r="H675" s="50">
        <v>760</v>
      </c>
      <c r="I675" s="505">
        <f>+H675*$X$1</f>
        <v>760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>
      <c r="B676" s="3"/>
      <c r="C676" s="54"/>
      <c r="D676" s="52"/>
      <c r="E676" s="52"/>
      <c r="F676" s="52"/>
      <c r="G676" s="47"/>
      <c r="H676" s="49"/>
      <c r="I676" s="49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>
      <c r="B677" s="1108" t="s">
        <v>741</v>
      </c>
      <c r="C677" s="1109"/>
      <c r="D677" s="1109"/>
      <c r="E677" s="1109"/>
      <c r="F677" s="1109"/>
      <c r="G677" s="1109"/>
      <c r="H677" s="1109"/>
      <c r="I677" s="1109"/>
      <c r="J677" s="1109"/>
      <c r="K677" s="1109"/>
      <c r="L677" s="1109"/>
      <c r="M677" s="1109"/>
      <c r="N677" s="1109"/>
      <c r="O677" s="1109"/>
      <c r="P677" s="1109"/>
      <c r="Q677" s="1109"/>
      <c r="R677" s="1109"/>
      <c r="S677" s="1109"/>
      <c r="T677" s="1109"/>
      <c r="U677" s="1109"/>
      <c r="V677" s="1109"/>
      <c r="W677" s="1110"/>
    </row>
    <row r="678" spans="2:34" ht="12.6" customHeight="1" thickBot="1">
      <c r="B678" s="29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</row>
    <row r="679" spans="2:34" ht="15.75" customHeight="1">
      <c r="B679" s="1105" t="s">
        <v>374</v>
      </c>
      <c r="C679" s="1106"/>
      <c r="D679" s="1106"/>
      <c r="E679" s="1106"/>
      <c r="F679" s="1106"/>
      <c r="G679" s="1106"/>
      <c r="H679" s="1106"/>
      <c r="I679" s="1106"/>
      <c r="J679" s="1106"/>
      <c r="K679" s="1106"/>
      <c r="L679" s="1106"/>
      <c r="M679" s="1106"/>
      <c r="N679" s="1106"/>
      <c r="O679" s="1106"/>
      <c r="P679" s="1106"/>
      <c r="Q679" s="1106"/>
      <c r="R679" s="1106"/>
      <c r="S679" s="1106"/>
      <c r="T679" s="1106"/>
      <c r="U679" s="1106"/>
      <c r="V679" s="1106"/>
      <c r="W679" s="1107"/>
    </row>
    <row r="680" spans="2:34" ht="15.75" customHeight="1">
      <c r="B680" s="1127" t="s">
        <v>375</v>
      </c>
      <c r="C680" s="1128"/>
      <c r="D680" s="1128"/>
      <c r="E680" s="1128"/>
      <c r="F680" s="1128"/>
      <c r="G680" s="1128"/>
      <c r="H680" s="1128"/>
      <c r="I680" s="1128"/>
      <c r="J680" s="1128"/>
      <c r="K680" s="1128"/>
      <c r="L680" s="1128"/>
      <c r="M680" s="1128"/>
      <c r="N680" s="1128"/>
      <c r="O680" s="1128"/>
      <c r="P680" s="1128"/>
      <c r="Q680" s="1128"/>
      <c r="R680" s="1128"/>
      <c r="S680" s="1128"/>
      <c r="T680" s="1128"/>
      <c r="U680" s="1128"/>
      <c r="V680" s="1128"/>
      <c r="W680" s="1129"/>
      <c r="AF680" s="815"/>
      <c r="AG680" s="816"/>
      <c r="AH680" s="816"/>
    </row>
    <row r="681" spans="2:34" ht="15.75" customHeight="1" thickBot="1">
      <c r="B681" s="1153" t="s">
        <v>376</v>
      </c>
      <c r="C681" s="1154"/>
      <c r="D681" s="1154"/>
      <c r="E681" s="1154"/>
      <c r="F681" s="1154"/>
      <c r="G681" s="1154"/>
      <c r="H681" s="1154"/>
      <c r="I681" s="1154"/>
      <c r="J681" s="1154"/>
      <c r="K681" s="1154"/>
      <c r="L681" s="1154"/>
      <c r="M681" s="1154"/>
      <c r="N681" s="1154"/>
      <c r="O681" s="1154"/>
      <c r="P681" s="1154"/>
      <c r="Q681" s="1154"/>
      <c r="R681" s="1154"/>
      <c r="S681" s="1154"/>
      <c r="T681" s="1154"/>
      <c r="U681" s="1154"/>
      <c r="V681" s="1154"/>
      <c r="W681" s="1155"/>
    </row>
    <row r="682" spans="2:34" ht="12.6" customHeight="1" thickBot="1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>
      <c r="B683" s="1152" t="s">
        <v>377</v>
      </c>
      <c r="C683" s="860"/>
      <c r="D683" s="860"/>
      <c r="E683" s="860"/>
      <c r="F683" s="860"/>
      <c r="G683" s="860"/>
      <c r="H683" s="860"/>
      <c r="I683" s="860"/>
      <c r="J683" s="860"/>
      <c r="K683" s="860"/>
      <c r="L683" s="860"/>
      <c r="M683" s="860"/>
      <c r="N683" s="860"/>
      <c r="O683" s="860"/>
      <c r="P683" s="860"/>
      <c r="Q683" s="860"/>
      <c r="R683" s="860"/>
      <c r="S683" s="860"/>
      <c r="T683" s="860"/>
      <c r="U683" s="860"/>
      <c r="V683" s="860"/>
      <c r="W683" s="861"/>
    </row>
    <row r="684" spans="2:34">
      <c r="B684" s="1137" t="s">
        <v>378</v>
      </c>
      <c r="C684" s="1138"/>
      <c r="D684" s="1138"/>
      <c r="E684" s="1138"/>
      <c r="F684" s="1138"/>
      <c r="G684" s="1138"/>
      <c r="H684" s="1138"/>
      <c r="I684" s="1138"/>
      <c r="J684" s="1138"/>
      <c r="K684" s="1138"/>
      <c r="L684" s="1138"/>
      <c r="M684" s="1138"/>
      <c r="N684" s="1139"/>
      <c r="O684" s="1139"/>
      <c r="P684" s="1139"/>
      <c r="Q684" s="1139"/>
      <c r="R684" s="1139"/>
      <c r="S684" s="1139"/>
      <c r="T684" s="1139"/>
      <c r="U684" s="1139"/>
      <c r="V684" s="1139"/>
      <c r="W684" s="1140"/>
    </row>
    <row r="685" spans="2:34" ht="12.75" customHeight="1">
      <c r="B685" s="1141"/>
      <c r="C685" s="1138"/>
      <c r="D685" s="1138"/>
      <c r="E685" s="1138"/>
      <c r="F685" s="1138"/>
      <c r="G685" s="1138"/>
      <c r="H685" s="1138"/>
      <c r="I685" s="1138"/>
      <c r="J685" s="1138"/>
      <c r="K685" s="1138"/>
      <c r="L685" s="1138"/>
      <c r="M685" s="1138"/>
      <c r="N685" s="1139"/>
      <c r="O685" s="1139"/>
      <c r="P685" s="1139"/>
      <c r="Q685" s="1139"/>
      <c r="R685" s="1139"/>
      <c r="S685" s="1139"/>
      <c r="T685" s="1139"/>
      <c r="U685" s="1139"/>
      <c r="V685" s="1139"/>
      <c r="W685" s="1140"/>
    </row>
    <row r="686" spans="2:34">
      <c r="B686" s="1141"/>
      <c r="C686" s="1138"/>
      <c r="D686" s="1138"/>
      <c r="E686" s="1138"/>
      <c r="F686" s="1138"/>
      <c r="G686" s="1138"/>
      <c r="H686" s="1138"/>
      <c r="I686" s="1138"/>
      <c r="J686" s="1138"/>
      <c r="K686" s="1138"/>
      <c r="L686" s="1138"/>
      <c r="M686" s="1138"/>
      <c r="N686" s="1139"/>
      <c r="O686" s="1139"/>
      <c r="P686" s="1139"/>
      <c r="Q686" s="1139"/>
      <c r="R686" s="1139"/>
      <c r="S686" s="1139"/>
      <c r="T686" s="1139"/>
      <c r="U686" s="1139"/>
      <c r="V686" s="1139"/>
      <c r="W686" s="1140"/>
    </row>
    <row r="687" spans="2:34" ht="13.5" thickBot="1">
      <c r="B687" s="1142"/>
      <c r="C687" s="1143"/>
      <c r="D687" s="1143"/>
      <c r="E687" s="1143"/>
      <c r="F687" s="1143"/>
      <c r="G687" s="1143"/>
      <c r="H687" s="1143"/>
      <c r="I687" s="1143"/>
      <c r="J687" s="1143"/>
      <c r="K687" s="1143"/>
      <c r="L687" s="1143"/>
      <c r="M687" s="1143"/>
      <c r="N687" s="1144"/>
      <c r="O687" s="1144"/>
      <c r="P687" s="1144"/>
      <c r="Q687" s="1144"/>
      <c r="R687" s="1144"/>
      <c r="S687" s="1144"/>
      <c r="T687" s="1144"/>
      <c r="U687" s="1144"/>
      <c r="V687" s="1144"/>
      <c r="W687" s="1145"/>
    </row>
    <row r="688" spans="2:34" ht="12.6" customHeight="1" thickBot="1">
      <c r="B688" s="240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1"/>
      <c r="N688" s="69"/>
      <c r="O688" s="69"/>
      <c r="P688" s="69"/>
      <c r="Q688" s="69"/>
      <c r="R688" s="69"/>
      <c r="S688" s="69"/>
      <c r="T688" s="69"/>
      <c r="U688" s="69"/>
      <c r="V688" s="69"/>
      <c r="W688" s="69"/>
    </row>
    <row r="689" spans="2:26">
      <c r="B689" s="1146" t="s">
        <v>379</v>
      </c>
      <c r="C689" s="1147"/>
      <c r="D689" s="1147"/>
      <c r="E689" s="1147"/>
      <c r="F689" s="1147"/>
      <c r="G689" s="1147"/>
      <c r="H689" s="1147"/>
      <c r="I689" s="1147"/>
      <c r="J689" s="1147"/>
      <c r="K689" s="1147"/>
      <c r="L689" s="1147"/>
      <c r="M689" s="1147"/>
      <c r="N689" s="1147"/>
      <c r="O689" s="1147"/>
      <c r="P689" s="1147"/>
      <c r="Q689" s="1147"/>
      <c r="R689" s="1147"/>
      <c r="S689" s="1147"/>
      <c r="T689" s="1147"/>
      <c r="U689" s="1147"/>
      <c r="V689" s="1147"/>
      <c r="W689" s="1148"/>
    </row>
    <row r="690" spans="2:26" ht="13.5" thickBot="1">
      <c r="B690" s="1149"/>
      <c r="C690" s="1150"/>
      <c r="D690" s="1150"/>
      <c r="E690" s="1150"/>
      <c r="F690" s="1150"/>
      <c r="G690" s="1150"/>
      <c r="H690" s="1150"/>
      <c r="I690" s="1150"/>
      <c r="J690" s="1150"/>
      <c r="K690" s="1150"/>
      <c r="L690" s="1150"/>
      <c r="M690" s="1150"/>
      <c r="N690" s="1150"/>
      <c r="O690" s="1150"/>
      <c r="P690" s="1150"/>
      <c r="Q690" s="1150"/>
      <c r="R690" s="1150"/>
      <c r="S690" s="1150"/>
      <c r="T690" s="1150"/>
      <c r="U690" s="1150"/>
      <c r="V690" s="1150"/>
      <c r="W690" s="1151"/>
    </row>
    <row r="691" spans="2:26" ht="13.5" thickBot="1">
      <c r="B691" s="1130" t="s">
        <v>380</v>
      </c>
      <c r="C691" s="1131"/>
      <c r="D691" s="1131"/>
      <c r="E691" s="1131"/>
      <c r="F691" s="1131"/>
      <c r="G691" s="1131"/>
      <c r="H691" s="1131"/>
      <c r="I691" s="1131"/>
      <c r="J691" s="1131"/>
      <c r="K691" s="1131"/>
      <c r="L691" s="1131"/>
      <c r="M691" s="1131"/>
      <c r="N691" s="1131"/>
      <c r="O691" s="1131"/>
      <c r="P691" s="1131"/>
      <c r="Q691" s="1131"/>
      <c r="R691" s="1131"/>
      <c r="S691" s="1131"/>
      <c r="T691" s="1131"/>
      <c r="U691" s="1131"/>
      <c r="V691" s="1131"/>
      <c r="W691" s="1132"/>
    </row>
    <row r="692" spans="2:26" ht="12.6" customHeight="1" thickBot="1">
      <c r="B692" s="285"/>
      <c r="C692" s="285"/>
      <c r="D692" s="285"/>
      <c r="E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72"/>
    </row>
    <row r="693" spans="2:26" ht="12.75" customHeight="1" thickBot="1">
      <c r="B693" s="1102" t="s">
        <v>381</v>
      </c>
      <c r="C693" s="1103"/>
      <c r="D693" s="1103"/>
      <c r="E693" s="1103"/>
      <c r="F693" s="1103"/>
      <c r="G693" s="1103"/>
      <c r="H693" s="1103"/>
      <c r="I693" s="1103"/>
      <c r="J693" s="1103"/>
      <c r="K693" s="1103"/>
      <c r="L693" s="1103"/>
      <c r="M693" s="1103"/>
      <c r="N693" s="1103"/>
      <c r="O693" s="1103"/>
      <c r="P693" s="1103"/>
      <c r="Q693" s="1103"/>
      <c r="R693" s="1103"/>
      <c r="S693" s="1103"/>
      <c r="T693" s="1103"/>
      <c r="U693" s="1103"/>
      <c r="V693" s="1103"/>
      <c r="W693" s="1104"/>
    </row>
    <row r="694" spans="2:26" ht="15" customHeight="1" thickBot="1">
      <c r="B694" s="1102" t="s">
        <v>455</v>
      </c>
      <c r="C694" s="1103"/>
      <c r="D694" s="1103"/>
      <c r="E694" s="1103"/>
      <c r="F694" s="1103"/>
      <c r="G694" s="1103"/>
      <c r="H694" s="1103"/>
      <c r="I694" s="1103"/>
      <c r="J694" s="1103"/>
      <c r="K694" s="1103"/>
      <c r="L694" s="1103"/>
      <c r="M694" s="1103"/>
      <c r="N694" s="1103"/>
      <c r="O694" s="1103"/>
      <c r="P694" s="1103"/>
      <c r="Q694" s="1103"/>
      <c r="R694" s="1103"/>
      <c r="S694" s="1103"/>
      <c r="T694" s="1103"/>
      <c r="U694" s="1103"/>
      <c r="V694" s="1103"/>
      <c r="W694" s="1104"/>
    </row>
    <row r="695" spans="2:26" ht="90" customHeight="1" thickBot="1">
      <c r="B695" s="1133"/>
      <c r="C695" s="1134"/>
      <c r="D695" s="1134"/>
      <c r="E695" s="1134"/>
      <c r="F695" s="1134"/>
      <c r="G695" s="1134"/>
      <c r="H695" s="1134"/>
      <c r="I695" s="1134"/>
      <c r="J695" s="1134"/>
      <c r="K695" s="1135"/>
      <c r="L695" s="1135"/>
      <c r="M695" s="1135"/>
      <c r="N695" s="1135"/>
      <c r="O695" s="1135"/>
      <c r="P695" s="1135"/>
      <c r="Q695" s="1135"/>
      <c r="R695" s="1135"/>
      <c r="S695" s="1135"/>
      <c r="T695" s="1135"/>
      <c r="U695" s="1135"/>
      <c r="V695" s="1135"/>
      <c r="W695" s="1136"/>
    </row>
    <row r="696" spans="2:26" ht="12.6" customHeight="1" thickBot="1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8"/>
    </row>
    <row r="697" spans="2:26" ht="8.25" customHeight="1">
      <c r="B697" s="1111" t="s">
        <v>382</v>
      </c>
      <c r="C697" s="1112"/>
      <c r="D697" s="1112"/>
      <c r="E697" s="1112"/>
      <c r="F697" s="1112"/>
      <c r="G697" s="1112"/>
      <c r="H697" s="1112"/>
      <c r="I697" s="1112"/>
      <c r="J697" s="1112"/>
      <c r="K697" s="1113"/>
      <c r="L697" s="1113"/>
      <c r="M697" s="1113"/>
      <c r="N697" s="1113"/>
      <c r="O697" s="1113"/>
      <c r="P697" s="1113"/>
      <c r="Q697" s="1113"/>
      <c r="R697" s="1113"/>
      <c r="S697" s="1113"/>
      <c r="T697" s="1113"/>
      <c r="U697" s="1113"/>
      <c r="V697" s="1113"/>
      <c r="W697" s="1114"/>
    </row>
    <row r="698" spans="2:26" ht="12.75" customHeight="1">
      <c r="B698" s="1115"/>
      <c r="C698" s="1116"/>
      <c r="D698" s="1116"/>
      <c r="E698" s="1116"/>
      <c r="F698" s="1116"/>
      <c r="G698" s="1116"/>
      <c r="H698" s="1116"/>
      <c r="I698" s="1116"/>
      <c r="J698" s="1116"/>
      <c r="K698" s="1117"/>
      <c r="L698" s="1117"/>
      <c r="M698" s="1117"/>
      <c r="N698" s="1117"/>
      <c r="O698" s="1117"/>
      <c r="P698" s="1117"/>
      <c r="Q698" s="1117"/>
      <c r="R698" s="1117"/>
      <c r="S698" s="1117"/>
      <c r="T698" s="1117"/>
      <c r="U698" s="1117"/>
      <c r="V698" s="1117"/>
      <c r="W698" s="1118"/>
    </row>
    <row r="699" spans="2:26">
      <c r="B699" s="1119"/>
      <c r="C699" s="1120"/>
      <c r="D699" s="1120"/>
      <c r="E699" s="1120"/>
      <c r="F699" s="1120"/>
      <c r="G699" s="1120"/>
      <c r="H699" s="1120"/>
      <c r="I699" s="1120"/>
      <c r="J699" s="1120"/>
      <c r="K699" s="1117"/>
      <c r="L699" s="1117"/>
      <c r="M699" s="1117"/>
      <c r="N699" s="1117"/>
      <c r="O699" s="1117"/>
      <c r="P699" s="1117"/>
      <c r="Q699" s="1117"/>
      <c r="R699" s="1117"/>
      <c r="S699" s="1117"/>
      <c r="T699" s="1117"/>
      <c r="U699" s="1117"/>
      <c r="V699" s="1117"/>
      <c r="W699" s="1118"/>
    </row>
    <row r="700" spans="2:26">
      <c r="B700" s="1119"/>
      <c r="C700" s="1120"/>
      <c r="D700" s="1120"/>
      <c r="E700" s="1120"/>
      <c r="F700" s="1120"/>
      <c r="G700" s="1120"/>
      <c r="H700" s="1120"/>
      <c r="I700" s="1120"/>
      <c r="J700" s="1120"/>
      <c r="K700" s="1117"/>
      <c r="L700" s="1117"/>
      <c r="M700" s="1117"/>
      <c r="N700" s="1117"/>
      <c r="O700" s="1117"/>
      <c r="P700" s="1117"/>
      <c r="Q700" s="1117"/>
      <c r="R700" s="1117"/>
      <c r="S700" s="1117"/>
      <c r="T700" s="1117"/>
      <c r="U700" s="1117"/>
      <c r="V700" s="1117"/>
      <c r="W700" s="1118"/>
    </row>
    <row r="701" spans="2:26">
      <c r="B701" s="1119"/>
      <c r="C701" s="1120"/>
      <c r="D701" s="1120"/>
      <c r="E701" s="1120"/>
      <c r="F701" s="1120"/>
      <c r="G701" s="1120"/>
      <c r="H701" s="1120"/>
      <c r="I701" s="1120"/>
      <c r="J701" s="1120"/>
      <c r="K701" s="1117"/>
      <c r="L701" s="1117"/>
      <c r="M701" s="1117"/>
      <c r="N701" s="1117"/>
      <c r="O701" s="1117"/>
      <c r="P701" s="1117"/>
      <c r="Q701" s="1117"/>
      <c r="R701" s="1117"/>
      <c r="S701" s="1117"/>
      <c r="T701" s="1117"/>
      <c r="U701" s="1117"/>
      <c r="V701" s="1117"/>
      <c r="W701" s="1118"/>
    </row>
    <row r="702" spans="2:26">
      <c r="B702" s="1119"/>
      <c r="C702" s="1120"/>
      <c r="D702" s="1120"/>
      <c r="E702" s="1120"/>
      <c r="F702" s="1120"/>
      <c r="G702" s="1120"/>
      <c r="H702" s="1120"/>
      <c r="I702" s="1120"/>
      <c r="J702" s="1120"/>
      <c r="K702" s="1117"/>
      <c r="L702" s="1117"/>
      <c r="M702" s="1117"/>
      <c r="N702" s="1117"/>
      <c r="O702" s="1117"/>
      <c r="P702" s="1117"/>
      <c r="Q702" s="1117"/>
      <c r="R702" s="1117"/>
      <c r="S702" s="1117"/>
      <c r="T702" s="1117"/>
      <c r="U702" s="1117"/>
      <c r="V702" s="1117"/>
      <c r="W702" s="1118"/>
    </row>
    <row r="703" spans="2:26">
      <c r="B703" s="1121"/>
      <c r="C703" s="1122"/>
      <c r="D703" s="1122"/>
      <c r="E703" s="1122"/>
      <c r="F703" s="1122"/>
      <c r="G703" s="1122"/>
      <c r="H703" s="1122"/>
      <c r="I703" s="1122"/>
      <c r="J703" s="1122"/>
      <c r="K703" s="1122"/>
      <c r="L703" s="1122"/>
      <c r="M703" s="1122"/>
      <c r="N703" s="1122"/>
      <c r="O703" s="1122"/>
      <c r="P703" s="1122"/>
      <c r="Q703" s="1122"/>
      <c r="R703" s="1122"/>
      <c r="S703" s="1122"/>
      <c r="T703" s="1122"/>
      <c r="U703" s="1122"/>
      <c r="V703" s="1122"/>
      <c r="W703" s="1123"/>
    </row>
    <row r="704" spans="2:26" ht="13.5" thickBot="1">
      <c r="B704" s="1124"/>
      <c r="C704" s="1125"/>
      <c r="D704" s="1125"/>
      <c r="E704" s="1125"/>
      <c r="F704" s="1125"/>
      <c r="G704" s="1125"/>
      <c r="H704" s="1125"/>
      <c r="I704" s="1125"/>
      <c r="J704" s="1125"/>
      <c r="K704" s="1125"/>
      <c r="L704" s="1125"/>
      <c r="M704" s="1125"/>
      <c r="N704" s="1125"/>
      <c r="O704" s="1125"/>
      <c r="P704" s="1125"/>
      <c r="Q704" s="1125"/>
      <c r="R704" s="1125"/>
      <c r="S704" s="1125"/>
      <c r="T704" s="1125"/>
      <c r="U704" s="1125"/>
      <c r="V704" s="1125"/>
      <c r="W704" s="1126"/>
    </row>
    <row r="705" spans="2:23" ht="12.6" customHeight="1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>
      <c r="B706" s="1099" t="s">
        <v>383</v>
      </c>
      <c r="C706" s="1100"/>
      <c r="D706" s="1100"/>
      <c r="E706" s="1100"/>
      <c r="F706" s="1100"/>
      <c r="G706" s="1100"/>
      <c r="H706" s="1100"/>
      <c r="I706" s="1100"/>
      <c r="J706" s="1100"/>
      <c r="K706" s="1100"/>
      <c r="L706" s="1100"/>
      <c r="M706" s="1100"/>
      <c r="N706" s="1100"/>
      <c r="O706" s="1100"/>
      <c r="P706" s="1100"/>
      <c r="Q706" s="1100"/>
      <c r="R706" s="1100"/>
      <c r="S706" s="1100"/>
      <c r="T706" s="1100"/>
      <c r="U706" s="1100"/>
      <c r="V706" s="1100"/>
      <c r="W706" s="1101"/>
    </row>
    <row r="707" spans="2:23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>
      <c r="E1117" s="1"/>
      <c r="F1117" s="1"/>
      <c r="H1117" s="1"/>
      <c r="I1117" s="1"/>
      <c r="J1117" s="1"/>
      <c r="K1117" s="1"/>
    </row>
    <row r="1118" spans="2:23">
      <c r="E1118" s="1"/>
      <c r="F1118" s="1"/>
      <c r="H1118" s="1"/>
      <c r="I1118" s="1"/>
      <c r="J1118" s="1"/>
      <c r="K1118" s="1"/>
    </row>
    <row r="1119" spans="2:23">
      <c r="E1119" s="1"/>
      <c r="F1119" s="1"/>
      <c r="H1119" s="1"/>
      <c r="I1119" s="1"/>
      <c r="J1119" s="1"/>
      <c r="K1119" s="1"/>
    </row>
    <row r="1120" spans="2:23">
      <c r="E1120" s="1"/>
      <c r="F1120" s="1"/>
      <c r="H1120" s="1"/>
      <c r="I1120" s="1"/>
      <c r="J1120" s="1"/>
      <c r="K1120" s="1"/>
    </row>
    <row r="1121" spans="5:11">
      <c r="E1121" s="1"/>
      <c r="F1121" s="1"/>
      <c r="H1121" s="1"/>
      <c r="I1121" s="1"/>
      <c r="J1121" s="1"/>
      <c r="K1121" s="1"/>
    </row>
    <row r="1122" spans="5:11">
      <c r="E1122" s="1"/>
      <c r="F1122" s="1"/>
      <c r="H1122" s="1"/>
      <c r="I1122" s="1"/>
      <c r="J1122" s="1"/>
      <c r="K1122" s="1"/>
    </row>
    <row r="1123" spans="5:11">
      <c r="E1123" s="1"/>
      <c r="F1123" s="1"/>
      <c r="H1123" s="1"/>
      <c r="I1123" s="1"/>
      <c r="J1123" s="1"/>
      <c r="K1123" s="1"/>
    </row>
    <row r="1124" spans="5:11">
      <c r="E1124" s="1"/>
      <c r="F1124" s="1"/>
      <c r="H1124" s="1"/>
      <c r="I1124" s="1"/>
      <c r="J1124" s="1"/>
      <c r="K1124" s="1"/>
    </row>
    <row r="1125" spans="5:11">
      <c r="E1125" s="1"/>
      <c r="F1125" s="1"/>
      <c r="H1125" s="1"/>
      <c r="I1125" s="1"/>
      <c r="J1125" s="1"/>
      <c r="K1125" s="1"/>
    </row>
    <row r="1126" spans="5:11">
      <c r="E1126" s="1"/>
      <c r="F1126" s="1"/>
      <c r="H1126" s="1"/>
      <c r="I1126" s="1"/>
      <c r="J1126" s="1"/>
      <c r="K1126" s="1"/>
    </row>
    <row r="1127" spans="5:11">
      <c r="E1127" s="1"/>
      <c r="F1127" s="1"/>
      <c r="H1127" s="1"/>
      <c r="I1127" s="1"/>
      <c r="J1127" s="1"/>
      <c r="K1127" s="1"/>
    </row>
    <row r="1128" spans="5:11">
      <c r="E1128" s="1"/>
      <c r="F1128" s="1"/>
      <c r="H1128" s="1"/>
      <c r="I1128" s="1"/>
      <c r="J1128" s="1"/>
      <c r="K1128" s="1"/>
    </row>
    <row r="1129" spans="5:11">
      <c r="E1129" s="1"/>
      <c r="F1129" s="1"/>
      <c r="H1129" s="1"/>
      <c r="I1129" s="1"/>
      <c r="J1129" s="1"/>
      <c r="K1129" s="1"/>
    </row>
    <row r="1130" spans="5:11">
      <c r="E1130" s="1"/>
      <c r="F1130" s="1"/>
      <c r="H1130" s="1"/>
      <c r="I1130" s="1"/>
      <c r="J1130" s="1"/>
      <c r="K1130" s="1"/>
    </row>
    <row r="1131" spans="5:11">
      <c r="E1131" s="1"/>
      <c r="F1131" s="1"/>
      <c r="H1131" s="1"/>
      <c r="I1131" s="1"/>
      <c r="J1131" s="1"/>
      <c r="K1131" s="1"/>
    </row>
    <row r="1132" spans="5:11">
      <c r="E1132" s="1"/>
      <c r="F1132" s="1"/>
      <c r="H1132" s="1"/>
      <c r="I1132" s="1"/>
      <c r="J1132" s="1"/>
      <c r="K1132" s="1"/>
    </row>
    <row r="1133" spans="5:11">
      <c r="E1133" s="1"/>
      <c r="F1133" s="1"/>
      <c r="H1133" s="1"/>
      <c r="I1133" s="1"/>
      <c r="J1133" s="1"/>
      <c r="K1133" s="1"/>
    </row>
    <row r="1134" spans="5:11">
      <c r="E1134" s="1"/>
      <c r="F1134" s="1"/>
      <c r="H1134" s="1"/>
      <c r="I1134" s="1"/>
      <c r="J1134" s="1"/>
      <c r="K1134" s="1"/>
    </row>
    <row r="1135" spans="5:11">
      <c r="E1135" s="1"/>
      <c r="F1135" s="1"/>
      <c r="H1135" s="1"/>
      <c r="I1135" s="1"/>
      <c r="J1135" s="1"/>
      <c r="K1135" s="1"/>
    </row>
    <row r="1136" spans="5:11">
      <c r="E1136" s="1"/>
      <c r="F1136" s="1"/>
      <c r="H1136" s="1"/>
      <c r="I1136" s="1"/>
      <c r="J1136" s="1"/>
      <c r="K1136" s="1"/>
    </row>
    <row r="1137" spans="5:11">
      <c r="E1137" s="1"/>
      <c r="F1137" s="1"/>
      <c r="H1137" s="1"/>
      <c r="I1137" s="1"/>
      <c r="J1137" s="1"/>
      <c r="K1137" s="1"/>
    </row>
    <row r="1138" spans="5:11">
      <c r="E1138" s="1"/>
      <c r="F1138" s="1"/>
      <c r="H1138" s="1"/>
      <c r="I1138" s="1"/>
      <c r="J1138" s="1"/>
      <c r="K1138" s="1"/>
    </row>
    <row r="1139" spans="5:11">
      <c r="E1139" s="1"/>
      <c r="F1139" s="1"/>
      <c r="H1139" s="1"/>
      <c r="I1139" s="1"/>
      <c r="J1139" s="1"/>
      <c r="K1139" s="1"/>
    </row>
    <row r="1140" spans="5:11">
      <c r="E1140" s="1"/>
      <c r="F1140" s="1"/>
      <c r="H1140" s="1"/>
      <c r="I1140" s="1"/>
      <c r="J1140" s="1"/>
      <c r="K1140" s="1"/>
    </row>
    <row r="1141" spans="5:11">
      <c r="E1141" s="1"/>
      <c r="F1141" s="1"/>
      <c r="H1141" s="1"/>
      <c r="I1141" s="1"/>
      <c r="J1141" s="1"/>
      <c r="K1141" s="1"/>
    </row>
    <row r="1142" spans="5:11">
      <c r="E1142" s="1"/>
      <c r="F1142" s="1"/>
      <c r="H1142" s="1"/>
      <c r="I1142" s="1"/>
      <c r="J1142" s="1"/>
      <c r="K1142" s="1"/>
    </row>
    <row r="1143" spans="5:11">
      <c r="E1143" s="1"/>
      <c r="F1143" s="1"/>
      <c r="H1143" s="1"/>
      <c r="I1143" s="1"/>
      <c r="J1143" s="1"/>
      <c r="K1143" s="1"/>
    </row>
    <row r="1144" spans="5:11">
      <c r="E1144" s="1"/>
      <c r="F1144" s="1"/>
      <c r="H1144" s="1"/>
      <c r="I1144" s="1"/>
      <c r="J1144" s="1"/>
      <c r="K1144" s="1"/>
    </row>
    <row r="1145" spans="5:11">
      <c r="E1145" s="1"/>
      <c r="F1145" s="1"/>
      <c r="H1145" s="1"/>
      <c r="I1145" s="1"/>
      <c r="J1145" s="1"/>
      <c r="K1145" s="1"/>
    </row>
    <row r="1146" spans="5:11">
      <c r="E1146" s="1"/>
      <c r="F1146" s="1"/>
      <c r="H1146" s="1"/>
      <c r="I1146" s="1"/>
      <c r="J1146" s="1"/>
      <c r="K1146" s="1"/>
    </row>
    <row r="1147" spans="5:11">
      <c r="E1147" s="1"/>
      <c r="F1147" s="1"/>
      <c r="H1147" s="1"/>
      <c r="I1147" s="1"/>
      <c r="J1147" s="1"/>
      <c r="K1147" s="1"/>
    </row>
    <row r="1148" spans="5:11">
      <c r="E1148" s="1"/>
      <c r="F1148" s="1"/>
      <c r="H1148" s="1"/>
      <c r="I1148" s="1"/>
      <c r="J1148" s="1"/>
      <c r="K1148" s="1"/>
    </row>
    <row r="1149" spans="5:11">
      <c r="E1149" s="1"/>
      <c r="F1149" s="1"/>
      <c r="H1149" s="1"/>
      <c r="I1149" s="1"/>
      <c r="J1149" s="1"/>
      <c r="K1149" s="1"/>
    </row>
    <row r="1150" spans="5:11">
      <c r="E1150" s="1"/>
      <c r="F1150" s="1"/>
      <c r="H1150" s="1"/>
      <c r="I1150" s="1"/>
      <c r="J1150" s="1"/>
      <c r="K1150" s="1"/>
    </row>
    <row r="1151" spans="5:11">
      <c r="E1151" s="1"/>
      <c r="F1151" s="1"/>
      <c r="H1151" s="1"/>
      <c r="I1151" s="1"/>
      <c r="J1151" s="1"/>
      <c r="K1151" s="1"/>
    </row>
    <row r="1152" spans="5:11">
      <c r="E1152" s="1"/>
      <c r="F1152" s="1"/>
      <c r="H1152" s="1"/>
      <c r="I1152" s="1"/>
      <c r="J1152" s="1"/>
      <c r="K1152" s="1"/>
    </row>
    <row r="1153" spans="5:11">
      <c r="E1153" s="1"/>
      <c r="F1153" s="1"/>
      <c r="H1153" s="1"/>
      <c r="I1153" s="1"/>
      <c r="J1153" s="1"/>
      <c r="K1153" s="1"/>
    </row>
    <row r="1154" spans="5:11">
      <c r="E1154" s="1"/>
      <c r="F1154" s="1"/>
      <c r="H1154" s="1"/>
      <c r="I1154" s="1"/>
      <c r="J1154" s="1"/>
      <c r="K1154" s="1"/>
    </row>
    <row r="1155" spans="5:11">
      <c r="E1155" s="1"/>
      <c r="F1155" s="1"/>
      <c r="H1155" s="1"/>
      <c r="I1155" s="1"/>
      <c r="J1155" s="1"/>
      <c r="K1155" s="1"/>
    </row>
    <row r="1156" spans="5:11">
      <c r="E1156" s="1"/>
      <c r="F1156" s="1"/>
      <c r="H1156" s="1"/>
      <c r="I1156" s="1"/>
      <c r="J1156" s="1"/>
      <c r="K1156" s="1"/>
    </row>
    <row r="1157" spans="5:11">
      <c r="E1157" s="1"/>
      <c r="F1157" s="1"/>
      <c r="H1157" s="1"/>
      <c r="I1157" s="1"/>
      <c r="J1157" s="1"/>
      <c r="K1157" s="1"/>
    </row>
    <row r="1158" spans="5:11">
      <c r="E1158" s="1"/>
      <c r="F1158" s="1"/>
      <c r="H1158" s="1"/>
      <c r="I1158" s="1"/>
      <c r="J1158" s="1"/>
      <c r="K1158" s="1"/>
    </row>
    <row r="1159" spans="5:11">
      <c r="E1159" s="1"/>
      <c r="F1159" s="1"/>
      <c r="H1159" s="1"/>
      <c r="I1159" s="1"/>
      <c r="J1159" s="1"/>
      <c r="K1159" s="1"/>
    </row>
    <row r="1160" spans="5:11">
      <c r="E1160" s="1"/>
      <c r="F1160" s="1"/>
      <c r="H1160" s="1"/>
      <c r="I1160" s="1"/>
      <c r="J1160" s="1"/>
      <c r="K1160" s="1"/>
    </row>
    <row r="1161" spans="5:11">
      <c r="E1161" s="1"/>
      <c r="F1161" s="1"/>
      <c r="H1161" s="1"/>
      <c r="I1161" s="1"/>
      <c r="J1161" s="1"/>
      <c r="K1161" s="1"/>
    </row>
    <row r="1162" spans="5:11">
      <c r="E1162" s="1"/>
      <c r="F1162" s="1"/>
      <c r="H1162" s="1"/>
      <c r="I1162" s="1"/>
      <c r="J1162" s="1"/>
      <c r="K1162" s="1"/>
    </row>
    <row r="1163" spans="5:11">
      <c r="E1163" s="1"/>
      <c r="F1163" s="1"/>
      <c r="H1163" s="1"/>
      <c r="I1163" s="1"/>
      <c r="J1163" s="1"/>
      <c r="K1163" s="1"/>
    </row>
    <row r="1164" spans="5:11">
      <c r="E1164" s="1"/>
      <c r="F1164" s="1"/>
      <c r="H1164" s="1"/>
      <c r="I1164" s="1"/>
      <c r="J1164" s="1"/>
      <c r="K1164" s="1"/>
    </row>
    <row r="1165" spans="5:11">
      <c r="E1165" s="1"/>
      <c r="F1165" s="1"/>
      <c r="H1165" s="1"/>
      <c r="I1165" s="1"/>
      <c r="J1165" s="1"/>
      <c r="K1165" s="1"/>
    </row>
    <row r="1166" spans="5:11">
      <c r="E1166" s="1"/>
      <c r="F1166" s="1"/>
      <c r="H1166" s="1"/>
      <c r="I1166" s="1"/>
      <c r="J1166" s="1"/>
      <c r="K1166" s="1"/>
    </row>
    <row r="1167" spans="5:11">
      <c r="E1167" s="1"/>
      <c r="F1167" s="1"/>
      <c r="H1167" s="1"/>
      <c r="I1167" s="1"/>
      <c r="J1167" s="1"/>
      <c r="K1167" s="1"/>
    </row>
    <row r="1168" spans="5:11">
      <c r="E1168" s="1"/>
      <c r="F1168" s="1"/>
      <c r="H1168" s="1"/>
      <c r="I1168" s="1"/>
      <c r="J1168" s="1"/>
      <c r="K1168" s="1"/>
    </row>
    <row r="1169" spans="5:11">
      <c r="E1169" s="1"/>
      <c r="F1169" s="1"/>
      <c r="H1169" s="1"/>
      <c r="I1169" s="1"/>
      <c r="J1169" s="1"/>
      <c r="K1169" s="1"/>
    </row>
    <row r="1170" spans="5:11">
      <c r="E1170" s="1"/>
      <c r="F1170" s="1"/>
      <c r="H1170" s="1"/>
      <c r="I1170" s="1"/>
      <c r="J1170" s="1"/>
      <c r="K1170" s="1"/>
    </row>
    <row r="1171" spans="5:11">
      <c r="E1171" s="1"/>
      <c r="F1171" s="1"/>
      <c r="H1171" s="1"/>
      <c r="I1171" s="1"/>
      <c r="J1171" s="1"/>
      <c r="K1171" s="1"/>
    </row>
    <row r="1172" spans="5:11">
      <c r="E1172" s="1"/>
      <c r="F1172" s="1"/>
      <c r="H1172" s="1"/>
      <c r="I1172" s="1"/>
      <c r="J1172" s="1"/>
      <c r="K1172" s="1"/>
    </row>
    <row r="1173" spans="5:11">
      <c r="E1173" s="1"/>
      <c r="F1173" s="1"/>
      <c r="H1173" s="1"/>
      <c r="I1173" s="1"/>
      <c r="J1173" s="1"/>
      <c r="K1173" s="1"/>
    </row>
    <row r="1174" spans="5:11">
      <c r="E1174" s="1"/>
      <c r="F1174" s="1"/>
      <c r="H1174" s="1"/>
      <c r="I1174" s="1"/>
      <c r="J1174" s="1"/>
      <c r="K1174" s="1"/>
    </row>
    <row r="1175" spans="5:11">
      <c r="E1175" s="1"/>
      <c r="F1175" s="1"/>
      <c r="H1175" s="1"/>
      <c r="I1175" s="1"/>
      <c r="J1175" s="1"/>
      <c r="K1175" s="1"/>
    </row>
    <row r="1176" spans="5:11">
      <c r="E1176" s="1"/>
      <c r="F1176" s="1"/>
      <c r="H1176" s="1"/>
      <c r="I1176" s="1"/>
      <c r="J1176" s="1"/>
      <c r="K1176" s="1"/>
    </row>
    <row r="1177" spans="5:11">
      <c r="E1177" s="1"/>
      <c r="F1177" s="1"/>
      <c r="H1177" s="1"/>
      <c r="I1177" s="1"/>
      <c r="J1177" s="1"/>
      <c r="K1177" s="1"/>
    </row>
    <row r="1178" spans="5:11">
      <c r="E1178" s="1"/>
      <c r="F1178" s="1"/>
      <c r="H1178" s="1"/>
      <c r="I1178" s="1"/>
      <c r="J1178" s="1"/>
      <c r="K1178" s="1"/>
    </row>
    <row r="1179" spans="5:11">
      <c r="E1179" s="1"/>
      <c r="F1179" s="1"/>
      <c r="H1179" s="1"/>
      <c r="I1179" s="1"/>
      <c r="J1179" s="1"/>
      <c r="K1179" s="1"/>
    </row>
    <row r="1180" spans="5:11">
      <c r="E1180" s="1"/>
      <c r="F1180" s="1"/>
      <c r="H1180" s="1"/>
      <c r="I1180" s="1"/>
      <c r="J1180" s="1"/>
      <c r="K1180" s="1"/>
    </row>
    <row r="1181" spans="5:11">
      <c r="E1181" s="1"/>
      <c r="F1181" s="1"/>
      <c r="H1181" s="1"/>
      <c r="I1181" s="1"/>
      <c r="J1181" s="1"/>
      <c r="K1181" s="1"/>
    </row>
    <row r="1182" spans="5:11">
      <c r="E1182" s="1"/>
      <c r="F1182" s="1"/>
      <c r="H1182" s="1"/>
      <c r="I1182" s="1"/>
      <c r="J1182" s="1"/>
      <c r="K1182" s="1"/>
    </row>
    <row r="1183" spans="5:11">
      <c r="E1183" s="1"/>
      <c r="F1183" s="1"/>
      <c r="H1183" s="1"/>
      <c r="I1183" s="1"/>
      <c r="J1183" s="1"/>
      <c r="K1183" s="1"/>
    </row>
    <row r="1184" spans="5:11">
      <c r="E1184" s="1"/>
      <c r="F1184" s="1"/>
      <c r="H1184" s="1"/>
      <c r="I1184" s="1"/>
      <c r="J1184" s="1"/>
      <c r="K1184" s="1"/>
    </row>
    <row r="1185" spans="5:11">
      <c r="E1185" s="1"/>
      <c r="F1185" s="1"/>
      <c r="H1185" s="1"/>
      <c r="I1185" s="1"/>
      <c r="J1185" s="1"/>
      <c r="K1185" s="1"/>
    </row>
    <row r="1186" spans="5:11">
      <c r="E1186" s="1"/>
      <c r="F1186" s="1"/>
      <c r="H1186" s="1"/>
      <c r="I1186" s="1"/>
      <c r="J1186" s="1"/>
      <c r="K1186" s="1"/>
    </row>
    <row r="1187" spans="5:11">
      <c r="E1187" s="1"/>
      <c r="F1187" s="1"/>
      <c r="H1187" s="1"/>
      <c r="I1187" s="1"/>
      <c r="J1187" s="1"/>
      <c r="K1187" s="1"/>
    </row>
    <row r="1188" spans="5:11">
      <c r="E1188" s="1"/>
      <c r="F1188" s="1"/>
      <c r="H1188" s="1"/>
      <c r="I1188" s="1"/>
      <c r="J1188" s="1"/>
      <c r="K1188" s="1"/>
    </row>
    <row r="1189" spans="5:11">
      <c r="E1189" s="1"/>
      <c r="F1189" s="1"/>
      <c r="H1189" s="1"/>
      <c r="I1189" s="1"/>
      <c r="J1189" s="1"/>
      <c r="K1189" s="1"/>
    </row>
    <row r="1190" spans="5:11">
      <c r="E1190" s="1"/>
      <c r="F1190" s="1"/>
      <c r="H1190" s="1"/>
      <c r="I1190" s="1"/>
      <c r="J1190" s="1"/>
      <c r="K1190" s="1"/>
    </row>
    <row r="1191" spans="5:11">
      <c r="E1191" s="1"/>
      <c r="F1191" s="1"/>
      <c r="H1191" s="1"/>
      <c r="I1191" s="1"/>
      <c r="J1191" s="1"/>
      <c r="K1191" s="1"/>
    </row>
    <row r="1192" spans="5:11">
      <c r="E1192" s="1"/>
      <c r="F1192" s="1"/>
      <c r="H1192" s="1"/>
      <c r="I1192" s="1"/>
      <c r="J1192" s="1"/>
      <c r="K1192" s="1"/>
    </row>
    <row r="1193" spans="5:11">
      <c r="E1193" s="1"/>
      <c r="F1193" s="1"/>
      <c r="H1193" s="1"/>
      <c r="I1193" s="1"/>
      <c r="J1193" s="1"/>
      <c r="K1193" s="1"/>
    </row>
    <row r="1194" spans="5:11">
      <c r="E1194" s="1"/>
      <c r="F1194" s="1"/>
      <c r="H1194" s="1"/>
      <c r="I1194" s="1"/>
      <c r="J1194" s="1"/>
      <c r="K1194" s="1"/>
    </row>
    <row r="1195" spans="5:11">
      <c r="E1195" s="1"/>
      <c r="F1195" s="1"/>
      <c r="H1195" s="1"/>
      <c r="I1195" s="1"/>
      <c r="J1195" s="1"/>
      <c r="K1195" s="1"/>
    </row>
    <row r="1196" spans="5:11">
      <c r="E1196" s="1"/>
      <c r="F1196" s="1"/>
      <c r="H1196" s="1"/>
      <c r="I1196" s="1"/>
      <c r="J1196" s="1"/>
      <c r="K1196" s="1"/>
    </row>
    <row r="1197" spans="5:11">
      <c r="E1197" s="1"/>
      <c r="F1197" s="1"/>
      <c r="H1197" s="1"/>
      <c r="I1197" s="1"/>
      <c r="J1197" s="1"/>
      <c r="K1197" s="1"/>
    </row>
    <row r="1198" spans="5:11">
      <c r="E1198" s="1"/>
      <c r="F1198" s="1"/>
      <c r="H1198" s="1"/>
      <c r="I1198" s="1"/>
      <c r="J1198" s="1"/>
      <c r="K1198" s="1"/>
    </row>
    <row r="1199" spans="5:11">
      <c r="E1199" s="1"/>
      <c r="F1199" s="1"/>
      <c r="H1199" s="1"/>
      <c r="I1199" s="1"/>
      <c r="J1199" s="1"/>
      <c r="K1199" s="1"/>
    </row>
    <row r="1200" spans="5:11">
      <c r="E1200" s="1"/>
      <c r="F1200" s="1"/>
      <c r="H1200" s="1"/>
      <c r="I1200" s="1"/>
      <c r="J1200" s="1"/>
      <c r="K1200" s="1"/>
    </row>
    <row r="1201" spans="5:11">
      <c r="E1201" s="1"/>
      <c r="F1201" s="1"/>
      <c r="H1201" s="1"/>
      <c r="I1201" s="1"/>
      <c r="J1201" s="1"/>
      <c r="K1201" s="1"/>
    </row>
    <row r="1202" spans="5:11">
      <c r="E1202" s="1"/>
      <c r="F1202" s="1"/>
      <c r="H1202" s="1"/>
      <c r="I1202" s="1"/>
      <c r="J1202" s="1"/>
      <c r="K1202" s="1"/>
    </row>
    <row r="1203" spans="5:11">
      <c r="E1203" s="1"/>
      <c r="F1203" s="1"/>
      <c r="H1203" s="1"/>
      <c r="I1203" s="1"/>
      <c r="J1203" s="1"/>
      <c r="K1203" s="1"/>
    </row>
    <row r="1204" spans="5:11">
      <c r="E1204" s="1"/>
      <c r="F1204" s="1"/>
      <c r="H1204" s="1"/>
      <c r="I1204" s="1"/>
      <c r="J1204" s="1"/>
      <c r="K1204" s="1"/>
    </row>
    <row r="1205" spans="5:11">
      <c r="E1205" s="1"/>
      <c r="F1205" s="1"/>
      <c r="H1205" s="1"/>
      <c r="I1205" s="1"/>
      <c r="J1205" s="1"/>
      <c r="K1205" s="1"/>
    </row>
    <row r="1206" spans="5:11">
      <c r="E1206" s="1"/>
      <c r="F1206" s="1"/>
      <c r="H1206" s="1"/>
      <c r="I1206" s="1"/>
      <c r="J1206" s="1"/>
      <c r="K1206" s="1"/>
    </row>
    <row r="1207" spans="5:11">
      <c r="E1207" s="1"/>
      <c r="F1207" s="1"/>
      <c r="H1207" s="1"/>
      <c r="I1207" s="1"/>
      <c r="J1207" s="1"/>
      <c r="K1207" s="1"/>
    </row>
    <row r="1208" spans="5:11">
      <c r="E1208" s="1"/>
      <c r="F1208" s="1"/>
      <c r="H1208" s="1"/>
      <c r="I1208" s="1"/>
      <c r="J1208" s="1"/>
      <c r="K1208" s="1"/>
    </row>
    <row r="1209" spans="5:11">
      <c r="E1209" s="1"/>
      <c r="F1209" s="1"/>
      <c r="H1209" s="1"/>
      <c r="I1209" s="1"/>
      <c r="J1209" s="1"/>
      <c r="K1209" s="1"/>
    </row>
    <row r="1210" spans="5:11">
      <c r="E1210" s="1"/>
      <c r="F1210" s="1"/>
      <c r="H1210" s="1"/>
      <c r="I1210" s="1"/>
      <c r="J1210" s="1"/>
      <c r="K1210" s="1"/>
    </row>
    <row r="1211" spans="5:11">
      <c r="E1211" s="1"/>
      <c r="F1211" s="1"/>
      <c r="H1211" s="1"/>
      <c r="I1211" s="1"/>
      <c r="J1211" s="1"/>
      <c r="K1211" s="1"/>
    </row>
    <row r="1212" spans="5:11">
      <c r="E1212" s="1"/>
      <c r="F1212" s="1"/>
      <c r="H1212" s="1"/>
      <c r="I1212" s="1"/>
      <c r="J1212" s="1"/>
      <c r="K1212" s="1"/>
    </row>
    <row r="1213" spans="5:11">
      <c r="E1213" s="1"/>
      <c r="F1213" s="1"/>
      <c r="H1213" s="1"/>
      <c r="I1213" s="1"/>
      <c r="J1213" s="1"/>
      <c r="K1213" s="1"/>
    </row>
    <row r="1214" spans="5:11">
      <c r="E1214" s="1"/>
      <c r="F1214" s="1"/>
      <c r="H1214" s="1"/>
      <c r="I1214" s="1"/>
      <c r="J1214" s="1"/>
      <c r="K1214" s="1"/>
    </row>
    <row r="1215" spans="5:11">
      <c r="E1215" s="1"/>
      <c r="F1215" s="1"/>
      <c r="H1215" s="1"/>
      <c r="I1215" s="1"/>
      <c r="J1215" s="1"/>
      <c r="K1215" s="1"/>
    </row>
    <row r="1216" spans="5:11">
      <c r="E1216" s="1"/>
      <c r="F1216" s="1"/>
      <c r="H1216" s="1"/>
      <c r="I1216" s="1"/>
      <c r="J1216" s="1"/>
      <c r="K1216" s="1"/>
    </row>
    <row r="1217" spans="5:11">
      <c r="E1217" s="1"/>
      <c r="F1217" s="1"/>
      <c r="H1217" s="1"/>
      <c r="I1217" s="1"/>
      <c r="J1217" s="1"/>
      <c r="K1217" s="1"/>
    </row>
    <row r="1218" spans="5:11">
      <c r="E1218" s="1"/>
      <c r="F1218" s="1"/>
      <c r="H1218" s="1"/>
      <c r="I1218" s="1"/>
      <c r="J1218" s="1"/>
      <c r="K1218" s="1"/>
    </row>
    <row r="1219" spans="5:11">
      <c r="E1219" s="1"/>
      <c r="F1219" s="1"/>
      <c r="H1219" s="1"/>
      <c r="I1219" s="1"/>
      <c r="J1219" s="1"/>
      <c r="K1219" s="1"/>
    </row>
    <row r="1220" spans="5:11">
      <c r="E1220" s="1"/>
      <c r="F1220" s="1"/>
      <c r="H1220" s="1"/>
      <c r="I1220" s="1"/>
      <c r="J1220" s="1"/>
      <c r="K1220" s="1"/>
    </row>
    <row r="1221" spans="5:11">
      <c r="E1221" s="1"/>
      <c r="F1221" s="1"/>
      <c r="H1221" s="1"/>
      <c r="I1221" s="1"/>
      <c r="J1221" s="1"/>
      <c r="K1221" s="1"/>
    </row>
    <row r="1222" spans="5:11">
      <c r="E1222" s="1"/>
      <c r="F1222" s="1"/>
      <c r="H1222" s="1"/>
      <c r="I1222" s="1"/>
      <c r="J1222" s="1"/>
      <c r="K1222" s="1"/>
    </row>
    <row r="1223" spans="5:11">
      <c r="E1223" s="1"/>
      <c r="F1223" s="1"/>
      <c r="H1223" s="1"/>
      <c r="I1223" s="1"/>
      <c r="J1223" s="1"/>
      <c r="K1223" s="1"/>
    </row>
    <row r="1224" spans="5:11">
      <c r="E1224" s="1"/>
      <c r="F1224" s="1"/>
      <c r="H1224" s="1"/>
      <c r="I1224" s="1"/>
      <c r="J1224" s="1"/>
      <c r="K1224" s="1"/>
    </row>
    <row r="1225" spans="5:11">
      <c r="E1225" s="1"/>
      <c r="F1225" s="1"/>
      <c r="H1225" s="1"/>
      <c r="I1225" s="1"/>
      <c r="J1225" s="1"/>
      <c r="K1225" s="1"/>
    </row>
    <row r="1226" spans="5:11">
      <c r="E1226" s="1"/>
      <c r="F1226" s="1"/>
      <c r="H1226" s="1"/>
      <c r="I1226" s="1"/>
      <c r="J1226" s="1"/>
      <c r="K1226" s="1"/>
    </row>
    <row r="1227" spans="5:11">
      <c r="E1227" s="1"/>
      <c r="F1227" s="1"/>
      <c r="H1227" s="1"/>
      <c r="I1227" s="1"/>
      <c r="J1227" s="1"/>
      <c r="K1227" s="1"/>
    </row>
    <row r="1228" spans="5:11">
      <c r="E1228" s="1"/>
      <c r="F1228" s="1"/>
      <c r="H1228" s="1"/>
      <c r="I1228" s="1"/>
      <c r="J1228" s="1"/>
      <c r="K1228" s="1"/>
    </row>
    <row r="1229" spans="5:11">
      <c r="E1229" s="1"/>
      <c r="F1229" s="1"/>
      <c r="H1229" s="1"/>
      <c r="I1229" s="1"/>
      <c r="J1229" s="1"/>
      <c r="K1229" s="1"/>
    </row>
    <row r="1230" spans="5:11">
      <c r="E1230" s="1"/>
      <c r="F1230" s="1"/>
      <c r="H1230" s="1"/>
      <c r="I1230" s="1"/>
      <c r="J1230" s="1"/>
      <c r="K1230" s="1"/>
    </row>
    <row r="1231" spans="5:11">
      <c r="E1231" s="1"/>
      <c r="F1231" s="1"/>
      <c r="H1231" s="1"/>
      <c r="I1231" s="1"/>
      <c r="J1231" s="1"/>
      <c r="K1231" s="1"/>
    </row>
    <row r="1232" spans="5:11">
      <c r="E1232" s="1"/>
      <c r="F1232" s="1"/>
      <c r="H1232" s="1"/>
      <c r="I1232" s="1"/>
      <c r="J1232" s="1"/>
      <c r="K1232" s="1"/>
    </row>
    <row r="1233" spans="5:11">
      <c r="E1233" s="1"/>
      <c r="F1233" s="1"/>
      <c r="H1233" s="1"/>
      <c r="I1233" s="1"/>
      <c r="J1233" s="1"/>
      <c r="K1233" s="1"/>
    </row>
    <row r="1234" spans="5:11">
      <c r="E1234" s="1"/>
      <c r="F1234" s="1"/>
      <c r="H1234" s="1"/>
      <c r="I1234" s="1"/>
      <c r="J1234" s="1"/>
      <c r="K1234" s="1"/>
    </row>
    <row r="1235" spans="5:11">
      <c r="E1235" s="1"/>
      <c r="F1235" s="1"/>
      <c r="H1235" s="1"/>
      <c r="I1235" s="1"/>
      <c r="J1235" s="1"/>
      <c r="K1235" s="1"/>
    </row>
    <row r="1236" spans="5:11">
      <c r="E1236" s="1"/>
      <c r="F1236" s="1"/>
      <c r="H1236" s="1"/>
      <c r="I1236" s="1"/>
      <c r="J1236" s="1"/>
      <c r="K1236" s="1"/>
    </row>
    <row r="1237" spans="5:11">
      <c r="E1237" s="1"/>
      <c r="F1237" s="1"/>
      <c r="H1237" s="1"/>
      <c r="I1237" s="1"/>
      <c r="J1237" s="1"/>
      <c r="K1237" s="1"/>
    </row>
    <row r="1238" spans="5:11">
      <c r="E1238" s="1"/>
      <c r="F1238" s="1"/>
      <c r="H1238" s="1"/>
      <c r="I1238" s="1"/>
      <c r="J1238" s="1"/>
      <c r="K1238" s="1"/>
    </row>
    <row r="1239" spans="5:11">
      <c r="E1239" s="1"/>
      <c r="F1239" s="1"/>
      <c r="H1239" s="1"/>
      <c r="I1239" s="1"/>
      <c r="J1239" s="1"/>
      <c r="K1239" s="1"/>
    </row>
    <row r="1240" spans="5:11">
      <c r="E1240" s="1"/>
      <c r="F1240" s="1"/>
      <c r="H1240" s="1"/>
      <c r="I1240" s="1"/>
      <c r="J1240" s="1"/>
      <c r="K1240" s="1"/>
    </row>
    <row r="1241" spans="5:11">
      <c r="E1241" s="1"/>
      <c r="F1241" s="1"/>
      <c r="H1241" s="1"/>
      <c r="I1241" s="1"/>
      <c r="J1241" s="1"/>
      <c r="K1241" s="1"/>
    </row>
    <row r="1242" spans="5:11">
      <c r="E1242" s="1"/>
      <c r="F1242" s="1"/>
      <c r="H1242" s="1"/>
      <c r="I1242" s="1"/>
      <c r="J1242" s="1"/>
      <c r="K1242" s="1"/>
    </row>
    <row r="1243" spans="5:11">
      <c r="E1243" s="1"/>
      <c r="F1243" s="1"/>
      <c r="H1243" s="1"/>
      <c r="I1243" s="1"/>
      <c r="J1243" s="1"/>
      <c r="K1243" s="1"/>
    </row>
    <row r="1244" spans="5:11">
      <c r="E1244" s="1"/>
      <c r="F1244" s="1"/>
      <c r="H1244" s="1"/>
      <c r="I1244" s="1"/>
      <c r="J1244" s="1"/>
      <c r="K1244" s="1"/>
    </row>
    <row r="1245" spans="5:11">
      <c r="E1245" s="1"/>
      <c r="F1245" s="1"/>
      <c r="H1245" s="1"/>
      <c r="I1245" s="1"/>
      <c r="J1245" s="1"/>
      <c r="K1245" s="1"/>
    </row>
    <row r="1246" spans="5:11">
      <c r="E1246" s="1"/>
      <c r="F1246" s="1"/>
      <c r="H1246" s="1"/>
      <c r="I1246" s="1"/>
      <c r="J1246" s="1"/>
      <c r="K1246" s="1"/>
    </row>
    <row r="1247" spans="5:11">
      <c r="E1247" s="1"/>
      <c r="F1247" s="1"/>
      <c r="H1247" s="1"/>
      <c r="I1247" s="1"/>
      <c r="J1247" s="1"/>
      <c r="K1247" s="1"/>
    </row>
    <row r="1248" spans="5:11">
      <c r="E1248" s="1"/>
      <c r="F1248" s="1"/>
      <c r="H1248" s="1"/>
      <c r="I1248" s="1"/>
      <c r="J1248" s="1"/>
      <c r="K1248" s="1"/>
    </row>
    <row r="1249" spans="5:11">
      <c r="E1249" s="1"/>
      <c r="F1249" s="1"/>
      <c r="H1249" s="1"/>
      <c r="I1249" s="1"/>
      <c r="J1249" s="1"/>
      <c r="K1249" s="1"/>
    </row>
    <row r="1250" spans="5:11">
      <c r="E1250" s="1"/>
      <c r="F1250" s="1"/>
      <c r="H1250" s="1"/>
      <c r="I1250" s="1"/>
      <c r="J1250" s="1"/>
      <c r="K1250" s="1"/>
    </row>
    <row r="1251" spans="5:11">
      <c r="E1251" s="1"/>
      <c r="F1251" s="1"/>
      <c r="H1251" s="1"/>
      <c r="I1251" s="1"/>
      <c r="J1251" s="1"/>
      <c r="K1251" s="1"/>
    </row>
    <row r="1252" spans="5:11">
      <c r="E1252" s="1"/>
      <c r="F1252" s="1"/>
      <c r="H1252" s="1"/>
      <c r="I1252" s="1"/>
      <c r="J1252" s="1"/>
      <c r="K1252" s="1"/>
    </row>
    <row r="1253" spans="5:11">
      <c r="E1253" s="1"/>
      <c r="F1253" s="1"/>
      <c r="H1253" s="1"/>
      <c r="I1253" s="1"/>
      <c r="J1253" s="1"/>
      <c r="K1253" s="1"/>
    </row>
    <row r="1254" spans="5:11">
      <c r="E1254" s="1"/>
      <c r="F1254" s="1"/>
      <c r="H1254" s="1"/>
      <c r="I1254" s="1"/>
      <c r="J1254" s="1"/>
      <c r="K1254" s="1"/>
    </row>
    <row r="1255" spans="5:11">
      <c r="E1255" s="1"/>
      <c r="F1255" s="1"/>
      <c r="H1255" s="1"/>
      <c r="I1255" s="1"/>
      <c r="J1255" s="1"/>
      <c r="K1255" s="1"/>
    </row>
    <row r="1256" spans="5:11">
      <c r="E1256" s="1"/>
      <c r="F1256" s="1"/>
      <c r="H1256" s="1"/>
      <c r="I1256" s="1"/>
      <c r="J1256" s="1"/>
      <c r="K1256" s="1"/>
    </row>
    <row r="1257" spans="5:11">
      <c r="E1257" s="1"/>
      <c r="F1257" s="1"/>
      <c r="H1257" s="1"/>
      <c r="I1257" s="1"/>
      <c r="J1257" s="1"/>
      <c r="K1257" s="1"/>
    </row>
    <row r="1258" spans="5:11">
      <c r="E1258" s="1"/>
      <c r="F1258" s="1"/>
      <c r="H1258" s="1"/>
      <c r="I1258" s="1"/>
      <c r="J1258" s="1"/>
      <c r="K1258" s="1"/>
    </row>
    <row r="1259" spans="5:11">
      <c r="E1259" s="1"/>
      <c r="F1259" s="1"/>
      <c r="H1259" s="1"/>
      <c r="I1259" s="1"/>
      <c r="J1259" s="1"/>
      <c r="K1259" s="1"/>
    </row>
    <row r="1260" spans="5:11">
      <c r="E1260" s="1"/>
      <c r="F1260" s="1"/>
      <c r="H1260" s="1"/>
      <c r="I1260" s="1"/>
      <c r="J1260" s="1"/>
      <c r="K1260" s="1"/>
    </row>
    <row r="1261" spans="5:11">
      <c r="E1261" s="1"/>
      <c r="F1261" s="1"/>
      <c r="H1261" s="1"/>
      <c r="I1261" s="1"/>
      <c r="J1261" s="1"/>
      <c r="K1261" s="1"/>
    </row>
    <row r="1262" spans="5:11">
      <c r="E1262" s="1"/>
      <c r="F1262" s="1"/>
      <c r="H1262" s="1"/>
      <c r="I1262" s="1"/>
      <c r="J1262" s="1"/>
      <c r="K1262" s="1"/>
    </row>
    <row r="1263" spans="5:11">
      <c r="E1263" s="1"/>
      <c r="F1263" s="1"/>
      <c r="H1263" s="1"/>
      <c r="I1263" s="1"/>
      <c r="J1263" s="1"/>
      <c r="K1263" s="1"/>
    </row>
    <row r="1264" spans="5:11">
      <c r="E1264" s="1"/>
      <c r="F1264" s="1"/>
      <c r="H1264" s="1"/>
      <c r="I1264" s="1"/>
      <c r="J1264" s="1"/>
      <c r="K1264" s="1"/>
    </row>
    <row r="1265" spans="5:11">
      <c r="E1265" s="1"/>
      <c r="F1265" s="1"/>
      <c r="H1265" s="1"/>
      <c r="I1265" s="1"/>
      <c r="J1265" s="1"/>
      <c r="K1265" s="1"/>
    </row>
    <row r="1266" spans="5:11">
      <c r="E1266" s="1"/>
      <c r="F1266" s="1"/>
      <c r="H1266" s="1"/>
      <c r="I1266" s="1"/>
      <c r="J1266" s="1"/>
      <c r="K1266" s="1"/>
    </row>
    <row r="1267" spans="5:11">
      <c r="E1267" s="1"/>
      <c r="F1267" s="1"/>
      <c r="H1267" s="1"/>
      <c r="I1267" s="1"/>
      <c r="J1267" s="1"/>
      <c r="K1267" s="1"/>
    </row>
    <row r="1268" spans="5:11">
      <c r="E1268" s="1"/>
      <c r="F1268" s="1"/>
      <c r="H1268" s="1"/>
      <c r="I1268" s="1"/>
      <c r="J1268" s="1"/>
      <c r="K1268" s="1"/>
    </row>
    <row r="1269" spans="5:11">
      <c r="E1269" s="1"/>
      <c r="F1269" s="1"/>
      <c r="H1269" s="1"/>
      <c r="I1269" s="1"/>
      <c r="J1269" s="1"/>
      <c r="K1269" s="1"/>
    </row>
    <row r="1270" spans="5:11">
      <c r="E1270" s="1"/>
      <c r="F1270" s="1"/>
      <c r="H1270" s="1"/>
      <c r="I1270" s="1"/>
      <c r="J1270" s="1"/>
      <c r="K1270" s="1"/>
    </row>
    <row r="1271" spans="5:11">
      <c r="E1271" s="1"/>
      <c r="F1271" s="1"/>
      <c r="H1271" s="1"/>
      <c r="I1271" s="1"/>
      <c r="J1271" s="1"/>
      <c r="K1271" s="1"/>
    </row>
    <row r="1272" spans="5:11">
      <c r="E1272" s="1"/>
      <c r="F1272" s="1"/>
      <c r="H1272" s="1"/>
      <c r="I1272" s="1"/>
      <c r="J1272" s="1"/>
      <c r="K1272" s="1"/>
    </row>
    <row r="1273" spans="5:11">
      <c r="E1273" s="1"/>
      <c r="F1273" s="1"/>
      <c r="H1273" s="1"/>
      <c r="I1273" s="1"/>
      <c r="J1273" s="1"/>
      <c r="K1273" s="1"/>
    </row>
    <row r="1274" spans="5:11">
      <c r="E1274" s="1"/>
      <c r="F1274" s="1"/>
      <c r="H1274" s="1"/>
      <c r="I1274" s="1"/>
      <c r="J1274" s="1"/>
      <c r="K1274" s="1"/>
    </row>
    <row r="1275" spans="5:11">
      <c r="E1275" s="1"/>
      <c r="F1275" s="1"/>
      <c r="H1275" s="1"/>
      <c r="I1275" s="1"/>
      <c r="J1275" s="1"/>
      <c r="K1275" s="1"/>
    </row>
    <row r="1276" spans="5:11">
      <c r="E1276" s="1"/>
      <c r="F1276" s="1"/>
      <c r="H1276" s="1"/>
      <c r="I1276" s="1"/>
      <c r="J1276" s="1"/>
      <c r="K1276" s="1"/>
    </row>
    <row r="1277" spans="5:11">
      <c r="E1277" s="1"/>
      <c r="F1277" s="1"/>
      <c r="H1277" s="1"/>
      <c r="I1277" s="1"/>
      <c r="J1277" s="1"/>
      <c r="K1277" s="1"/>
    </row>
    <row r="1278" spans="5:11">
      <c r="E1278" s="1"/>
      <c r="F1278" s="1"/>
      <c r="H1278" s="1"/>
      <c r="I1278" s="1"/>
      <c r="J1278" s="1"/>
      <c r="K1278" s="1"/>
    </row>
    <row r="1279" spans="5:11">
      <c r="E1279" s="1"/>
      <c r="F1279" s="1"/>
      <c r="H1279" s="1"/>
      <c r="I1279" s="1"/>
      <c r="J1279" s="1"/>
      <c r="K1279" s="1"/>
    </row>
    <row r="1280" spans="5:11">
      <c r="E1280" s="1"/>
      <c r="F1280" s="1"/>
      <c r="H1280" s="1"/>
      <c r="I1280" s="1"/>
      <c r="J1280" s="1"/>
      <c r="K1280" s="1"/>
    </row>
    <row r="1281" spans="5:11">
      <c r="E1281" s="1"/>
      <c r="F1281" s="1"/>
      <c r="H1281" s="1"/>
      <c r="I1281" s="1"/>
      <c r="J1281" s="1"/>
      <c r="K1281" s="1"/>
    </row>
    <row r="1282" spans="5:11">
      <c r="E1282" s="1"/>
      <c r="F1282" s="1"/>
      <c r="H1282" s="1"/>
      <c r="I1282" s="1"/>
      <c r="J1282" s="1"/>
      <c r="K1282" s="1"/>
    </row>
    <row r="1283" spans="5:11">
      <c r="E1283" s="1"/>
      <c r="F1283" s="1"/>
      <c r="H1283" s="1"/>
      <c r="I1283" s="1"/>
      <c r="J1283" s="1"/>
      <c r="K1283" s="1"/>
    </row>
    <row r="1284" spans="5:11">
      <c r="E1284" s="1"/>
      <c r="F1284" s="1"/>
      <c r="H1284" s="1"/>
      <c r="I1284" s="1"/>
      <c r="J1284" s="1"/>
      <c r="K1284" s="1"/>
    </row>
    <row r="1285" spans="5:11">
      <c r="E1285" s="1"/>
      <c r="F1285" s="1"/>
      <c r="H1285" s="1"/>
      <c r="I1285" s="1"/>
      <c r="J1285" s="1"/>
      <c r="K1285" s="1"/>
    </row>
    <row r="1286" spans="5:11">
      <c r="E1286" s="1"/>
      <c r="F1286" s="1"/>
      <c r="H1286" s="1"/>
      <c r="I1286" s="1"/>
      <c r="J1286" s="1"/>
      <c r="K1286" s="1"/>
    </row>
    <row r="1287" spans="5:11">
      <c r="E1287" s="1"/>
      <c r="F1287" s="1"/>
      <c r="H1287" s="1"/>
      <c r="I1287" s="1"/>
      <c r="J1287" s="1"/>
      <c r="K1287" s="1"/>
    </row>
    <row r="1288" spans="5:11">
      <c r="E1288" s="1"/>
      <c r="F1288" s="1"/>
      <c r="H1288" s="1"/>
      <c r="I1288" s="1"/>
      <c r="J1288" s="1"/>
      <c r="K1288" s="1"/>
    </row>
    <row r="1289" spans="5:11">
      <c r="E1289" s="1"/>
      <c r="F1289" s="1"/>
      <c r="H1289" s="1"/>
      <c r="I1289" s="1"/>
      <c r="J1289" s="1"/>
      <c r="K1289" s="1"/>
    </row>
    <row r="1290" spans="5:11">
      <c r="E1290" s="1"/>
      <c r="F1290" s="1"/>
      <c r="H1290" s="1"/>
      <c r="I1290" s="1"/>
      <c r="J1290" s="1"/>
      <c r="K1290" s="1"/>
    </row>
    <row r="1291" spans="5:11">
      <c r="E1291" s="1"/>
      <c r="F1291" s="1"/>
      <c r="H1291" s="1"/>
      <c r="I1291" s="1"/>
      <c r="J1291" s="1"/>
      <c r="K1291" s="1"/>
    </row>
    <row r="1292" spans="5:11">
      <c r="E1292" s="1"/>
      <c r="F1292" s="1"/>
      <c r="H1292" s="1"/>
      <c r="I1292" s="1"/>
      <c r="J1292" s="1"/>
      <c r="K1292" s="1"/>
    </row>
    <row r="1293" spans="5:11">
      <c r="E1293" s="1"/>
      <c r="F1293" s="1"/>
      <c r="H1293" s="1"/>
      <c r="I1293" s="1"/>
      <c r="J1293" s="1"/>
      <c r="K1293" s="1"/>
    </row>
    <row r="1294" spans="5:11">
      <c r="E1294" s="1"/>
      <c r="F1294" s="1"/>
      <c r="H1294" s="1"/>
      <c r="I1294" s="1"/>
      <c r="J1294" s="1"/>
      <c r="K1294" s="1"/>
    </row>
    <row r="1295" spans="5:11">
      <c r="E1295" s="1"/>
      <c r="F1295" s="1"/>
      <c r="H1295" s="1"/>
      <c r="I1295" s="1"/>
      <c r="J1295" s="1"/>
      <c r="K1295" s="1"/>
    </row>
    <row r="1296" spans="5:11">
      <c r="E1296" s="1"/>
      <c r="F1296" s="1"/>
      <c r="H1296" s="1"/>
      <c r="I1296" s="1"/>
      <c r="J1296" s="1"/>
      <c r="K1296" s="1"/>
    </row>
    <row r="1297" spans="5:11">
      <c r="E1297" s="1"/>
      <c r="F1297" s="1"/>
      <c r="H1297" s="1"/>
      <c r="I1297" s="1"/>
      <c r="J1297" s="1"/>
      <c r="K1297" s="1"/>
    </row>
    <row r="1298" spans="5:11">
      <c r="E1298" s="1"/>
      <c r="F1298" s="1"/>
      <c r="H1298" s="1"/>
      <c r="I1298" s="1"/>
      <c r="J1298" s="1"/>
      <c r="K1298" s="1"/>
    </row>
    <row r="1299" spans="5:11">
      <c r="E1299" s="1"/>
      <c r="F1299" s="1"/>
      <c r="H1299" s="1"/>
      <c r="I1299" s="1"/>
      <c r="J1299" s="1"/>
      <c r="K1299" s="1"/>
    </row>
    <row r="1300" spans="5:11">
      <c r="E1300" s="1"/>
      <c r="F1300" s="1"/>
      <c r="H1300" s="1"/>
      <c r="I1300" s="1"/>
      <c r="J1300" s="1"/>
      <c r="K1300" s="1"/>
    </row>
    <row r="1301" spans="5:11">
      <c r="E1301" s="1"/>
      <c r="F1301" s="1"/>
      <c r="H1301" s="1"/>
      <c r="I1301" s="1"/>
      <c r="J1301" s="1"/>
      <c r="K1301" s="1"/>
    </row>
    <row r="1302" spans="5:11">
      <c r="E1302" s="1"/>
      <c r="F1302" s="1"/>
      <c r="H1302" s="1"/>
      <c r="I1302" s="1"/>
      <c r="J1302" s="1"/>
      <c r="K1302" s="1"/>
    </row>
    <row r="1303" spans="5:11">
      <c r="E1303" s="1"/>
      <c r="F1303" s="1"/>
      <c r="H1303" s="1"/>
      <c r="I1303" s="1"/>
      <c r="J1303" s="1"/>
      <c r="K1303" s="1"/>
    </row>
    <row r="1304" spans="5:11">
      <c r="E1304" s="1"/>
      <c r="F1304" s="1"/>
      <c r="H1304" s="1"/>
      <c r="I1304" s="1"/>
      <c r="J1304" s="1"/>
      <c r="K1304" s="1"/>
    </row>
    <row r="1305" spans="5:11">
      <c r="E1305" s="1"/>
      <c r="F1305" s="1"/>
      <c r="H1305" s="1"/>
      <c r="I1305" s="1"/>
      <c r="J1305" s="1"/>
      <c r="K1305" s="1"/>
    </row>
    <row r="1306" spans="5:11">
      <c r="E1306" s="1"/>
      <c r="F1306" s="1"/>
      <c r="H1306" s="1"/>
      <c r="I1306" s="1"/>
      <c r="J1306" s="1"/>
      <c r="K1306" s="1"/>
    </row>
    <row r="1307" spans="5:11">
      <c r="E1307" s="1"/>
      <c r="F1307" s="1"/>
      <c r="H1307" s="1"/>
      <c r="I1307" s="1"/>
      <c r="J1307" s="1"/>
      <c r="K1307" s="1"/>
    </row>
    <row r="1308" spans="5:11">
      <c r="E1308" s="1"/>
      <c r="F1308" s="1"/>
      <c r="H1308" s="1"/>
      <c r="I1308" s="1"/>
      <c r="J1308" s="1"/>
      <c r="K1308" s="1"/>
    </row>
    <row r="1309" spans="5:11">
      <c r="E1309" s="1"/>
      <c r="F1309" s="1"/>
      <c r="H1309" s="1"/>
      <c r="I1309" s="1"/>
      <c r="J1309" s="1"/>
      <c r="K1309" s="1"/>
    </row>
    <row r="1310" spans="5:11">
      <c r="E1310" s="1"/>
      <c r="F1310" s="1"/>
      <c r="H1310" s="1"/>
      <c r="I1310" s="1"/>
      <c r="J1310" s="1"/>
      <c r="K1310" s="1"/>
    </row>
    <row r="1311" spans="5:11">
      <c r="E1311" s="1"/>
      <c r="F1311" s="1"/>
      <c r="H1311" s="1"/>
      <c r="I1311" s="1"/>
      <c r="J1311" s="1"/>
      <c r="K1311" s="1"/>
    </row>
    <row r="1312" spans="5:11">
      <c r="E1312" s="1"/>
      <c r="F1312" s="1"/>
      <c r="H1312" s="1"/>
      <c r="I1312" s="1"/>
      <c r="J1312" s="1"/>
      <c r="K1312" s="1"/>
    </row>
    <row r="1313" spans="5:11">
      <c r="E1313" s="1"/>
      <c r="F1313" s="1"/>
      <c r="H1313" s="1"/>
      <c r="I1313" s="1"/>
      <c r="J1313" s="1"/>
      <c r="K1313" s="1"/>
    </row>
    <row r="1314" spans="5:11">
      <c r="E1314" s="1"/>
      <c r="F1314" s="1"/>
      <c r="H1314" s="1"/>
      <c r="I1314" s="1"/>
      <c r="J1314" s="1"/>
      <c r="K1314" s="1"/>
    </row>
    <row r="1315" spans="5:11">
      <c r="E1315" s="1"/>
      <c r="F1315" s="1"/>
      <c r="H1315" s="1"/>
      <c r="I1315" s="1"/>
      <c r="J1315" s="1"/>
      <c r="K1315" s="1"/>
    </row>
    <row r="1316" spans="5:11">
      <c r="E1316" s="1"/>
      <c r="F1316" s="1"/>
      <c r="H1316" s="1"/>
      <c r="I1316" s="1"/>
      <c r="J1316" s="1"/>
      <c r="K1316" s="1"/>
    </row>
    <row r="1317" spans="5:11">
      <c r="E1317" s="1"/>
      <c r="F1317" s="1"/>
      <c r="H1317" s="1"/>
      <c r="I1317" s="1"/>
      <c r="J1317" s="1"/>
      <c r="K1317" s="1"/>
    </row>
    <row r="1318" spans="5:11">
      <c r="E1318" s="1"/>
      <c r="F1318" s="1"/>
      <c r="H1318" s="1"/>
      <c r="I1318" s="1"/>
      <c r="J1318" s="1"/>
      <c r="K1318" s="1"/>
    </row>
    <row r="1319" spans="5:11">
      <c r="E1319" s="1"/>
      <c r="F1319" s="1"/>
      <c r="H1319" s="1"/>
      <c r="I1319" s="1"/>
      <c r="J1319" s="1"/>
      <c r="K1319" s="1"/>
    </row>
    <row r="1320" spans="5:11">
      <c r="E1320" s="1"/>
      <c r="F1320" s="1"/>
      <c r="H1320" s="1"/>
      <c r="I1320" s="1"/>
      <c r="J1320" s="1"/>
      <c r="K1320" s="1"/>
    </row>
    <row r="1321" spans="5:11">
      <c r="E1321" s="1"/>
      <c r="F1321" s="1"/>
      <c r="H1321" s="1"/>
      <c r="I1321" s="1"/>
      <c r="J1321" s="1"/>
      <c r="K1321" s="1"/>
    </row>
    <row r="1322" spans="5:11">
      <c r="E1322" s="1"/>
      <c r="F1322" s="1"/>
      <c r="H1322" s="1"/>
      <c r="I1322" s="1"/>
      <c r="J1322" s="1"/>
      <c r="K1322" s="1"/>
    </row>
    <row r="1323" spans="5:11">
      <c r="E1323" s="1"/>
      <c r="F1323" s="1"/>
      <c r="H1323" s="1"/>
      <c r="I1323" s="1"/>
      <c r="J1323" s="1"/>
      <c r="K1323" s="1"/>
    </row>
    <row r="1324" spans="5:11">
      <c r="E1324" s="1"/>
      <c r="F1324" s="1"/>
      <c r="H1324" s="1"/>
      <c r="I1324" s="1"/>
      <c r="J1324" s="1"/>
      <c r="K1324" s="1"/>
    </row>
    <row r="1325" spans="5:11">
      <c r="E1325" s="1"/>
      <c r="F1325" s="1"/>
      <c r="H1325" s="1"/>
      <c r="I1325" s="1"/>
      <c r="J1325" s="1"/>
      <c r="K1325" s="1"/>
    </row>
    <row r="1326" spans="5:11">
      <c r="E1326" s="1"/>
      <c r="F1326" s="1"/>
      <c r="H1326" s="1"/>
      <c r="I1326" s="1"/>
      <c r="J1326" s="1"/>
      <c r="K1326" s="1"/>
    </row>
    <row r="1327" spans="5:11">
      <c r="E1327" s="1"/>
      <c r="F1327" s="1"/>
      <c r="H1327" s="1"/>
      <c r="I1327" s="1"/>
      <c r="J1327" s="1"/>
      <c r="K1327" s="1"/>
    </row>
    <row r="1328" spans="5:11">
      <c r="E1328" s="1"/>
      <c r="F1328" s="1"/>
      <c r="H1328" s="1"/>
      <c r="I1328" s="1"/>
      <c r="J1328" s="1"/>
      <c r="K1328" s="1"/>
    </row>
    <row r="1329" spans="5:11">
      <c r="E1329" s="1"/>
      <c r="F1329" s="1"/>
      <c r="H1329" s="1"/>
      <c r="I1329" s="1"/>
      <c r="J1329" s="1"/>
      <c r="K1329" s="1"/>
    </row>
    <row r="1330" spans="5:11">
      <c r="E1330" s="1"/>
      <c r="F1330" s="1"/>
      <c r="H1330" s="1"/>
      <c r="I1330" s="1"/>
      <c r="J1330" s="1"/>
      <c r="K1330" s="1"/>
    </row>
    <row r="1331" spans="5:11">
      <c r="E1331" s="1"/>
      <c r="F1331" s="1"/>
      <c r="H1331" s="1"/>
      <c r="I1331" s="1"/>
      <c r="J1331" s="1"/>
      <c r="K1331" s="1"/>
    </row>
    <row r="1332" spans="5:11">
      <c r="E1332" s="1"/>
      <c r="F1332" s="1"/>
      <c r="H1332" s="1"/>
      <c r="I1332" s="1"/>
      <c r="J1332" s="1"/>
      <c r="K1332" s="1"/>
    </row>
    <row r="1333" spans="5:11">
      <c r="E1333" s="1"/>
      <c r="F1333" s="1"/>
      <c r="H1333" s="1"/>
      <c r="I1333" s="1"/>
      <c r="J1333" s="1"/>
      <c r="K1333" s="1"/>
    </row>
    <row r="1334" spans="5:11">
      <c r="E1334" s="1"/>
      <c r="F1334" s="1"/>
      <c r="H1334" s="1"/>
      <c r="I1334" s="1"/>
      <c r="J1334" s="1"/>
      <c r="K1334" s="1"/>
    </row>
    <row r="1335" spans="5:11">
      <c r="E1335" s="1"/>
      <c r="F1335" s="1"/>
      <c r="H1335" s="1"/>
      <c r="I1335" s="1"/>
      <c r="J1335" s="1"/>
      <c r="K1335" s="1"/>
    </row>
    <row r="1336" spans="5:11">
      <c r="E1336" s="1"/>
      <c r="F1336" s="1"/>
      <c r="H1336" s="1"/>
      <c r="I1336" s="1"/>
      <c r="J1336" s="1"/>
      <c r="K1336" s="1"/>
    </row>
    <row r="1337" spans="5:11">
      <c r="E1337" s="1"/>
      <c r="F1337" s="1"/>
      <c r="H1337" s="1"/>
      <c r="I1337" s="1"/>
      <c r="J1337" s="1"/>
      <c r="K1337" s="1"/>
    </row>
    <row r="1338" spans="5:11">
      <c r="E1338" s="1"/>
      <c r="F1338" s="1"/>
      <c r="H1338" s="1"/>
      <c r="I1338" s="1"/>
      <c r="J1338" s="1"/>
      <c r="K1338" s="1"/>
    </row>
    <row r="1339" spans="5:11">
      <c r="E1339" s="1"/>
      <c r="F1339" s="1"/>
      <c r="H1339" s="1"/>
      <c r="I1339" s="1"/>
      <c r="J1339" s="1"/>
      <c r="K1339" s="1"/>
    </row>
    <row r="1340" spans="5:11">
      <c r="E1340" s="1"/>
      <c r="F1340" s="1"/>
      <c r="H1340" s="1"/>
      <c r="I1340" s="1"/>
      <c r="J1340" s="1"/>
      <c r="K1340" s="1"/>
    </row>
    <row r="1341" spans="5:11">
      <c r="E1341" s="1"/>
      <c r="F1341" s="1"/>
      <c r="H1341" s="1"/>
      <c r="I1341" s="1"/>
      <c r="J1341" s="1"/>
      <c r="K1341" s="1"/>
    </row>
    <row r="1342" spans="5:11">
      <c r="E1342" s="1"/>
      <c r="F1342" s="1"/>
      <c r="H1342" s="1"/>
      <c r="I1342" s="1"/>
      <c r="J1342" s="1"/>
      <c r="K1342" s="1"/>
    </row>
    <row r="1343" spans="5:11">
      <c r="E1343" s="1"/>
      <c r="F1343" s="1"/>
      <c r="H1343" s="1"/>
      <c r="I1343" s="1"/>
      <c r="J1343" s="1"/>
      <c r="K1343" s="1"/>
    </row>
    <row r="1344" spans="5:11">
      <c r="E1344" s="1"/>
      <c r="F1344" s="1"/>
      <c r="H1344" s="1"/>
      <c r="I1344" s="1"/>
      <c r="J1344" s="1"/>
      <c r="K1344" s="1"/>
    </row>
    <row r="1345" spans="5:11">
      <c r="E1345" s="1"/>
      <c r="F1345" s="1"/>
      <c r="H1345" s="1"/>
      <c r="I1345" s="1"/>
      <c r="J1345" s="1"/>
      <c r="K1345" s="1"/>
    </row>
    <row r="1346" spans="5:11">
      <c r="E1346" s="1"/>
      <c r="F1346" s="1"/>
      <c r="H1346" s="1"/>
      <c r="I1346" s="1"/>
      <c r="J1346" s="1"/>
      <c r="K1346" s="1"/>
    </row>
    <row r="1347" spans="5:11">
      <c r="E1347" s="1"/>
      <c r="F1347" s="1"/>
      <c r="H1347" s="1"/>
      <c r="I1347" s="1"/>
      <c r="J1347" s="1"/>
      <c r="K1347" s="1"/>
    </row>
    <row r="1348" spans="5:11">
      <c r="E1348" s="1"/>
      <c r="F1348" s="1"/>
      <c r="H1348" s="1"/>
      <c r="I1348" s="1"/>
      <c r="J1348" s="1"/>
      <c r="K1348" s="1"/>
    </row>
    <row r="1349" spans="5:11">
      <c r="E1349" s="1"/>
      <c r="F1349" s="1"/>
      <c r="H1349" s="1"/>
      <c r="I1349" s="1"/>
      <c r="J1349" s="1"/>
      <c r="K1349" s="1"/>
    </row>
    <row r="1350" spans="5:11">
      <c r="E1350" s="1"/>
      <c r="F1350" s="1"/>
      <c r="H1350" s="1"/>
      <c r="I1350" s="1"/>
      <c r="J1350" s="1"/>
      <c r="K1350" s="1"/>
    </row>
    <row r="1351" spans="5:11">
      <c r="E1351" s="1"/>
      <c r="F1351" s="1"/>
      <c r="H1351" s="1"/>
      <c r="I1351" s="1"/>
      <c r="J1351" s="1"/>
      <c r="K1351" s="1"/>
    </row>
    <row r="1352" spans="5:11">
      <c r="E1352" s="1"/>
      <c r="F1352" s="1"/>
      <c r="H1352" s="1"/>
      <c r="I1352" s="1"/>
      <c r="J1352" s="1"/>
      <c r="K1352" s="1"/>
    </row>
    <row r="1353" spans="5:11">
      <c r="E1353" s="1"/>
      <c r="F1353" s="1"/>
      <c r="H1353" s="1"/>
      <c r="I1353" s="1"/>
      <c r="J1353" s="1"/>
      <c r="K1353" s="1"/>
    </row>
    <row r="1354" spans="5:11">
      <c r="E1354" s="1"/>
      <c r="F1354" s="1"/>
      <c r="H1354" s="1"/>
      <c r="I1354" s="1"/>
      <c r="J1354" s="1"/>
      <c r="K1354" s="1"/>
    </row>
    <row r="1355" spans="5:11">
      <c r="E1355" s="1"/>
      <c r="F1355" s="1"/>
      <c r="H1355" s="1"/>
      <c r="I1355" s="1"/>
      <c r="J1355" s="1"/>
      <c r="K1355" s="1"/>
    </row>
    <row r="1356" spans="5:11">
      <c r="E1356" s="1"/>
      <c r="F1356" s="1"/>
      <c r="H1356" s="1"/>
      <c r="I1356" s="1"/>
      <c r="J1356" s="1"/>
      <c r="K1356" s="1"/>
    </row>
    <row r="1357" spans="5:11">
      <c r="E1357" s="1"/>
      <c r="F1357" s="1"/>
      <c r="H1357" s="1"/>
      <c r="I1357" s="1"/>
      <c r="J1357" s="1"/>
      <c r="K1357" s="1"/>
    </row>
    <row r="1358" spans="5:11">
      <c r="E1358" s="1"/>
      <c r="F1358" s="1"/>
      <c r="H1358" s="1"/>
      <c r="I1358" s="1"/>
      <c r="J1358" s="1"/>
      <c r="K1358" s="1"/>
    </row>
    <row r="1359" spans="5:11">
      <c r="E1359" s="1"/>
      <c r="F1359" s="1"/>
      <c r="H1359" s="1"/>
      <c r="I1359" s="1"/>
      <c r="J1359" s="1"/>
      <c r="K1359" s="1"/>
    </row>
    <row r="1360" spans="5:11">
      <c r="E1360" s="1"/>
      <c r="F1360" s="1"/>
      <c r="H1360" s="1"/>
      <c r="I1360" s="1"/>
      <c r="J1360" s="1"/>
      <c r="K1360" s="1"/>
    </row>
    <row r="1361" spans="5:11">
      <c r="E1361" s="1"/>
      <c r="F1361" s="1"/>
      <c r="H1361" s="1"/>
      <c r="I1361" s="1"/>
      <c r="J1361" s="1"/>
      <c r="K1361" s="1"/>
    </row>
    <row r="1362" spans="5:11">
      <c r="E1362" s="1"/>
      <c r="F1362" s="1"/>
      <c r="H1362" s="1"/>
      <c r="I1362" s="1"/>
      <c r="J1362" s="1"/>
      <c r="K1362" s="1"/>
    </row>
    <row r="1363" spans="5:11">
      <c r="E1363" s="1"/>
      <c r="F1363" s="1"/>
      <c r="H1363" s="1"/>
      <c r="I1363" s="1"/>
      <c r="J1363" s="1"/>
      <c r="K1363" s="1"/>
    </row>
    <row r="1364" spans="5:11">
      <c r="E1364" s="1"/>
      <c r="F1364" s="1"/>
      <c r="H1364" s="1"/>
      <c r="I1364" s="1"/>
      <c r="J1364" s="1"/>
      <c r="K1364" s="1"/>
    </row>
    <row r="1365" spans="5:11">
      <c r="E1365" s="1"/>
      <c r="F1365" s="1"/>
      <c r="H1365" s="1"/>
      <c r="I1365" s="1"/>
      <c r="J1365" s="1"/>
      <c r="K1365" s="1"/>
    </row>
    <row r="1366" spans="5:11">
      <c r="E1366" s="1"/>
      <c r="F1366" s="1"/>
      <c r="H1366" s="1"/>
      <c r="I1366" s="1"/>
      <c r="J1366" s="1"/>
      <c r="K1366" s="1"/>
    </row>
    <row r="1367" spans="5:11">
      <c r="E1367" s="1"/>
      <c r="F1367" s="1"/>
      <c r="H1367" s="1"/>
      <c r="I1367" s="1"/>
      <c r="J1367" s="1"/>
      <c r="K1367" s="1"/>
    </row>
    <row r="1368" spans="5:11">
      <c r="E1368" s="1"/>
      <c r="F1368" s="1"/>
      <c r="H1368" s="1"/>
      <c r="I1368" s="1"/>
      <c r="J1368" s="1"/>
      <c r="K1368" s="1"/>
    </row>
    <row r="1369" spans="5:11">
      <c r="E1369" s="1"/>
      <c r="F1369" s="1"/>
      <c r="H1369" s="1"/>
      <c r="I1369" s="1"/>
      <c r="J1369" s="1"/>
      <c r="K1369" s="1"/>
    </row>
    <row r="1370" spans="5:11">
      <c r="E1370" s="1"/>
      <c r="F1370" s="1"/>
      <c r="H1370" s="1"/>
      <c r="I1370" s="1"/>
      <c r="J1370" s="1"/>
      <c r="K1370" s="1"/>
    </row>
    <row r="1371" spans="5:11">
      <c r="E1371" s="1"/>
      <c r="F1371" s="1"/>
      <c r="H1371" s="1"/>
      <c r="I1371" s="1"/>
      <c r="J1371" s="1"/>
      <c r="K1371" s="1"/>
    </row>
    <row r="1372" spans="5:11">
      <c r="E1372" s="1"/>
      <c r="F1372" s="1"/>
      <c r="H1372" s="1"/>
      <c r="I1372" s="1"/>
      <c r="J1372" s="1"/>
      <c r="K1372" s="1"/>
    </row>
    <row r="1373" spans="5:11">
      <c r="E1373" s="1"/>
      <c r="F1373" s="1"/>
      <c r="H1373" s="1"/>
      <c r="I1373" s="1"/>
      <c r="J1373" s="1"/>
      <c r="K1373" s="1"/>
    </row>
    <row r="1374" spans="5:11">
      <c r="E1374" s="1"/>
      <c r="F1374" s="1"/>
      <c r="H1374" s="1"/>
      <c r="I1374" s="1"/>
      <c r="J1374" s="1"/>
      <c r="K1374" s="1"/>
    </row>
    <row r="1375" spans="5:11">
      <c r="E1375" s="1"/>
      <c r="F1375" s="1"/>
      <c r="H1375" s="1"/>
      <c r="I1375" s="1"/>
      <c r="J1375" s="1"/>
      <c r="K1375" s="1"/>
    </row>
    <row r="1376" spans="5:11">
      <c r="E1376" s="1"/>
      <c r="F1376" s="1"/>
      <c r="H1376" s="1"/>
      <c r="I1376" s="1"/>
      <c r="J1376" s="1"/>
      <c r="K1376" s="1"/>
    </row>
    <row r="1377" spans="5:11">
      <c r="E1377" s="1"/>
      <c r="F1377" s="1"/>
      <c r="H1377" s="1"/>
      <c r="I1377" s="1"/>
      <c r="J1377" s="1"/>
      <c r="K1377" s="1"/>
    </row>
    <row r="1378" spans="5:11">
      <c r="E1378" s="1"/>
      <c r="F1378" s="1"/>
      <c r="H1378" s="1"/>
      <c r="I1378" s="1"/>
      <c r="J1378" s="1"/>
      <c r="K1378" s="1"/>
    </row>
    <row r="1379" spans="5:11">
      <c r="E1379" s="1"/>
      <c r="F1379" s="1"/>
      <c r="H1379" s="1"/>
      <c r="I1379" s="1"/>
      <c r="J1379" s="1"/>
      <c r="K1379" s="1"/>
    </row>
    <row r="1380" spans="5:11">
      <c r="E1380" s="1"/>
      <c r="F1380" s="1"/>
      <c r="H1380" s="1"/>
      <c r="I1380" s="1"/>
      <c r="J1380" s="1"/>
      <c r="K1380" s="1"/>
    </row>
    <row r="1381" spans="5:11">
      <c r="E1381" s="1"/>
      <c r="F1381" s="1"/>
      <c r="H1381" s="1"/>
      <c r="I1381" s="1"/>
      <c r="J1381" s="1"/>
      <c r="K1381" s="1"/>
    </row>
    <row r="1382" spans="5:11">
      <c r="E1382" s="1"/>
      <c r="F1382" s="1"/>
      <c r="H1382" s="1"/>
      <c r="I1382" s="1"/>
      <c r="J1382" s="1"/>
      <c r="K1382" s="1"/>
    </row>
    <row r="1383" spans="5:11">
      <c r="E1383" s="1"/>
      <c r="F1383" s="1"/>
      <c r="H1383" s="1"/>
      <c r="I1383" s="1"/>
      <c r="J1383" s="1"/>
      <c r="K1383" s="1"/>
    </row>
    <row r="1384" spans="5:11">
      <c r="E1384" s="1"/>
      <c r="F1384" s="1"/>
      <c r="H1384" s="1"/>
      <c r="I1384" s="1"/>
      <c r="J1384" s="1"/>
      <c r="K1384" s="1"/>
    </row>
    <row r="1385" spans="5:11">
      <c r="E1385" s="1"/>
      <c r="F1385" s="1"/>
      <c r="H1385" s="1"/>
      <c r="I1385" s="1"/>
      <c r="J1385" s="1"/>
      <c r="K1385" s="1"/>
    </row>
    <row r="1386" spans="5:11">
      <c r="E1386" s="1"/>
      <c r="F1386" s="1"/>
      <c r="H1386" s="1"/>
      <c r="I1386" s="1"/>
      <c r="J1386" s="1"/>
      <c r="K1386" s="1"/>
    </row>
    <row r="1387" spans="5:11">
      <c r="E1387" s="1"/>
      <c r="F1387" s="1"/>
      <c r="H1387" s="1"/>
      <c r="I1387" s="1"/>
      <c r="J1387" s="1"/>
      <c r="K1387" s="1"/>
    </row>
    <row r="1388" spans="5:11">
      <c r="E1388" s="1"/>
      <c r="F1388" s="1"/>
      <c r="H1388" s="1"/>
      <c r="I1388" s="1"/>
      <c r="J1388" s="1"/>
      <c r="K1388" s="1"/>
    </row>
    <row r="1389" spans="5:11">
      <c r="E1389" s="1"/>
      <c r="F1389" s="1"/>
      <c r="H1389" s="1"/>
      <c r="I1389" s="1"/>
      <c r="J1389" s="1"/>
      <c r="K1389" s="1"/>
    </row>
    <row r="1390" spans="5:11">
      <c r="E1390" s="1"/>
      <c r="F1390" s="1"/>
      <c r="H1390" s="1"/>
      <c r="I1390" s="1"/>
      <c r="J1390" s="1"/>
      <c r="K1390" s="1"/>
    </row>
    <row r="1391" spans="5:11">
      <c r="E1391" s="1"/>
      <c r="F1391" s="1"/>
      <c r="H1391" s="1"/>
      <c r="I1391" s="1"/>
      <c r="J1391" s="1"/>
      <c r="K1391" s="1"/>
    </row>
    <row r="1392" spans="5:11">
      <c r="E1392" s="1"/>
      <c r="F1392" s="1"/>
      <c r="H1392" s="1"/>
      <c r="I1392" s="1"/>
      <c r="J1392" s="1"/>
      <c r="K1392" s="1"/>
    </row>
    <row r="1393" spans="5:11">
      <c r="E1393" s="1"/>
      <c r="F1393" s="1"/>
      <c r="H1393" s="1"/>
      <c r="I1393" s="1"/>
      <c r="J1393" s="1"/>
      <c r="K1393" s="1"/>
    </row>
    <row r="1394" spans="5:11">
      <c r="E1394" s="1"/>
      <c r="F1394" s="1"/>
      <c r="H1394" s="1"/>
      <c r="I1394" s="1"/>
      <c r="J1394" s="1"/>
      <c r="K1394" s="1"/>
    </row>
    <row r="1395" spans="5:11">
      <c r="E1395" s="1"/>
      <c r="F1395" s="1"/>
      <c r="H1395" s="1"/>
      <c r="I1395" s="1"/>
      <c r="J1395" s="1"/>
      <c r="K1395" s="1"/>
    </row>
    <row r="1396" spans="5:11">
      <c r="E1396" s="1"/>
      <c r="F1396" s="1"/>
      <c r="H1396" s="1"/>
      <c r="I1396" s="1"/>
      <c r="J1396" s="1"/>
      <c r="K1396" s="1"/>
    </row>
    <row r="1397" spans="5:11">
      <c r="E1397" s="1"/>
      <c r="F1397" s="1"/>
      <c r="H1397" s="1"/>
      <c r="I1397" s="1"/>
      <c r="J1397" s="1"/>
      <c r="K1397" s="1"/>
    </row>
    <row r="1398" spans="5:11">
      <c r="E1398" s="1"/>
      <c r="F1398" s="1"/>
      <c r="H1398" s="1"/>
      <c r="I1398" s="1"/>
      <c r="J1398" s="1"/>
      <c r="K1398" s="1"/>
    </row>
    <row r="1399" spans="5:11">
      <c r="E1399" s="1"/>
      <c r="F1399" s="1"/>
      <c r="H1399" s="1"/>
      <c r="I1399" s="1"/>
      <c r="J1399" s="1"/>
      <c r="K1399" s="1"/>
    </row>
    <row r="1400" spans="5:11">
      <c r="E1400" s="1"/>
      <c r="F1400" s="1"/>
      <c r="H1400" s="1"/>
      <c r="I1400" s="1"/>
      <c r="J1400" s="1"/>
      <c r="K1400" s="1"/>
    </row>
    <row r="1401" spans="5:11">
      <c r="E1401" s="1"/>
      <c r="F1401" s="1"/>
      <c r="H1401" s="1"/>
      <c r="I1401" s="1"/>
      <c r="J1401" s="1"/>
      <c r="K1401" s="1"/>
    </row>
    <row r="1402" spans="5:11">
      <c r="E1402" s="1"/>
      <c r="F1402" s="1"/>
      <c r="H1402" s="1"/>
      <c r="I1402" s="1"/>
      <c r="J1402" s="1"/>
      <c r="K1402" s="1"/>
    </row>
    <row r="1403" spans="5:11">
      <c r="E1403" s="1"/>
      <c r="F1403" s="1"/>
      <c r="H1403" s="1"/>
      <c r="I1403" s="1"/>
      <c r="J1403" s="1"/>
      <c r="K1403" s="1"/>
    </row>
    <row r="1404" spans="5:11">
      <c r="E1404" s="1"/>
      <c r="F1404" s="1"/>
      <c r="H1404" s="1"/>
      <c r="I1404" s="1"/>
      <c r="J1404" s="1"/>
      <c r="K1404" s="1"/>
    </row>
    <row r="1405" spans="5:11">
      <c r="E1405" s="1"/>
      <c r="F1405" s="1"/>
      <c r="H1405" s="1"/>
      <c r="I1405" s="1"/>
      <c r="J1405" s="1"/>
      <c r="K1405" s="1"/>
    </row>
    <row r="1406" spans="5:11">
      <c r="E1406" s="1"/>
      <c r="F1406" s="1"/>
      <c r="H1406" s="1"/>
      <c r="I1406" s="1"/>
      <c r="J1406" s="1"/>
      <c r="K1406" s="1"/>
    </row>
    <row r="1407" spans="5:11">
      <c r="E1407" s="1"/>
      <c r="F1407" s="1"/>
      <c r="H1407" s="1"/>
      <c r="I1407" s="1"/>
      <c r="J1407" s="1"/>
      <c r="K1407" s="1"/>
    </row>
    <row r="1408" spans="5:11">
      <c r="E1408" s="1"/>
      <c r="F1408" s="1"/>
      <c r="H1408" s="1"/>
      <c r="I1408" s="1"/>
      <c r="J1408" s="1"/>
      <c r="K1408" s="1"/>
    </row>
    <row r="1409" spans="5:11">
      <c r="E1409" s="1"/>
      <c r="F1409" s="1"/>
      <c r="H1409" s="1"/>
      <c r="I1409" s="1"/>
      <c r="J1409" s="1"/>
      <c r="K1409" s="1"/>
    </row>
    <row r="1410" spans="5:11">
      <c r="E1410" s="1"/>
      <c r="F1410" s="1"/>
      <c r="H1410" s="1"/>
      <c r="I1410" s="1"/>
      <c r="J1410" s="1"/>
      <c r="K1410" s="1"/>
    </row>
    <row r="1411" spans="5:11">
      <c r="E1411" s="1"/>
      <c r="F1411" s="1"/>
      <c r="H1411" s="1"/>
      <c r="I1411" s="1"/>
      <c r="J1411" s="1"/>
      <c r="K1411" s="1"/>
    </row>
    <row r="1412" spans="5:11">
      <c r="E1412" s="1"/>
      <c r="F1412" s="1"/>
      <c r="H1412" s="1"/>
      <c r="I1412" s="1"/>
      <c r="J1412" s="1"/>
      <c r="K1412" s="1"/>
    </row>
    <row r="1413" spans="5:11">
      <c r="E1413" s="1"/>
      <c r="F1413" s="1"/>
      <c r="H1413" s="1"/>
      <c r="I1413" s="1"/>
      <c r="J1413" s="1"/>
      <c r="K1413" s="1"/>
    </row>
    <row r="1414" spans="5:11">
      <c r="E1414" s="1"/>
      <c r="F1414" s="1"/>
      <c r="H1414" s="1"/>
      <c r="I1414" s="1"/>
      <c r="J1414" s="1"/>
      <c r="K1414" s="1"/>
    </row>
    <row r="1415" spans="5:11">
      <c r="E1415" s="1"/>
      <c r="F1415" s="1"/>
      <c r="H1415" s="1"/>
      <c r="I1415" s="1"/>
      <c r="J1415" s="1"/>
      <c r="K1415" s="1"/>
    </row>
    <row r="1416" spans="5:11">
      <c r="E1416" s="1"/>
      <c r="F1416" s="1"/>
      <c r="H1416" s="1"/>
      <c r="I1416" s="1"/>
      <c r="J1416" s="1"/>
      <c r="K1416" s="1"/>
    </row>
    <row r="1417" spans="5:11">
      <c r="E1417" s="1"/>
      <c r="F1417" s="1"/>
      <c r="H1417" s="1"/>
      <c r="I1417" s="1"/>
      <c r="J1417" s="1"/>
      <c r="K1417" s="1"/>
    </row>
    <row r="1418" spans="5:11">
      <c r="E1418" s="1"/>
      <c r="F1418" s="1"/>
      <c r="H1418" s="1"/>
      <c r="I1418" s="1"/>
      <c r="J1418" s="1"/>
      <c r="K1418" s="1"/>
    </row>
    <row r="1419" spans="5:11">
      <c r="E1419" s="1"/>
      <c r="F1419" s="1"/>
      <c r="H1419" s="1"/>
      <c r="I1419" s="1"/>
      <c r="J1419" s="1"/>
      <c r="K1419" s="1"/>
    </row>
    <row r="1420" spans="5:11">
      <c r="E1420" s="1"/>
      <c r="F1420" s="1"/>
      <c r="H1420" s="1"/>
      <c r="I1420" s="1"/>
      <c r="J1420" s="1"/>
      <c r="K1420" s="1"/>
    </row>
    <row r="1421" spans="5:11">
      <c r="E1421" s="1"/>
      <c r="F1421" s="1"/>
      <c r="H1421" s="1"/>
      <c r="I1421" s="1"/>
      <c r="J1421" s="1"/>
      <c r="K1421" s="1"/>
    </row>
    <row r="1422" spans="5:11">
      <c r="E1422" s="1"/>
      <c r="F1422" s="1"/>
      <c r="H1422" s="1"/>
      <c r="I1422" s="1"/>
      <c r="J1422" s="1"/>
      <c r="K1422" s="1"/>
    </row>
    <row r="1423" spans="5:11">
      <c r="E1423" s="1"/>
      <c r="F1423" s="1"/>
      <c r="H1423" s="1"/>
      <c r="I1423" s="1"/>
      <c r="J1423" s="1"/>
      <c r="K1423" s="1"/>
    </row>
    <row r="1424" spans="5:11">
      <c r="E1424" s="1"/>
      <c r="F1424" s="1"/>
      <c r="H1424" s="1"/>
      <c r="I1424" s="1"/>
      <c r="J1424" s="1"/>
      <c r="K1424" s="1"/>
    </row>
    <row r="1425" spans="5:11">
      <c r="E1425" s="1"/>
      <c r="F1425" s="1"/>
      <c r="H1425" s="1"/>
      <c r="I1425" s="1"/>
      <c r="J1425" s="1"/>
      <c r="K1425" s="1"/>
    </row>
    <row r="1426" spans="5:11">
      <c r="E1426" s="1"/>
      <c r="F1426" s="1"/>
      <c r="H1426" s="1"/>
      <c r="I1426" s="1"/>
      <c r="J1426" s="1"/>
      <c r="K1426" s="1"/>
    </row>
    <row r="1427" spans="5:11">
      <c r="E1427" s="1"/>
      <c r="F1427" s="1"/>
      <c r="H1427" s="1"/>
      <c r="I1427" s="1"/>
      <c r="J1427" s="1"/>
      <c r="K1427" s="1"/>
    </row>
    <row r="1428" spans="5:11">
      <c r="E1428" s="1"/>
      <c r="F1428" s="1"/>
      <c r="H1428" s="1"/>
      <c r="I1428" s="1"/>
      <c r="J1428" s="1"/>
      <c r="K1428" s="1"/>
    </row>
    <row r="1429" spans="5:11">
      <c r="E1429" s="1"/>
      <c r="F1429" s="1"/>
      <c r="H1429" s="1"/>
      <c r="I1429" s="1"/>
      <c r="J1429" s="1"/>
      <c r="K1429" s="1"/>
    </row>
    <row r="1430" spans="5:11">
      <c r="E1430" s="1"/>
      <c r="F1430" s="1"/>
      <c r="H1430" s="1"/>
      <c r="I1430" s="1"/>
      <c r="J1430" s="1"/>
      <c r="K1430" s="1"/>
    </row>
    <row r="1431" spans="5:11">
      <c r="E1431" s="1"/>
      <c r="F1431" s="1"/>
      <c r="H1431" s="1"/>
      <c r="I1431" s="1"/>
      <c r="J1431" s="1"/>
      <c r="K1431" s="1"/>
    </row>
    <row r="1432" spans="5:11">
      <c r="E1432" s="1"/>
      <c r="F1432" s="1"/>
      <c r="H1432" s="1"/>
      <c r="I1432" s="1"/>
      <c r="J1432" s="1"/>
      <c r="K1432" s="1"/>
    </row>
    <row r="1433" spans="5:11">
      <c r="E1433" s="1"/>
      <c r="F1433" s="1"/>
      <c r="H1433" s="1"/>
      <c r="I1433" s="1"/>
      <c r="J1433" s="1"/>
      <c r="K1433" s="1"/>
    </row>
    <row r="1434" spans="5:11">
      <c r="E1434" s="1"/>
      <c r="F1434" s="1"/>
      <c r="H1434" s="1"/>
      <c r="I1434" s="1"/>
      <c r="J1434" s="1"/>
      <c r="K1434" s="1"/>
    </row>
    <row r="1435" spans="5:11">
      <c r="E1435" s="1"/>
      <c r="F1435" s="1"/>
      <c r="H1435" s="1"/>
      <c r="I1435" s="1"/>
      <c r="J1435" s="1"/>
      <c r="K1435" s="1"/>
    </row>
    <row r="1436" spans="5:11">
      <c r="E1436" s="1"/>
      <c r="F1436" s="1"/>
      <c r="H1436" s="1"/>
      <c r="I1436" s="1"/>
      <c r="J1436" s="1"/>
      <c r="K1436" s="1"/>
    </row>
    <row r="1437" spans="5:11">
      <c r="E1437" s="1"/>
      <c r="F1437" s="1"/>
      <c r="H1437" s="1"/>
      <c r="I1437" s="1"/>
      <c r="J1437" s="1"/>
      <c r="K1437" s="1"/>
    </row>
    <row r="1438" spans="5:11">
      <c r="E1438" s="1"/>
      <c r="F1438" s="1"/>
      <c r="H1438" s="1"/>
      <c r="I1438" s="1"/>
      <c r="J1438" s="1"/>
      <c r="K1438" s="1"/>
    </row>
    <row r="1439" spans="5:11">
      <c r="E1439" s="1"/>
      <c r="F1439" s="1"/>
      <c r="H1439" s="1"/>
      <c r="I1439" s="1"/>
      <c r="J1439" s="1"/>
      <c r="K1439" s="1"/>
    </row>
    <row r="1440" spans="5:11">
      <c r="E1440" s="1"/>
      <c r="F1440" s="1"/>
      <c r="H1440" s="1"/>
      <c r="I1440" s="1"/>
      <c r="J1440" s="1"/>
      <c r="K1440" s="1"/>
    </row>
    <row r="1441" spans="5:11">
      <c r="E1441" s="1"/>
      <c r="F1441" s="1"/>
      <c r="H1441" s="1"/>
      <c r="I1441" s="1"/>
      <c r="J1441" s="1"/>
      <c r="K1441" s="1"/>
    </row>
    <row r="1442" spans="5:11">
      <c r="E1442" s="1"/>
      <c r="F1442" s="1"/>
      <c r="H1442" s="1"/>
      <c r="I1442" s="1"/>
      <c r="J1442" s="1"/>
      <c r="K1442" s="1"/>
    </row>
    <row r="1443" spans="5:11">
      <c r="E1443" s="1"/>
      <c r="F1443" s="1"/>
      <c r="H1443" s="1"/>
      <c r="I1443" s="1"/>
      <c r="J1443" s="1"/>
      <c r="K1443" s="1"/>
    </row>
    <row r="1444" spans="5:11">
      <c r="E1444" s="1"/>
      <c r="F1444" s="1"/>
      <c r="H1444" s="1"/>
      <c r="I1444" s="1"/>
      <c r="J1444" s="1"/>
      <c r="K1444" s="1"/>
    </row>
    <row r="1445" spans="5:11">
      <c r="E1445" s="1"/>
      <c r="F1445" s="1"/>
      <c r="H1445" s="1"/>
      <c r="I1445" s="1"/>
      <c r="J1445" s="1"/>
      <c r="K1445" s="1"/>
    </row>
    <row r="1446" spans="5:11">
      <c r="E1446" s="1"/>
      <c r="F1446" s="1"/>
      <c r="H1446" s="1"/>
      <c r="I1446" s="1"/>
      <c r="J1446" s="1"/>
      <c r="K1446" s="1"/>
    </row>
    <row r="1447" spans="5:11">
      <c r="E1447" s="1"/>
      <c r="F1447" s="1"/>
      <c r="H1447" s="1"/>
      <c r="I1447" s="1"/>
      <c r="J1447" s="1"/>
      <c r="K1447" s="1"/>
    </row>
    <row r="1448" spans="5:11">
      <c r="E1448" s="1"/>
      <c r="F1448" s="1"/>
      <c r="H1448" s="1"/>
      <c r="I1448" s="1"/>
      <c r="J1448" s="1"/>
      <c r="K1448" s="1"/>
    </row>
    <row r="1449" spans="5:11">
      <c r="E1449" s="1"/>
      <c r="F1449" s="1"/>
      <c r="H1449" s="1"/>
      <c r="I1449" s="1"/>
      <c r="J1449" s="1"/>
      <c r="K1449" s="1"/>
    </row>
    <row r="1450" spans="5:11">
      <c r="E1450" s="1"/>
      <c r="F1450" s="1"/>
      <c r="H1450" s="1"/>
      <c r="I1450" s="1"/>
      <c r="J1450" s="1"/>
      <c r="K1450" s="1"/>
    </row>
    <row r="1451" spans="5:11">
      <c r="E1451" s="1"/>
      <c r="F1451" s="1"/>
      <c r="H1451" s="1"/>
      <c r="I1451" s="1"/>
      <c r="J1451" s="1"/>
      <c r="K1451" s="1"/>
    </row>
    <row r="1452" spans="5:11">
      <c r="E1452" s="1"/>
      <c r="F1452" s="1"/>
      <c r="H1452" s="1"/>
      <c r="I1452" s="1"/>
      <c r="J1452" s="1"/>
      <c r="K1452" s="1"/>
    </row>
    <row r="1453" spans="5:11">
      <c r="E1453" s="1"/>
      <c r="F1453" s="1"/>
      <c r="H1453" s="1"/>
      <c r="I1453" s="1"/>
      <c r="J1453" s="1"/>
      <c r="K1453" s="1"/>
    </row>
    <row r="1454" spans="5:11">
      <c r="E1454" s="1"/>
      <c r="F1454" s="1"/>
      <c r="H1454" s="1"/>
      <c r="I1454" s="1"/>
      <c r="J1454" s="1"/>
      <c r="K1454" s="1"/>
    </row>
    <row r="1455" spans="5:11">
      <c r="E1455" s="1"/>
      <c r="F1455" s="1"/>
      <c r="H1455" s="1"/>
      <c r="I1455" s="1"/>
      <c r="J1455" s="1"/>
      <c r="K1455" s="1"/>
    </row>
    <row r="1456" spans="5:11">
      <c r="E1456" s="1"/>
      <c r="F1456" s="1"/>
      <c r="H1456" s="1"/>
      <c r="I1456" s="1"/>
      <c r="J1456" s="1"/>
      <c r="K1456" s="1"/>
    </row>
    <row r="1457" spans="5:11">
      <c r="E1457" s="1"/>
      <c r="F1457" s="1"/>
      <c r="H1457" s="1"/>
      <c r="I1457" s="1"/>
      <c r="J1457" s="1"/>
      <c r="K1457" s="1"/>
    </row>
    <row r="1458" spans="5:11">
      <c r="E1458" s="1"/>
      <c r="F1458" s="1"/>
      <c r="H1458" s="1"/>
      <c r="I1458" s="1"/>
      <c r="J1458" s="1"/>
      <c r="K1458" s="1"/>
    </row>
    <row r="1459" spans="5:11">
      <c r="E1459" s="1"/>
      <c r="F1459" s="1"/>
      <c r="H1459" s="1"/>
      <c r="I1459" s="1"/>
      <c r="J1459" s="1"/>
      <c r="K1459" s="1"/>
    </row>
    <row r="1460" spans="5:11">
      <c r="E1460" s="1"/>
      <c r="F1460" s="1"/>
      <c r="H1460" s="1"/>
      <c r="I1460" s="1"/>
      <c r="J1460" s="1"/>
      <c r="K1460" s="1"/>
    </row>
    <row r="1461" spans="5:11">
      <c r="E1461" s="1"/>
      <c r="F1461" s="1"/>
      <c r="H1461" s="1"/>
      <c r="I1461" s="1"/>
      <c r="J1461" s="1"/>
      <c r="K1461" s="1"/>
    </row>
    <row r="1462" spans="5:11">
      <c r="E1462" s="1"/>
      <c r="F1462" s="1"/>
      <c r="H1462" s="1"/>
      <c r="I1462" s="1"/>
      <c r="J1462" s="1"/>
      <c r="K1462" s="1"/>
    </row>
    <row r="1463" spans="5:11">
      <c r="E1463" s="1"/>
      <c r="F1463" s="1"/>
      <c r="H1463" s="1"/>
      <c r="I1463" s="1"/>
      <c r="J1463" s="1"/>
      <c r="K1463" s="1"/>
    </row>
    <row r="1464" spans="5:11">
      <c r="E1464" s="1"/>
      <c r="F1464" s="1"/>
      <c r="H1464" s="1"/>
      <c r="I1464" s="1"/>
      <c r="J1464" s="1"/>
      <c r="K1464" s="1"/>
    </row>
    <row r="1465" spans="5:11">
      <c r="E1465" s="1"/>
      <c r="F1465" s="1"/>
      <c r="H1465" s="1"/>
      <c r="I1465" s="1"/>
      <c r="J1465" s="1"/>
      <c r="K1465" s="1"/>
    </row>
    <row r="1466" spans="5:11">
      <c r="E1466" s="1"/>
      <c r="F1466" s="1"/>
      <c r="H1466" s="1"/>
      <c r="I1466" s="1"/>
      <c r="J1466" s="1"/>
      <c r="K1466" s="1"/>
    </row>
    <row r="1467" spans="5:11">
      <c r="E1467" s="1"/>
      <c r="F1467" s="1"/>
      <c r="H1467" s="1"/>
      <c r="I1467" s="1"/>
      <c r="J1467" s="1"/>
      <c r="K1467" s="1"/>
    </row>
    <row r="1468" spans="5:11">
      <c r="E1468" s="1"/>
      <c r="F1468" s="1"/>
      <c r="H1468" s="1"/>
      <c r="I1468" s="1"/>
      <c r="J1468" s="1"/>
      <c r="K1468" s="1"/>
    </row>
    <row r="1469" spans="5:11">
      <c r="E1469" s="1"/>
      <c r="F1469" s="1"/>
      <c r="H1469" s="1"/>
      <c r="I1469" s="1"/>
      <c r="J1469" s="1"/>
      <c r="K1469" s="1"/>
    </row>
    <row r="1470" spans="5:11">
      <c r="E1470" s="1"/>
      <c r="F1470" s="1"/>
      <c r="H1470" s="1"/>
      <c r="I1470" s="1"/>
      <c r="J1470" s="1"/>
      <c r="K1470" s="1"/>
    </row>
    <row r="1471" spans="5:11">
      <c r="E1471" s="1"/>
      <c r="F1471" s="1"/>
      <c r="H1471" s="1"/>
      <c r="I1471" s="1"/>
      <c r="J1471" s="1"/>
      <c r="K1471" s="1"/>
    </row>
    <row r="1472" spans="5:11">
      <c r="E1472" s="1"/>
      <c r="F1472" s="1"/>
      <c r="H1472" s="1"/>
      <c r="I1472" s="1"/>
      <c r="J1472" s="1"/>
      <c r="K1472" s="1"/>
    </row>
    <row r="1473" spans="5:11">
      <c r="E1473" s="1"/>
      <c r="F1473" s="1"/>
      <c r="H1473" s="1"/>
      <c r="I1473" s="1"/>
      <c r="J1473" s="1"/>
      <c r="K1473" s="1"/>
    </row>
    <row r="1474" spans="5:11">
      <c r="E1474" s="1"/>
      <c r="F1474" s="1"/>
      <c r="H1474" s="1"/>
      <c r="I1474" s="1"/>
      <c r="J1474" s="1"/>
      <c r="K1474" s="1"/>
    </row>
    <row r="1475" spans="5:11">
      <c r="E1475" s="1"/>
      <c r="F1475" s="1"/>
      <c r="H1475" s="1"/>
      <c r="I1475" s="1"/>
      <c r="J1475" s="1"/>
      <c r="K1475" s="1"/>
    </row>
    <row r="1476" spans="5:11">
      <c r="E1476" s="1"/>
      <c r="F1476" s="1"/>
      <c r="H1476" s="1"/>
      <c r="I1476" s="1"/>
      <c r="J1476" s="1"/>
      <c r="K1476" s="1"/>
    </row>
    <row r="1477" spans="5:11">
      <c r="E1477" s="1"/>
      <c r="F1477" s="1"/>
      <c r="H1477" s="1"/>
      <c r="I1477" s="1"/>
      <c r="J1477" s="1"/>
      <c r="K1477" s="1"/>
    </row>
    <row r="1478" spans="5:11">
      <c r="E1478" s="1"/>
      <c r="F1478" s="1"/>
      <c r="H1478" s="1"/>
      <c r="I1478" s="1"/>
      <c r="J1478" s="1"/>
      <c r="K1478" s="1"/>
    </row>
    <row r="1479" spans="5:11">
      <c r="E1479" s="1"/>
      <c r="F1479" s="1"/>
      <c r="H1479" s="1"/>
      <c r="I1479" s="1"/>
      <c r="J1479" s="1"/>
      <c r="K1479" s="1"/>
    </row>
    <row r="1480" spans="5:11">
      <c r="E1480" s="1"/>
      <c r="F1480" s="1"/>
      <c r="H1480" s="1"/>
      <c r="I1480" s="1"/>
      <c r="J1480" s="1"/>
      <c r="K1480" s="1"/>
    </row>
    <row r="1481" spans="5:11">
      <c r="E1481" s="1"/>
      <c r="F1481" s="1"/>
      <c r="H1481" s="1"/>
      <c r="I1481" s="1"/>
      <c r="J1481" s="1"/>
      <c r="K1481" s="1"/>
    </row>
    <row r="1482" spans="5:11">
      <c r="E1482" s="1"/>
      <c r="F1482" s="1"/>
      <c r="H1482" s="1"/>
      <c r="I1482" s="1"/>
      <c r="J1482" s="1"/>
      <c r="K1482" s="1"/>
    </row>
    <row r="1483" spans="5:11">
      <c r="E1483" s="1"/>
      <c r="F1483" s="1"/>
      <c r="H1483" s="1"/>
      <c r="I1483" s="1"/>
      <c r="J1483" s="1"/>
      <c r="K1483" s="1"/>
    </row>
    <row r="1484" spans="5:11">
      <c r="E1484" s="1"/>
      <c r="F1484" s="1"/>
      <c r="H1484" s="1"/>
      <c r="I1484" s="1"/>
      <c r="J1484" s="1"/>
      <c r="K1484" s="1"/>
    </row>
    <row r="1485" spans="5:11">
      <c r="E1485" s="1"/>
      <c r="F1485" s="1"/>
      <c r="H1485" s="1"/>
      <c r="I1485" s="1"/>
      <c r="J1485" s="1"/>
      <c r="K1485" s="1"/>
    </row>
    <row r="1486" spans="5:11">
      <c r="E1486" s="1"/>
      <c r="F1486" s="1"/>
      <c r="H1486" s="1"/>
      <c r="I1486" s="1"/>
      <c r="J1486" s="1"/>
      <c r="K1486" s="1"/>
    </row>
    <row r="1487" spans="5:11">
      <c r="E1487" s="1"/>
      <c r="F1487" s="1"/>
      <c r="H1487" s="1"/>
      <c r="I1487" s="1"/>
      <c r="J1487" s="1"/>
      <c r="K1487" s="1"/>
    </row>
    <row r="1488" spans="5:11">
      <c r="E1488" s="1"/>
      <c r="F1488" s="1"/>
      <c r="H1488" s="1"/>
      <c r="I1488" s="1"/>
      <c r="J1488" s="1"/>
      <c r="K1488" s="1"/>
    </row>
    <row r="1489" spans="5:11">
      <c r="E1489" s="1"/>
      <c r="F1489" s="1"/>
      <c r="H1489" s="1"/>
      <c r="I1489" s="1"/>
      <c r="J1489" s="1"/>
      <c r="K1489" s="1"/>
    </row>
    <row r="1490" spans="5:11">
      <c r="E1490" s="1"/>
      <c r="F1490" s="1"/>
      <c r="H1490" s="1"/>
      <c r="I1490" s="1"/>
      <c r="J1490" s="1"/>
      <c r="K1490" s="1"/>
    </row>
    <row r="1491" spans="5:11">
      <c r="E1491" s="1"/>
      <c r="F1491" s="1"/>
      <c r="H1491" s="1"/>
      <c r="I1491" s="1"/>
      <c r="J1491" s="1"/>
      <c r="K1491" s="1"/>
    </row>
    <row r="1492" spans="5:11">
      <c r="E1492" s="1"/>
      <c r="F1492" s="1"/>
      <c r="H1492" s="1"/>
      <c r="I1492" s="1"/>
      <c r="J1492" s="1"/>
      <c r="K1492" s="1"/>
    </row>
    <row r="1493" spans="5:11">
      <c r="E1493" s="1"/>
      <c r="F1493" s="1"/>
      <c r="H1493" s="1"/>
      <c r="I1493" s="1"/>
      <c r="J1493" s="1"/>
      <c r="K1493" s="1"/>
    </row>
    <row r="1494" spans="5:11">
      <c r="E1494" s="1"/>
      <c r="F1494" s="1"/>
      <c r="H1494" s="1"/>
      <c r="I1494" s="1"/>
      <c r="J1494" s="1"/>
      <c r="K1494" s="1"/>
    </row>
    <row r="1495" spans="5:11">
      <c r="E1495" s="1"/>
      <c r="F1495" s="1"/>
      <c r="H1495" s="1"/>
      <c r="I1495" s="1"/>
      <c r="J1495" s="1"/>
      <c r="K1495" s="1"/>
    </row>
    <row r="1496" spans="5:11">
      <c r="E1496" s="1"/>
      <c r="F1496" s="1"/>
      <c r="H1496" s="1"/>
      <c r="I1496" s="1"/>
      <c r="J1496" s="1"/>
      <c r="K1496" s="1"/>
    </row>
    <row r="1497" spans="5:11">
      <c r="E1497" s="1"/>
      <c r="F1497" s="1"/>
      <c r="H1497" s="1"/>
      <c r="I1497" s="1"/>
      <c r="J1497" s="1"/>
      <c r="K1497" s="1"/>
    </row>
    <row r="1498" spans="5:11">
      <c r="E1498" s="1"/>
      <c r="F1498" s="1"/>
      <c r="H1498" s="1"/>
      <c r="I1498" s="1"/>
      <c r="J1498" s="1"/>
      <c r="K1498" s="1"/>
    </row>
    <row r="1499" spans="5:11">
      <c r="E1499" s="1"/>
      <c r="F1499" s="1"/>
      <c r="H1499" s="1"/>
      <c r="I1499" s="1"/>
      <c r="J1499" s="1"/>
      <c r="K1499" s="1"/>
    </row>
    <row r="1500" spans="5:11">
      <c r="E1500" s="1"/>
      <c r="F1500" s="1"/>
      <c r="H1500" s="1"/>
      <c r="I1500" s="1"/>
      <c r="J1500" s="1"/>
      <c r="K1500" s="1"/>
    </row>
    <row r="1501" spans="5:11">
      <c r="E1501" s="1"/>
      <c r="F1501" s="1"/>
      <c r="H1501" s="1"/>
      <c r="I1501" s="1"/>
      <c r="J1501" s="1"/>
      <c r="K1501" s="1"/>
    </row>
    <row r="1502" spans="5:11">
      <c r="E1502" s="1"/>
      <c r="F1502" s="1"/>
      <c r="H1502" s="1"/>
      <c r="I1502" s="1"/>
      <c r="J1502" s="1"/>
      <c r="K1502" s="1"/>
    </row>
    <row r="1503" spans="5:11">
      <c r="E1503" s="1"/>
      <c r="F1503" s="1"/>
      <c r="H1503" s="1"/>
      <c r="I1503" s="1"/>
      <c r="J1503" s="1"/>
      <c r="K1503" s="1"/>
    </row>
    <row r="1504" spans="5:11">
      <c r="E1504" s="1"/>
      <c r="F1504" s="1"/>
      <c r="H1504" s="1"/>
      <c r="I1504" s="1"/>
      <c r="J1504" s="1"/>
      <c r="K1504" s="1"/>
    </row>
    <row r="1505" spans="5:11">
      <c r="E1505" s="1"/>
      <c r="F1505" s="1"/>
      <c r="H1505" s="1"/>
      <c r="I1505" s="1"/>
      <c r="J1505" s="1"/>
      <c r="K1505" s="1"/>
    </row>
    <row r="1506" spans="5:11">
      <c r="E1506" s="1"/>
      <c r="F1506" s="1"/>
      <c r="H1506" s="1"/>
      <c r="I1506" s="1"/>
      <c r="J1506" s="1"/>
      <c r="K1506" s="1"/>
    </row>
    <row r="1507" spans="5:11">
      <c r="E1507" s="1"/>
      <c r="F1507" s="1"/>
      <c r="H1507" s="1"/>
      <c r="I1507" s="1"/>
      <c r="J1507" s="1"/>
      <c r="K1507" s="1"/>
    </row>
    <row r="1508" spans="5:11">
      <c r="E1508" s="1"/>
      <c r="F1508" s="1"/>
      <c r="H1508" s="1"/>
      <c r="I1508" s="1"/>
      <c r="J1508" s="1"/>
      <c r="K1508" s="1"/>
    </row>
    <row r="1509" spans="5:11">
      <c r="E1509" s="1"/>
      <c r="F1509" s="1"/>
      <c r="H1509" s="1"/>
      <c r="I1509" s="1"/>
      <c r="J1509" s="1"/>
      <c r="K1509" s="1"/>
    </row>
    <row r="1510" spans="5:11">
      <c r="E1510" s="1"/>
      <c r="F1510" s="1"/>
      <c r="H1510" s="1"/>
      <c r="I1510" s="1"/>
      <c r="J1510" s="1"/>
      <c r="K1510" s="1"/>
    </row>
    <row r="1511" spans="5:11">
      <c r="E1511" s="1"/>
      <c r="F1511" s="1"/>
      <c r="H1511" s="1"/>
      <c r="I1511" s="1"/>
      <c r="J1511" s="1"/>
      <c r="K1511" s="1"/>
    </row>
    <row r="1512" spans="5:11">
      <c r="E1512" s="1"/>
      <c r="F1512" s="1"/>
      <c r="H1512" s="1"/>
      <c r="I1512" s="1"/>
      <c r="J1512" s="1"/>
      <c r="K1512" s="1"/>
    </row>
    <row r="1513" spans="5:11">
      <c r="E1513" s="1"/>
      <c r="F1513" s="1"/>
      <c r="H1513" s="1"/>
      <c r="I1513" s="1"/>
      <c r="J1513" s="1"/>
      <c r="K1513" s="1"/>
    </row>
    <row r="1514" spans="5:11">
      <c r="E1514" s="1"/>
      <c r="F1514" s="1"/>
      <c r="H1514" s="1"/>
      <c r="I1514" s="1"/>
      <c r="J1514" s="1"/>
      <c r="K1514" s="1"/>
    </row>
    <row r="1515" spans="5:11">
      <c r="E1515" s="1"/>
      <c r="F1515" s="1"/>
      <c r="H1515" s="1"/>
      <c r="I1515" s="1"/>
      <c r="J1515" s="1"/>
      <c r="K1515" s="1"/>
    </row>
    <row r="1516" spans="5:11">
      <c r="E1516" s="1"/>
      <c r="F1516" s="1"/>
      <c r="H1516" s="1"/>
      <c r="I1516" s="1"/>
      <c r="J1516" s="1"/>
      <c r="K1516" s="1"/>
    </row>
    <row r="1517" spans="5:11">
      <c r="E1517" s="1"/>
      <c r="F1517" s="1"/>
      <c r="H1517" s="1"/>
      <c r="I1517" s="1"/>
      <c r="J1517" s="1"/>
      <c r="K1517" s="1"/>
    </row>
    <row r="1518" spans="5:11">
      <c r="E1518" s="1"/>
      <c r="F1518" s="1"/>
      <c r="H1518" s="1"/>
      <c r="I1518" s="1"/>
      <c r="J1518" s="1"/>
      <c r="K1518" s="1"/>
    </row>
    <row r="1519" spans="5:11">
      <c r="E1519" s="1"/>
      <c r="F1519" s="1"/>
      <c r="H1519" s="1"/>
      <c r="I1519" s="1"/>
      <c r="J1519" s="1"/>
      <c r="K1519" s="1"/>
    </row>
    <row r="1520" spans="5:11">
      <c r="E1520" s="1"/>
      <c r="F1520" s="1"/>
      <c r="H1520" s="1"/>
      <c r="I1520" s="1"/>
      <c r="J1520" s="1"/>
      <c r="K1520" s="1"/>
    </row>
    <row r="1521" spans="5:11">
      <c r="E1521" s="1"/>
      <c r="F1521" s="1"/>
      <c r="H1521" s="1"/>
      <c r="I1521" s="1"/>
      <c r="J1521" s="1"/>
      <c r="K1521" s="1"/>
    </row>
    <row r="1522" spans="5:11">
      <c r="E1522" s="1"/>
      <c r="F1522" s="1"/>
      <c r="H1522" s="1"/>
      <c r="I1522" s="1"/>
      <c r="J1522" s="1"/>
      <c r="K1522" s="1"/>
    </row>
    <row r="1523" spans="5:11">
      <c r="E1523" s="1"/>
      <c r="F1523" s="1"/>
      <c r="H1523" s="1"/>
      <c r="I1523" s="1"/>
      <c r="J1523" s="1"/>
      <c r="K1523" s="1"/>
    </row>
    <row r="1524" spans="5:11">
      <c r="E1524" s="1"/>
      <c r="F1524" s="1"/>
      <c r="H1524" s="1"/>
      <c r="I1524" s="1"/>
      <c r="J1524" s="1"/>
      <c r="K1524" s="1"/>
    </row>
    <row r="1525" spans="5:11">
      <c r="E1525" s="1"/>
      <c r="F1525" s="1"/>
      <c r="H1525" s="1"/>
      <c r="I1525" s="1"/>
      <c r="J1525" s="1"/>
      <c r="K1525" s="1"/>
    </row>
    <row r="1526" spans="5:11">
      <c r="E1526" s="1"/>
      <c r="F1526" s="1"/>
      <c r="H1526" s="1"/>
      <c r="I1526" s="1"/>
      <c r="J1526" s="1"/>
      <c r="K1526" s="1"/>
    </row>
    <row r="1527" spans="5:11">
      <c r="E1527" s="1"/>
      <c r="F1527" s="1"/>
      <c r="H1527" s="1"/>
      <c r="I1527" s="1"/>
      <c r="J1527" s="1"/>
      <c r="K1527" s="1"/>
    </row>
    <row r="1528" spans="5:11">
      <c r="E1528" s="1"/>
      <c r="F1528" s="1"/>
      <c r="H1528" s="1"/>
      <c r="I1528" s="1"/>
      <c r="J1528" s="1"/>
      <c r="K1528" s="1"/>
    </row>
    <row r="1529" spans="5:11">
      <c r="E1529" s="1"/>
      <c r="F1529" s="1"/>
      <c r="H1529" s="1"/>
      <c r="I1529" s="1"/>
      <c r="J1529" s="1"/>
      <c r="K1529" s="1"/>
    </row>
    <row r="1530" spans="5:11">
      <c r="E1530" s="1"/>
      <c r="F1530" s="1"/>
      <c r="H1530" s="1"/>
      <c r="I1530" s="1"/>
      <c r="J1530" s="1"/>
      <c r="K1530" s="1"/>
    </row>
    <row r="1531" spans="5:11">
      <c r="E1531" s="1"/>
      <c r="F1531" s="1"/>
      <c r="H1531" s="1"/>
      <c r="I1531" s="1"/>
      <c r="J1531" s="1"/>
      <c r="K1531" s="1"/>
    </row>
  </sheetData>
  <mergeCells count="1022">
    <mergeCell ref="X366:AA366"/>
    <mergeCell ref="X179:AA179"/>
    <mergeCell ref="X306:AA306"/>
    <mergeCell ref="B196:E196"/>
    <mergeCell ref="B207:E207"/>
    <mergeCell ref="B204:E204"/>
    <mergeCell ref="B193:E193"/>
    <mergeCell ref="B200:E200"/>
    <mergeCell ref="X255:AA255"/>
    <mergeCell ref="B191:E191"/>
    <mergeCell ref="B230:E230"/>
    <mergeCell ref="B206:E206"/>
    <mergeCell ref="B214:E214"/>
    <mergeCell ref="X251:AA251"/>
    <mergeCell ref="X275:AA275"/>
    <mergeCell ref="B227:E227"/>
    <mergeCell ref="B202:E202"/>
    <mergeCell ref="B210:E210"/>
    <mergeCell ref="X225:AA225"/>
    <mergeCell ref="X242:AA242"/>
    <mergeCell ref="X231:AA231"/>
    <mergeCell ref="X229:AA229"/>
    <mergeCell ref="B238:B239"/>
    <mergeCell ref="B229:E229"/>
    <mergeCell ref="B208:E208"/>
    <mergeCell ref="B240:E240"/>
    <mergeCell ref="B245:E245"/>
    <mergeCell ref="B246:E246"/>
    <mergeCell ref="X252:AA252"/>
    <mergeCell ref="B243:E243"/>
    <mergeCell ref="X243:AA243"/>
    <mergeCell ref="X246:AA246"/>
    <mergeCell ref="B49:E49"/>
    <mergeCell ref="B168:E168"/>
    <mergeCell ref="X126:AA126"/>
    <mergeCell ref="B97:E97"/>
    <mergeCell ref="Q16:W16"/>
    <mergeCell ref="Q17:W17"/>
    <mergeCell ref="B17:E17"/>
    <mergeCell ref="C8:E9"/>
    <mergeCell ref="B13:E13"/>
    <mergeCell ref="AF398:AH398"/>
    <mergeCell ref="AB398:AB399"/>
    <mergeCell ref="AF318:AH318"/>
    <mergeCell ref="AF238:AH238"/>
    <mergeCell ref="AB318:AB319"/>
    <mergeCell ref="X318:AA319"/>
    <mergeCell ref="X297:AA297"/>
    <mergeCell ref="B266:E266"/>
    <mergeCell ref="B256:E256"/>
    <mergeCell ref="X265:AA265"/>
    <mergeCell ref="B264:E264"/>
    <mergeCell ref="X263:AA263"/>
    <mergeCell ref="X261:AA261"/>
    <mergeCell ref="AB238:AB239"/>
    <mergeCell ref="B272:E272"/>
    <mergeCell ref="B313:E313"/>
    <mergeCell ref="H238:W238"/>
    <mergeCell ref="B388:E388"/>
    <mergeCell ref="B361:E361"/>
    <mergeCell ref="B276:E276"/>
    <mergeCell ref="B328:E328"/>
    <mergeCell ref="H270:M275"/>
    <mergeCell ref="G238:G239"/>
    <mergeCell ref="F51:I54"/>
    <mergeCell ref="B43:E43"/>
    <mergeCell ref="B247:E247"/>
    <mergeCell ref="B64:E64"/>
    <mergeCell ref="B45:E45"/>
    <mergeCell ref="H45:K45"/>
    <mergeCell ref="X45:AA45"/>
    <mergeCell ref="H43:K43"/>
    <mergeCell ref="B87:E87"/>
    <mergeCell ref="B113:E113"/>
    <mergeCell ref="B23:E23"/>
    <mergeCell ref="X26:AA26"/>
    <mergeCell ref="X83:Z83"/>
    <mergeCell ref="B83:E83"/>
    <mergeCell ref="X20:AA20"/>
    <mergeCell ref="F8:F9"/>
    <mergeCell ref="B132:E132"/>
    <mergeCell ref="B130:E130"/>
    <mergeCell ref="B150:E150"/>
    <mergeCell ref="B174:E174"/>
    <mergeCell ref="B143:E143"/>
    <mergeCell ref="B127:E127"/>
    <mergeCell ref="X128:AA128"/>
    <mergeCell ref="B112:E112"/>
    <mergeCell ref="B98:E98"/>
    <mergeCell ref="B94:E94"/>
    <mergeCell ref="B161:E161"/>
    <mergeCell ref="B160:E160"/>
    <mergeCell ref="X49:AA49"/>
    <mergeCell ref="B55:E55"/>
    <mergeCell ref="B152:E152"/>
    <mergeCell ref="B58:E58"/>
    <mergeCell ref="X15:AA15"/>
    <mergeCell ref="X8:AA9"/>
    <mergeCell ref="B14:E14"/>
    <mergeCell ref="E3:W3"/>
    <mergeCell ref="E4:W4"/>
    <mergeCell ref="Y2:AD2"/>
    <mergeCell ref="G8:G9"/>
    <mergeCell ref="Q10:W10"/>
    <mergeCell ref="B18:E18"/>
    <mergeCell ref="B2:W2"/>
    <mergeCell ref="X16:AA16"/>
    <mergeCell ref="AF20:AI20"/>
    <mergeCell ref="X258:AA258"/>
    <mergeCell ref="B271:E271"/>
    <mergeCell ref="X270:AA270"/>
    <mergeCell ref="B260:E260"/>
    <mergeCell ref="X271:AA271"/>
    <mergeCell ref="B268:E268"/>
    <mergeCell ref="B262:E262"/>
    <mergeCell ref="B265:E265"/>
    <mergeCell ref="B261:E261"/>
    <mergeCell ref="B269:E269"/>
    <mergeCell ref="X267:AA267"/>
    <mergeCell ref="X266:AA266"/>
    <mergeCell ref="B267:E267"/>
    <mergeCell ref="AC134:AF134"/>
    <mergeCell ref="X154:AA154"/>
    <mergeCell ref="X173:AA173"/>
    <mergeCell ref="AB158:AB159"/>
    <mergeCell ref="X142:AA142"/>
    <mergeCell ref="B166:E166"/>
    <mergeCell ref="AF158:AH158"/>
    <mergeCell ref="G110:M110"/>
    <mergeCell ref="B136:E136"/>
    <mergeCell ref="B96:E96"/>
    <mergeCell ref="B86:E86"/>
    <mergeCell ref="B63:E63"/>
    <mergeCell ref="X86:Z86"/>
    <mergeCell ref="X346:AA346"/>
    <mergeCell ref="B525:E525"/>
    <mergeCell ref="B109:E109"/>
    <mergeCell ref="X108:AA108"/>
    <mergeCell ref="B467:E467"/>
    <mergeCell ref="H318:W318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B19:E19"/>
    <mergeCell ref="B93:E93"/>
    <mergeCell ref="B91:E91"/>
    <mergeCell ref="B138:E138"/>
    <mergeCell ref="B162:E162"/>
    <mergeCell ref="B6:W6"/>
    <mergeCell ref="X466:AA466"/>
    <mergeCell ref="X467:AA467"/>
    <mergeCell ref="B298:E298"/>
    <mergeCell ref="B310:E310"/>
    <mergeCell ref="B362:E362"/>
    <mergeCell ref="X362:AA362"/>
    <mergeCell ref="B486:E486"/>
    <mergeCell ref="H8:W8"/>
    <mergeCell ref="B10:E10"/>
    <mergeCell ref="B8:B9"/>
    <mergeCell ref="B548:E548"/>
    <mergeCell ref="B597:E597"/>
    <mergeCell ref="B41:E41"/>
    <mergeCell ref="H41:K41"/>
    <mergeCell ref="B145:E145"/>
    <mergeCell ref="B88:E88"/>
    <mergeCell ref="B80:E80"/>
    <mergeCell ref="X87:Z87"/>
    <mergeCell ref="B90:E90"/>
    <mergeCell ref="B85:E85"/>
    <mergeCell ref="C78:E79"/>
    <mergeCell ref="X78:AA79"/>
    <mergeCell ref="B78:B79"/>
    <mergeCell ref="B89:E89"/>
    <mergeCell ref="G107:O107"/>
    <mergeCell ref="G108:O108"/>
    <mergeCell ref="X294:AA294"/>
    <mergeCell ref="B292:E292"/>
    <mergeCell ref="B290:E290"/>
    <mergeCell ref="B320:E320"/>
    <mergeCell ref="B321:E321"/>
    <mergeCell ref="X260:AA260"/>
    <mergeCell ref="B254:E254"/>
    <mergeCell ref="B274:E274"/>
    <mergeCell ref="B287:E287"/>
    <mergeCell ref="B258:E258"/>
    <mergeCell ref="X277:AA277"/>
    <mergeCell ref="X288:AA288"/>
    <mergeCell ref="X273:AA273"/>
    <mergeCell ref="X365:AA365"/>
    <mergeCell ref="X340:AA340"/>
    <mergeCell ref="B273:E273"/>
    <mergeCell ref="X272:AA272"/>
    <mergeCell ref="B263:E263"/>
    <mergeCell ref="B257:E257"/>
    <mergeCell ref="B296:E296"/>
    <mergeCell ref="B283:E283"/>
    <mergeCell ref="B277:E277"/>
    <mergeCell ref="B279:E279"/>
    <mergeCell ref="B291:E291"/>
    <mergeCell ref="X305:AA305"/>
    <mergeCell ref="X304:AA304"/>
    <mergeCell ref="X302:AA302"/>
    <mergeCell ref="B302:E302"/>
    <mergeCell ref="X295:AA295"/>
    <mergeCell ref="X257:AA257"/>
    <mergeCell ref="X254:AA254"/>
    <mergeCell ref="B255:E255"/>
    <mergeCell ref="B300:E300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7:AA137"/>
    <mergeCell ref="X138:AA138"/>
    <mergeCell ref="B221:E221"/>
    <mergeCell ref="B203:E203"/>
    <mergeCell ref="B212:E212"/>
    <mergeCell ref="B139:E139"/>
    <mergeCell ref="X174:AA174"/>
    <mergeCell ref="B177:E177"/>
    <mergeCell ref="X171:AA171"/>
    <mergeCell ref="B183:E183"/>
    <mergeCell ref="AB78:AB79"/>
    <mergeCell ref="F78:F79"/>
    <mergeCell ref="X44:AA44"/>
    <mergeCell ref="B68:E68"/>
    <mergeCell ref="B66:E66"/>
    <mergeCell ref="I69:M69"/>
    <mergeCell ref="B71:E71"/>
    <mergeCell ref="X127:AA127"/>
    <mergeCell ref="F80:I90"/>
    <mergeCell ref="B82:E82"/>
    <mergeCell ref="A641:A651"/>
    <mergeCell ref="B649:G649"/>
    <mergeCell ref="B620:E620"/>
    <mergeCell ref="B650:G650"/>
    <mergeCell ref="B621:E621"/>
    <mergeCell ref="B623:E623"/>
    <mergeCell ref="B651:G651"/>
    <mergeCell ref="B640:G640"/>
    <mergeCell ref="B563:E563"/>
    <mergeCell ref="B568:E568"/>
    <mergeCell ref="X299:AA299"/>
    <mergeCell ref="B294:E294"/>
    <mergeCell ref="B297:E297"/>
    <mergeCell ref="X290:AA290"/>
    <mergeCell ref="X303:AA303"/>
    <mergeCell ref="X300:AA300"/>
    <mergeCell ref="B286:E286"/>
    <mergeCell ref="B289:E289"/>
    <mergeCell ref="X291:AA291"/>
    <mergeCell ref="X289:AA289"/>
    <mergeCell ref="B346:E346"/>
    <mergeCell ref="B305:E305"/>
    <mergeCell ref="X408:AA408"/>
    <mergeCell ref="X457:AA457"/>
    <mergeCell ref="F398:F399"/>
    <mergeCell ref="H398:W398"/>
    <mergeCell ref="N646:N647"/>
    <mergeCell ref="V646:V647"/>
    <mergeCell ref="B610:E610"/>
    <mergeCell ref="B599:E599"/>
    <mergeCell ref="Q646:Q647"/>
    <mergeCell ref="H560:W560"/>
    <mergeCell ref="B484:E484"/>
    <mergeCell ref="B489:E489"/>
    <mergeCell ref="B519:E519"/>
    <mergeCell ref="G480:G481"/>
    <mergeCell ref="B426:E426"/>
    <mergeCell ref="B428:E428"/>
    <mergeCell ref="C398:E399"/>
    <mergeCell ref="B534:E534"/>
    <mergeCell ref="B533:E533"/>
    <mergeCell ref="B524:E524"/>
    <mergeCell ref="B522:E522"/>
    <mergeCell ref="B458:E458"/>
    <mergeCell ref="F589:F590"/>
    <mergeCell ref="G589:G590"/>
    <mergeCell ref="B535:E535"/>
    <mergeCell ref="B547:E547"/>
    <mergeCell ref="B541:E541"/>
    <mergeCell ref="C560:E561"/>
    <mergeCell ref="B570:E570"/>
    <mergeCell ref="B564:E564"/>
    <mergeCell ref="B546:E546"/>
    <mergeCell ref="B566:E566"/>
    <mergeCell ref="B543:E543"/>
    <mergeCell ref="B539:E539"/>
    <mergeCell ref="B577:E577"/>
    <mergeCell ref="B585:E585"/>
    <mergeCell ref="B459:E459"/>
    <mergeCell ref="B540:E540"/>
    <mergeCell ref="B538:E538"/>
    <mergeCell ref="B440:E440"/>
    <mergeCell ref="B487:E487"/>
    <mergeCell ref="B488:E488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15:E615"/>
    <mergeCell ref="B619:E619"/>
    <mergeCell ref="C667:I673"/>
    <mergeCell ref="C659:I660"/>
    <mergeCell ref="B503:E503"/>
    <mergeCell ref="B502:E502"/>
    <mergeCell ref="B505:E505"/>
    <mergeCell ref="B492:E492"/>
    <mergeCell ref="B530:E530"/>
    <mergeCell ref="B521:E521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07:E607"/>
    <mergeCell ref="B582:E582"/>
    <mergeCell ref="B591:E591"/>
    <mergeCell ref="B611:E611"/>
    <mergeCell ref="B602:E602"/>
    <mergeCell ref="B642:G642"/>
    <mergeCell ref="B601:E601"/>
    <mergeCell ref="H589:U589"/>
    <mergeCell ref="H646:H647"/>
    <mergeCell ref="B574:E574"/>
    <mergeCell ref="B572:E572"/>
    <mergeCell ref="B578:E578"/>
    <mergeCell ref="B583:E583"/>
    <mergeCell ref="C589:E590"/>
    <mergeCell ref="B536:E536"/>
    <mergeCell ref="H78:W78"/>
    <mergeCell ref="X115:AA115"/>
    <mergeCell ref="X111:AA111"/>
    <mergeCell ref="X41:AA41"/>
    <mergeCell ref="B54:E54"/>
    <mergeCell ref="B105:E105"/>
    <mergeCell ref="B104:E104"/>
    <mergeCell ref="B122:E122"/>
    <mergeCell ref="B115:E115"/>
    <mergeCell ref="B103:E103"/>
    <mergeCell ref="B101:E101"/>
    <mergeCell ref="B110:E110"/>
    <mergeCell ref="X82:Z82"/>
    <mergeCell ref="X107:AA107"/>
    <mergeCell ref="G78:G79"/>
    <mergeCell ref="B81:E81"/>
    <mergeCell ref="G121:K121"/>
    <mergeCell ref="G118:K118"/>
    <mergeCell ref="G119:K119"/>
    <mergeCell ref="B108:E108"/>
    <mergeCell ref="H111:M112"/>
    <mergeCell ref="X110:AA110"/>
    <mergeCell ref="X109:AA109"/>
    <mergeCell ref="B106:E106"/>
    <mergeCell ref="B107:E107"/>
    <mergeCell ref="X112:AA112"/>
    <mergeCell ref="B95:E95"/>
    <mergeCell ref="O95:W95"/>
    <mergeCell ref="B52:E52"/>
    <mergeCell ref="B92:E92"/>
    <mergeCell ref="B102:E102"/>
    <mergeCell ref="I113:W114"/>
    <mergeCell ref="B111:E111"/>
    <mergeCell ref="B275:E275"/>
    <mergeCell ref="B209:E209"/>
    <mergeCell ref="B223:E223"/>
    <mergeCell ref="B165:E165"/>
    <mergeCell ref="B164:E164"/>
    <mergeCell ref="B173:E173"/>
    <mergeCell ref="B270:E270"/>
    <mergeCell ref="B187:E187"/>
    <mergeCell ref="B189:E189"/>
    <mergeCell ref="B192:E192"/>
    <mergeCell ref="B242:E242"/>
    <mergeCell ref="B250:E250"/>
    <mergeCell ref="B121:E121"/>
    <mergeCell ref="B118:E118"/>
    <mergeCell ref="B218:E218"/>
    <mergeCell ref="B123:E123"/>
    <mergeCell ref="B125:E125"/>
    <mergeCell ref="B135:E135"/>
    <mergeCell ref="B213:E213"/>
    <mergeCell ref="B241:E241"/>
    <mergeCell ref="B226:E226"/>
    <mergeCell ref="B215:E215"/>
    <mergeCell ref="B244:E244"/>
    <mergeCell ref="B252:E252"/>
    <mergeCell ref="B225:E225"/>
    <mergeCell ref="B217:E217"/>
    <mergeCell ref="B153:E153"/>
    <mergeCell ref="B154:E154"/>
    <mergeCell ref="B186:E186"/>
    <mergeCell ref="B195:E195"/>
    <mergeCell ref="B232:E232"/>
    <mergeCell ref="AF32:AJ32"/>
    <mergeCell ref="B65:E65"/>
    <mergeCell ref="B61:E61"/>
    <mergeCell ref="X70:AA70"/>
    <mergeCell ref="B74:E74"/>
    <mergeCell ref="X71:AA71"/>
    <mergeCell ref="B73:E73"/>
    <mergeCell ref="X74:AA74"/>
    <mergeCell ref="B56:E56"/>
    <mergeCell ref="X46:AA46"/>
    <mergeCell ref="B47:E47"/>
    <mergeCell ref="H47:K47"/>
    <mergeCell ref="X47:AA47"/>
    <mergeCell ref="X34:AA34"/>
    <mergeCell ref="H46:K46"/>
    <mergeCell ref="B59:E59"/>
    <mergeCell ref="B67:E67"/>
    <mergeCell ref="B62:E62"/>
    <mergeCell ref="B60:E60"/>
    <mergeCell ref="B69:E69"/>
    <mergeCell ref="B70:E70"/>
    <mergeCell ref="H42:K42"/>
    <mergeCell ref="X72:AA72"/>
    <mergeCell ref="I72:K72"/>
    <mergeCell ref="B36:E36"/>
    <mergeCell ref="B46:E46"/>
    <mergeCell ref="X69:AA69"/>
    <mergeCell ref="H44:K44"/>
    <mergeCell ref="H34:K34"/>
    <mergeCell ref="B33:E33"/>
    <mergeCell ref="H40:K40"/>
    <mergeCell ref="X40:AA40"/>
    <mergeCell ref="AF78:AH78"/>
    <mergeCell ref="B32:E32"/>
    <mergeCell ref="X48:AA48"/>
    <mergeCell ref="X32:AA32"/>
    <mergeCell ref="X39:AA39"/>
    <mergeCell ref="B25:E25"/>
    <mergeCell ref="B22:E22"/>
    <mergeCell ref="AF18:AJ18"/>
    <mergeCell ref="B35:E35"/>
    <mergeCell ref="H35:K35"/>
    <mergeCell ref="H39:K39"/>
    <mergeCell ref="H37:K37"/>
    <mergeCell ref="B38:E38"/>
    <mergeCell ref="AF22:AI22"/>
    <mergeCell ref="AF25:AI25"/>
    <mergeCell ref="H31:K31"/>
    <mergeCell ref="AF30:AJ30"/>
    <mergeCell ref="I70:M70"/>
    <mergeCell ref="B72:E72"/>
    <mergeCell ref="AF29:AJ29"/>
    <mergeCell ref="B51:E51"/>
    <mergeCell ref="B29:E29"/>
    <mergeCell ref="X29:AA29"/>
    <mergeCell ref="H32:K32"/>
    <mergeCell ref="AF23:AI23"/>
    <mergeCell ref="AF26:AJ26"/>
    <mergeCell ref="X31:AA31"/>
    <mergeCell ref="B31:E31"/>
    <mergeCell ref="B28:E28"/>
    <mergeCell ref="B27:E27"/>
    <mergeCell ref="H38:K38"/>
    <mergeCell ref="I71:M71"/>
    <mergeCell ref="X28:AA28"/>
    <mergeCell ref="B26:E26"/>
    <mergeCell ref="B34:E34"/>
    <mergeCell ref="H50:K50"/>
    <mergeCell ref="B44:E44"/>
    <mergeCell ref="H48:K48"/>
    <mergeCell ref="X43:AA43"/>
    <mergeCell ref="H49:K49"/>
    <mergeCell ref="B48:E48"/>
    <mergeCell ref="X50:AA50"/>
    <mergeCell ref="B50:E50"/>
    <mergeCell ref="B53:E53"/>
    <mergeCell ref="B37:E37"/>
    <mergeCell ref="H36:K36"/>
    <mergeCell ref="X36:AA36"/>
    <mergeCell ref="B57:E57"/>
    <mergeCell ref="AK13:AM13"/>
    <mergeCell ref="B24:E24"/>
    <mergeCell ref="AF31:AJ31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30:E30"/>
    <mergeCell ref="B15:E15"/>
    <mergeCell ref="B39:E39"/>
    <mergeCell ref="B42:E42"/>
    <mergeCell ref="X118:AA118"/>
    <mergeCell ref="B131:E131"/>
    <mergeCell ref="X116:AA116"/>
    <mergeCell ref="X161:AA161"/>
    <mergeCell ref="X139:AA139"/>
    <mergeCell ref="H158:W158"/>
    <mergeCell ref="B147:E147"/>
    <mergeCell ref="B84:E84"/>
    <mergeCell ref="X133:AA133"/>
    <mergeCell ref="X123:AA123"/>
    <mergeCell ref="X125:AA125"/>
    <mergeCell ref="X134:AA134"/>
    <mergeCell ref="B114:E114"/>
    <mergeCell ref="G120:K120"/>
    <mergeCell ref="B133:E133"/>
    <mergeCell ref="X130:AA130"/>
    <mergeCell ref="X129:AA129"/>
    <mergeCell ref="B120:E120"/>
    <mergeCell ref="B99:E99"/>
    <mergeCell ref="B117:E117"/>
    <mergeCell ref="X119:AA119"/>
    <mergeCell ref="G115:K115"/>
    <mergeCell ref="G117:K117"/>
    <mergeCell ref="G109:M109"/>
    <mergeCell ref="B134:E134"/>
    <mergeCell ref="X124:AA124"/>
    <mergeCell ref="X121:AA121"/>
    <mergeCell ref="X122:AA122"/>
    <mergeCell ref="X120:AA120"/>
    <mergeCell ref="X117:AA117"/>
    <mergeCell ref="X136:AA136"/>
    <mergeCell ref="G116:K116"/>
    <mergeCell ref="X135:AA135"/>
    <mergeCell ref="X162:AA162"/>
    <mergeCell ref="C238:E239"/>
    <mergeCell ref="B172:E172"/>
    <mergeCell ref="X227:AA227"/>
    <mergeCell ref="B248:E248"/>
    <mergeCell ref="F237:J237"/>
    <mergeCell ref="B211:E211"/>
    <mergeCell ref="B188:E188"/>
    <mergeCell ref="B228:E228"/>
    <mergeCell ref="B190:E190"/>
    <mergeCell ref="B137:E137"/>
    <mergeCell ref="B231:E231"/>
    <mergeCell ref="X248:AA248"/>
    <mergeCell ref="X233:AA233"/>
    <mergeCell ref="B180:E180"/>
    <mergeCell ref="X180:AA180"/>
    <mergeCell ref="I175:M178"/>
    <mergeCell ref="B144:E144"/>
    <mergeCell ref="X144:AA144"/>
    <mergeCell ref="X167:AA167"/>
    <mergeCell ref="X168:AA168"/>
    <mergeCell ref="Q217:W217"/>
    <mergeCell ref="B178:E178"/>
    <mergeCell ref="X141:AA141"/>
    <mergeCell ref="X230:AA230"/>
    <mergeCell ref="B167:E167"/>
    <mergeCell ref="B148:E148"/>
    <mergeCell ref="B170:E170"/>
    <mergeCell ref="B251:E251"/>
    <mergeCell ref="B142:E142"/>
    <mergeCell ref="C158:E159"/>
    <mergeCell ref="B176:E176"/>
    <mergeCell ref="B184:E184"/>
    <mergeCell ref="B199:E199"/>
    <mergeCell ref="B179:E179"/>
    <mergeCell ref="X163:AA163"/>
    <mergeCell ref="X165:AA165"/>
    <mergeCell ref="X145:AA145"/>
    <mergeCell ref="B219:E219"/>
    <mergeCell ref="X160:AA160"/>
    <mergeCell ref="X172:AA172"/>
    <mergeCell ref="X158:AA159"/>
    <mergeCell ref="B151:E151"/>
    <mergeCell ref="G158:G159"/>
    <mergeCell ref="B171:E171"/>
    <mergeCell ref="B205:E205"/>
    <mergeCell ref="X253:AA253"/>
    <mergeCell ref="B126:E126"/>
    <mergeCell ref="B234:E234"/>
    <mergeCell ref="B216:E216"/>
    <mergeCell ref="B220:E220"/>
    <mergeCell ref="X166:AA166"/>
    <mergeCell ref="B146:E146"/>
    <mergeCell ref="H201:M201"/>
    <mergeCell ref="X169:AA169"/>
    <mergeCell ref="X234:AA234"/>
    <mergeCell ref="B128:E128"/>
    <mergeCell ref="X184:AA184"/>
    <mergeCell ref="X132:AA132"/>
    <mergeCell ref="B129:E129"/>
    <mergeCell ref="B309:E309"/>
    <mergeCell ref="B308:E308"/>
    <mergeCell ref="X238:AA239"/>
    <mergeCell ref="F238:F239"/>
    <mergeCell ref="X296:AA296"/>
    <mergeCell ref="X214:AA214"/>
    <mergeCell ref="B169:E169"/>
    <mergeCell ref="F158:F159"/>
    <mergeCell ref="B141:E141"/>
    <mergeCell ref="B149:E149"/>
    <mergeCell ref="X293:AA293"/>
    <mergeCell ref="X308:AA308"/>
    <mergeCell ref="X268:AA268"/>
    <mergeCell ref="X307:AA307"/>
    <mergeCell ref="B304:E304"/>
    <mergeCell ref="B306:E306"/>
    <mergeCell ref="B301:E301"/>
    <mergeCell ref="B295:E295"/>
    <mergeCell ref="B119:E119"/>
    <mergeCell ref="B124:E124"/>
    <mergeCell ref="X367:AA367"/>
    <mergeCell ref="G318:G319"/>
    <mergeCell ref="X113:AA113"/>
    <mergeCell ref="B116:E116"/>
    <mergeCell ref="B338:E338"/>
    <mergeCell ref="B331:E331"/>
    <mergeCell ref="B307:E307"/>
    <mergeCell ref="B282:E282"/>
    <mergeCell ref="B358:E358"/>
    <mergeCell ref="B299:E299"/>
    <mergeCell ref="B311:E311"/>
    <mergeCell ref="B343:E343"/>
    <mergeCell ref="B340:E340"/>
    <mergeCell ref="B336:E336"/>
    <mergeCell ref="B312:E312"/>
    <mergeCell ref="C318:E319"/>
    <mergeCell ref="B351:E351"/>
    <mergeCell ref="X131:AA131"/>
    <mergeCell ref="X114:AA114"/>
    <mergeCell ref="F318:F319"/>
    <mergeCell ref="B288:E288"/>
    <mergeCell ref="X244:AA244"/>
    <mergeCell ref="X226:AA226"/>
    <mergeCell ref="G190:S195"/>
    <mergeCell ref="X181:AA181"/>
    <mergeCell ref="B182:E182"/>
    <mergeCell ref="X182:AA182"/>
    <mergeCell ref="B185:E185"/>
    <mergeCell ref="X183:AA183"/>
    <mergeCell ref="X345:AA345"/>
    <mergeCell ref="B433:E433"/>
    <mergeCell ref="B430:E430"/>
    <mergeCell ref="B460:E460"/>
    <mergeCell ref="B429:E429"/>
    <mergeCell ref="B436:E436"/>
    <mergeCell ref="X435:AA435"/>
    <mergeCell ref="B419:E419"/>
    <mergeCell ref="X455:AA455"/>
    <mergeCell ref="B434:E434"/>
    <mergeCell ref="B435:E435"/>
    <mergeCell ref="B380:E380"/>
    <mergeCell ref="B140:E140"/>
    <mergeCell ref="B224:E224"/>
    <mergeCell ref="Q206:W206"/>
    <mergeCell ref="X240:AA240"/>
    <mergeCell ref="X140:AA140"/>
    <mergeCell ref="B181:E181"/>
    <mergeCell ref="B158:B159"/>
    <mergeCell ref="B197:E197"/>
    <mergeCell ref="X185:AA185"/>
    <mergeCell ref="X143:AA143"/>
    <mergeCell ref="H180:K185"/>
    <mergeCell ref="B163:E163"/>
    <mergeCell ref="B198:E198"/>
    <mergeCell ref="B233:E233"/>
    <mergeCell ref="B222:E222"/>
    <mergeCell ref="X232:AA232"/>
    <mergeCell ref="X228:AA228"/>
    <mergeCell ref="B201:E201"/>
    <mergeCell ref="B175:E175"/>
    <mergeCell ref="X164:AA164"/>
    <mergeCell ref="B194:E194"/>
    <mergeCell ref="X398:AA399"/>
    <mergeCell ref="I427:M432"/>
    <mergeCell ref="B384:E384"/>
    <mergeCell ref="B421:E421"/>
    <mergeCell ref="B446:E446"/>
    <mergeCell ref="X446:AA446"/>
    <mergeCell ref="B447:E447"/>
    <mergeCell ref="X447:AA447"/>
    <mergeCell ref="X440:AA440"/>
    <mergeCell ref="B439:E439"/>
    <mergeCell ref="X439:AA439"/>
    <mergeCell ref="B443:E443"/>
    <mergeCell ref="X443:AA443"/>
    <mergeCell ref="B339:E339"/>
    <mergeCell ref="X339:AA339"/>
    <mergeCell ref="B470:E470"/>
    <mergeCell ref="B468:E468"/>
    <mergeCell ref="B465:E465"/>
    <mergeCell ref="B389:E389"/>
    <mergeCell ref="X459:AA459"/>
    <mergeCell ref="X456:AA456"/>
    <mergeCell ref="X392:AA392"/>
    <mergeCell ref="X360:AA360"/>
    <mergeCell ref="X361:AA361"/>
    <mergeCell ref="B392:E392"/>
    <mergeCell ref="B355:E355"/>
    <mergeCell ref="B372:E372"/>
    <mergeCell ref="B379:E379"/>
    <mergeCell ref="B367:E367"/>
    <mergeCell ref="B370:E370"/>
    <mergeCell ref="B390:E390"/>
    <mergeCell ref="X390:AA390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B606:E606"/>
    <mergeCell ref="M646:M647"/>
    <mergeCell ref="B626:E626"/>
    <mergeCell ref="B624:E624"/>
    <mergeCell ref="B616:E616"/>
    <mergeCell ref="B645:W645"/>
    <mergeCell ref="B608:E608"/>
    <mergeCell ref="B609:E609"/>
    <mergeCell ref="B594:E594"/>
    <mergeCell ref="AF593:AJ593"/>
    <mergeCell ref="AF589:AH589"/>
    <mergeCell ref="X589:AA590"/>
    <mergeCell ref="AB589:AB590"/>
    <mergeCell ref="B604:E604"/>
    <mergeCell ref="B596:E596"/>
    <mergeCell ref="AF639:AH639"/>
    <mergeCell ref="B575:E575"/>
    <mergeCell ref="B595:E595"/>
    <mergeCell ref="AB560:AB561"/>
    <mergeCell ref="B586:E586"/>
    <mergeCell ref="B567:E567"/>
    <mergeCell ref="B641:G641"/>
    <mergeCell ref="R646:R647"/>
    <mergeCell ref="B562:E562"/>
    <mergeCell ref="B625:E625"/>
    <mergeCell ref="X560:AA561"/>
    <mergeCell ref="B560:B561"/>
    <mergeCell ref="F560:F561"/>
    <mergeCell ref="G560:G561"/>
    <mergeCell ref="B617:E617"/>
    <mergeCell ref="B565:E565"/>
    <mergeCell ref="B589:B590"/>
    <mergeCell ref="B579:E579"/>
    <mergeCell ref="B588:U588"/>
    <mergeCell ref="B600:E600"/>
    <mergeCell ref="B598:E598"/>
    <mergeCell ref="B614:E614"/>
    <mergeCell ref="B593:E593"/>
    <mergeCell ref="B603:E603"/>
    <mergeCell ref="J646:J647"/>
    <mergeCell ref="B592:E592"/>
    <mergeCell ref="W646:W647"/>
    <mergeCell ref="K646:K647"/>
    <mergeCell ref="B622:E622"/>
    <mergeCell ref="I646:I647"/>
    <mergeCell ref="B643:G643"/>
    <mergeCell ref="B644:G644"/>
    <mergeCell ref="B618:E618"/>
    <mergeCell ref="B605:E605"/>
    <mergeCell ref="B612:E612"/>
    <mergeCell ref="AF560:AH560"/>
    <mergeCell ref="B559:W559"/>
    <mergeCell ref="B513:W513"/>
    <mergeCell ref="AF513:AH513"/>
    <mergeCell ref="B514:B515"/>
    <mergeCell ref="AB514:AB515"/>
    <mergeCell ref="AF514:AH514"/>
    <mergeCell ref="B537:E537"/>
    <mergeCell ref="B516:E516"/>
    <mergeCell ref="B544:E544"/>
    <mergeCell ref="B542:E542"/>
    <mergeCell ref="B545:E545"/>
    <mergeCell ref="B511:E511"/>
    <mergeCell ref="B551:E551"/>
    <mergeCell ref="B510:E510"/>
    <mergeCell ref="B529:E529"/>
    <mergeCell ref="B527:E527"/>
    <mergeCell ref="B528:E528"/>
    <mergeCell ref="B526:E526"/>
    <mergeCell ref="B523:E523"/>
    <mergeCell ref="B531:E531"/>
    <mergeCell ref="B532:E532"/>
    <mergeCell ref="F514:F515"/>
    <mergeCell ref="G514:G515"/>
    <mergeCell ref="H514:W514"/>
    <mergeCell ref="B520:E520"/>
    <mergeCell ref="B518:E518"/>
    <mergeCell ref="B517:E517"/>
    <mergeCell ref="C514:E515"/>
    <mergeCell ref="X514:AA515"/>
    <mergeCell ref="B549:E549"/>
    <mergeCell ref="B550:E550"/>
    <mergeCell ref="AF559:AH559"/>
    <mergeCell ref="B504:E504"/>
    <mergeCell ref="AF479:AH479"/>
    <mergeCell ref="B453:E453"/>
    <mergeCell ref="B457:E457"/>
    <mergeCell ref="X438:AA438"/>
    <mergeCell ref="X458:AA458"/>
    <mergeCell ref="X460:AA460"/>
    <mergeCell ref="B485:E485"/>
    <mergeCell ref="B437:E437"/>
    <mergeCell ref="B499:E499"/>
    <mergeCell ref="B500:E500"/>
    <mergeCell ref="B483:E483"/>
    <mergeCell ref="B452:E452"/>
    <mergeCell ref="B469:E469"/>
    <mergeCell ref="B454:E454"/>
    <mergeCell ref="B449:E449"/>
    <mergeCell ref="B509:E509"/>
    <mergeCell ref="X469:AA469"/>
    <mergeCell ref="B498:E498"/>
    <mergeCell ref="B491:E491"/>
    <mergeCell ref="X437:AA437"/>
    <mergeCell ref="F480:F481"/>
    <mergeCell ref="B461:E461"/>
    <mergeCell ref="B463:E463"/>
    <mergeCell ref="B462:E462"/>
    <mergeCell ref="H480:W480"/>
    <mergeCell ref="B501:E501"/>
    <mergeCell ref="AB480:AB481"/>
    <mergeCell ref="AF480:AH480"/>
    <mergeCell ref="B441:E441"/>
    <mergeCell ref="B438:E438"/>
    <mergeCell ref="X323:AA323"/>
    <mergeCell ref="B506:E506"/>
    <mergeCell ref="B507:E507"/>
    <mergeCell ref="B508:E508"/>
    <mergeCell ref="B495:E495"/>
    <mergeCell ref="B490:E490"/>
    <mergeCell ref="B464:E464"/>
    <mergeCell ref="B466:E466"/>
    <mergeCell ref="B496:E496"/>
    <mergeCell ref="B497:E497"/>
    <mergeCell ref="B456:E456"/>
    <mergeCell ref="X470:AA470"/>
    <mergeCell ref="X468:AA468"/>
    <mergeCell ref="X409:AA409"/>
    <mergeCell ref="X413:AA413"/>
    <mergeCell ref="B413:E413"/>
    <mergeCell ref="I422:M424"/>
    <mergeCell ref="B448:W448"/>
    <mergeCell ref="B425:E425"/>
    <mergeCell ref="B427:E427"/>
    <mergeCell ref="X426:AA426"/>
    <mergeCell ref="X414:AA414"/>
    <mergeCell ref="B418:E418"/>
    <mergeCell ref="B479:W479"/>
    <mergeCell ref="B431:E431"/>
    <mergeCell ref="B442:E442"/>
    <mergeCell ref="X425:AA425"/>
    <mergeCell ref="X448:AA448"/>
    <mergeCell ref="X436:AA436"/>
    <mergeCell ref="X441:AA441"/>
    <mergeCell ref="X434:AA434"/>
    <mergeCell ref="X416:AA416"/>
    <mergeCell ref="X415:AA415"/>
    <mergeCell ref="X418:AA418"/>
    <mergeCell ref="B401:E401"/>
    <mergeCell ref="B403:E403"/>
    <mergeCell ref="B417:E417"/>
    <mergeCell ref="B394:E394"/>
    <mergeCell ref="X400:AA400"/>
    <mergeCell ref="B423:E423"/>
    <mergeCell ref="B409:E409"/>
    <mergeCell ref="B407:E407"/>
    <mergeCell ref="B480:B481"/>
    <mergeCell ref="C480:E481"/>
    <mergeCell ref="X480:AA481"/>
    <mergeCell ref="X363:AA363"/>
    <mergeCell ref="B494:E494"/>
    <mergeCell ref="B493:E493"/>
    <mergeCell ref="B451:E451"/>
    <mergeCell ref="B382:E382"/>
    <mergeCell ref="X401:AA401"/>
    <mergeCell ref="B381:E381"/>
    <mergeCell ref="B405:E405"/>
    <mergeCell ref="X393:AA393"/>
    <mergeCell ref="B387:E387"/>
    <mergeCell ref="X391:AA391"/>
    <mergeCell ref="B391:E391"/>
    <mergeCell ref="B383:E383"/>
    <mergeCell ref="X394:AA394"/>
    <mergeCell ref="B385:E385"/>
    <mergeCell ref="G398:G399"/>
    <mergeCell ref="B455:E455"/>
    <mergeCell ref="B412:E412"/>
    <mergeCell ref="X364:AA364"/>
    <mergeCell ref="B347:E347"/>
    <mergeCell ref="B348:E348"/>
    <mergeCell ref="B330:E330"/>
    <mergeCell ref="B314:E314"/>
    <mergeCell ref="B322:E322"/>
    <mergeCell ref="B334:E334"/>
    <mergeCell ref="B325:E325"/>
    <mergeCell ref="B327:E327"/>
    <mergeCell ref="B337:E337"/>
    <mergeCell ref="B345:E345"/>
    <mergeCell ref="B408:E408"/>
    <mergeCell ref="B420:E420"/>
    <mergeCell ref="B352:E352"/>
    <mergeCell ref="B373:E373"/>
    <mergeCell ref="B376:E376"/>
    <mergeCell ref="B363:E363"/>
    <mergeCell ref="B365:E365"/>
    <mergeCell ref="B375:E375"/>
    <mergeCell ref="B324:E324"/>
    <mergeCell ref="B332:E332"/>
    <mergeCell ref="B323:E323"/>
    <mergeCell ref="B366:E366"/>
    <mergeCell ref="B400:E400"/>
    <mergeCell ref="B415:E415"/>
    <mergeCell ref="B360:E360"/>
    <mergeCell ref="B416:E416"/>
    <mergeCell ref="B364:E364"/>
    <mergeCell ref="B410:E410"/>
    <mergeCell ref="B259:E259"/>
    <mergeCell ref="X264:AA264"/>
    <mergeCell ref="B450:E450"/>
    <mergeCell ref="X402:AA402"/>
    <mergeCell ref="B404:E404"/>
    <mergeCell ref="B398:B399"/>
    <mergeCell ref="B406:E406"/>
    <mergeCell ref="X245:AA245"/>
    <mergeCell ref="B249:E249"/>
    <mergeCell ref="B393:E393"/>
    <mergeCell ref="X433:AA433"/>
    <mergeCell ref="X419:AA419"/>
    <mergeCell ref="B369:E369"/>
    <mergeCell ref="B357:E357"/>
    <mergeCell ref="B377:E377"/>
    <mergeCell ref="B378:E378"/>
    <mergeCell ref="B326:E326"/>
    <mergeCell ref="Q346:W346"/>
    <mergeCell ref="X389:AA389"/>
    <mergeCell ref="B333:E333"/>
    <mergeCell ref="B253:E253"/>
    <mergeCell ref="B278:E278"/>
    <mergeCell ref="X292:AA292"/>
    <mergeCell ref="B293:E293"/>
    <mergeCell ref="B285:E285"/>
    <mergeCell ref="X276:AA276"/>
    <mergeCell ref="X274:AA274"/>
    <mergeCell ref="B281:E281"/>
    <mergeCell ref="B318:B319"/>
    <mergeCell ref="B402:E402"/>
    <mergeCell ref="B424:E424"/>
    <mergeCell ref="B422:E422"/>
    <mergeCell ref="X410:AA410"/>
    <mergeCell ref="B432:E432"/>
    <mergeCell ref="B411:E411"/>
    <mergeCell ref="B414:E414"/>
    <mergeCell ref="X417:AA417"/>
    <mergeCell ref="B100:E100"/>
    <mergeCell ref="B613:E613"/>
    <mergeCell ref="X442:AA442"/>
    <mergeCell ref="B444:E444"/>
    <mergeCell ref="X444:AA444"/>
    <mergeCell ref="B445:E445"/>
    <mergeCell ref="X445:AA445"/>
    <mergeCell ref="B359:E359"/>
    <mergeCell ref="B368:E368"/>
    <mergeCell ref="B335:E335"/>
    <mergeCell ref="B371:E371"/>
    <mergeCell ref="B354:E354"/>
    <mergeCell ref="B344:E344"/>
    <mergeCell ref="B374:E374"/>
    <mergeCell ref="B386:E386"/>
    <mergeCell ref="B353:E353"/>
    <mergeCell ref="B349:E349"/>
    <mergeCell ref="B356:E356"/>
    <mergeCell ref="B329:E329"/>
    <mergeCell ref="B341:E341"/>
    <mergeCell ref="B342:E342"/>
    <mergeCell ref="B350:E350"/>
    <mergeCell ref="X241:AA241"/>
    <mergeCell ref="B280:E280"/>
    <mergeCell ref="B303:E303"/>
    <mergeCell ref="B482:E482"/>
    <mergeCell ref="B284:E284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5" r:id="rId11" display="https://www.jivi.com.ar/ficha.php?id=41"/>
    <hyperlink ref="AB56" r:id="rId12" display="https://www.jivi.com.ar/ficha.php?id=42"/>
    <hyperlink ref="AB57" r:id="rId13" display="https://www.jivi.com.ar/ficha.php?id=649"/>
    <hyperlink ref="AB58" r:id="rId14" display="https://www.jivi.com.ar/ficha.php?id=650"/>
    <hyperlink ref="AB64" r:id="rId15" display="https://www.jivi.com.ar/ficha.php?id=164"/>
    <hyperlink ref="AB68" r:id="rId16" display="https://www.jivi.com.ar/ficha.php?id=77"/>
    <hyperlink ref="AB70" r:id="rId17"/>
    <hyperlink ref="AB72" r:id="rId18"/>
    <hyperlink ref="AB73" r:id="rId19"/>
    <hyperlink ref="AC80" r:id="rId20"/>
    <hyperlink ref="AD80" r:id="rId21"/>
    <hyperlink ref="AE80" r:id="rId22"/>
    <hyperlink ref="AF80" r:id="rId23"/>
    <hyperlink ref="AG80" r:id="rId24"/>
    <hyperlink ref="AC81" r:id="rId25"/>
    <hyperlink ref="AD81" r:id="rId26"/>
    <hyperlink ref="AE81" r:id="rId27"/>
    <hyperlink ref="AF81" r:id="rId28"/>
    <hyperlink ref="AG81" r:id="rId29"/>
    <hyperlink ref="AH81" r:id="rId30"/>
    <hyperlink ref="AC82" r:id="rId31"/>
    <hyperlink ref="AD82" r:id="rId32"/>
    <hyperlink ref="AE82" r:id="rId33"/>
    <hyperlink ref="AF82" r:id="rId34"/>
    <hyperlink ref="AH82" r:id="rId35"/>
    <hyperlink ref="AG82" r:id="rId36"/>
    <hyperlink ref="AC83" r:id="rId37"/>
    <hyperlink ref="AD83" r:id="rId38"/>
    <hyperlink ref="AE83" r:id="rId39"/>
    <hyperlink ref="AF83" r:id="rId40"/>
    <hyperlink ref="AC84" r:id="rId41"/>
    <hyperlink ref="AD84" r:id="rId42"/>
    <hyperlink ref="AE84" r:id="rId43"/>
    <hyperlink ref="AF84" r:id="rId44"/>
    <hyperlink ref="AG84" r:id="rId45"/>
    <hyperlink ref="AC85" r:id="rId46"/>
    <hyperlink ref="AD85" r:id="rId47"/>
    <hyperlink ref="AE85" r:id="rId48"/>
    <hyperlink ref="AC86" r:id="rId49"/>
    <hyperlink ref="AD86" r:id="rId50"/>
    <hyperlink ref="AE86" r:id="rId51"/>
    <hyperlink ref="AF86" r:id="rId52"/>
    <hyperlink ref="AG86" r:id="rId53"/>
    <hyperlink ref="AH86" r:id="rId54"/>
    <hyperlink ref="AB87" r:id="rId55"/>
    <hyperlink ref="AB88" r:id="rId56"/>
    <hyperlink ref="AB89" r:id="rId57"/>
    <hyperlink ref="AC90" r:id="rId58"/>
    <hyperlink ref="AD90" r:id="rId59"/>
    <hyperlink ref="AE90" r:id="rId60"/>
    <hyperlink ref="AF90" r:id="rId61"/>
    <hyperlink ref="AG90" r:id="rId62"/>
    <hyperlink ref="AB313" r:id="rId63" display="https://www.jivi.com.ar/ficha.php?id=187"/>
    <hyperlink ref="AB320" r:id="rId64" display="https://www.jivi.com.ar/ficha.php?id=4"/>
    <hyperlink ref="AB323" r:id="rId65" display="https://www.jivi.com.ar/ficha.php?id=16"/>
    <hyperlink ref="AB333" r:id="rId66" display="https://www.jivi.com.ar/ficha.php?id=55"/>
    <hyperlink ref="AB336" r:id="rId67" display="https://www.jivi.com.ar/ficha.php?id=209"/>
    <hyperlink ref="AB337" r:id="rId68"/>
    <hyperlink ref="AB344" r:id="rId69" display="https://www.jivi.com.ar/ficha.php?id=60"/>
    <hyperlink ref="AB346" r:id="rId70" display="https://www.jivi.com.ar/ficha.php?id=380"/>
    <hyperlink ref="AB347" r:id="rId71" display="https://www.jivi.com.ar/ficha.php?id=548"/>
    <hyperlink ref="AB348" r:id="rId72"/>
    <hyperlink ref="AB349" r:id="rId73" display="https://www.jivi.com.ar/ficha.php?id=719"/>
    <hyperlink ref="AB101" r:id="rId74" display="https://www.jivi.com.ar/ficha.php?id=326"/>
    <hyperlink ref="AB104" r:id="rId75" display="https://www.jivi.com.ar/ficha.php?id=211"/>
    <hyperlink ref="AB106" r:id="rId76" display="https://www.jivi.com.ar/ficha.php?id=134"/>
    <hyperlink ref="AB111" r:id="rId77" display="https://www.jivi.com.ar/ficha.php?id=10"/>
    <hyperlink ref="AB112" r:id="rId78" display="https://www.jivi.com.ar/ficha.php?id=11"/>
    <hyperlink ref="AB132" r:id="rId79" display="https://www.jivi.com.ar/ficha.php?id=394"/>
    <hyperlink ref="AB133" r:id="rId80" display="https://www.jivi.com.ar/ficha.php?id=145"/>
    <hyperlink ref="AB136" r:id="rId81" display="https://www.jivi.com.ar/ficha.php?id=18"/>
    <hyperlink ref="AB140" r:id="rId82" display="https://www.jivi.com.ar/ficha.php?id=19"/>
    <hyperlink ref="AB147" r:id="rId83" display="https://www.jivi.com.ar/ficha.php?id=140"/>
    <hyperlink ref="AB148" r:id="rId84" display="https://www.jivi.com.ar/ficha.php?id=142"/>
    <hyperlink ref="AB149" r:id="rId85" display="https://www.jivi.com.ar/ficha.php?id=392"/>
    <hyperlink ref="AB150" r:id="rId86" display="https://www.jivi.com.ar/ficha.php?id=393"/>
    <hyperlink ref="AB175" r:id="rId87" display="https://www.jivi.com.ar/ficha.php?id=135"/>
    <hyperlink ref="AB176" r:id="rId88" display="https://www.jivi.com.ar/ficha.php?id=136"/>
    <hyperlink ref="AB177" r:id="rId89" display="https://www.jivi.com.ar/ficha.php?id=137"/>
    <hyperlink ref="AB178" r:id="rId90" display="https://www.jivi.com.ar/ficha.php?id=138"/>
    <hyperlink ref="AB186" r:id="rId91" display="https://www.jivi.com.ar/ficha.php?id=245"/>
    <hyperlink ref="AB201" r:id="rId92" display="https://www.jivi.com.ar/ficha.php?id=166"/>
    <hyperlink ref="AB202" r:id="rId93" display="https://www.jivi.com.ar/ficha.php?id=171"/>
    <hyperlink ref="AB206" r:id="rId94" display="https://www.jivi.com.ar/ficha.php?id=168"/>
    <hyperlink ref="AB212" r:id="rId95" display="https://www.jivi.com.ar/ficha.php?id=169"/>
    <hyperlink ref="AB216" r:id="rId96" display="https://www.jivi.com.ar/ficha.php?id=148"/>
    <hyperlink ref="AB217" r:id="rId97" display="https://www.jivi.com.ar/ficha.php?id=158"/>
    <hyperlink ref="AB263" r:id="rId98" display="https://www.jivi.com.ar/ficha.php?id=621"/>
    <hyperlink ref="AB264" r:id="rId99" display="https://www.jivi.com.ar/ficha.php?id=622"/>
    <hyperlink ref="AB95" r:id="rId100" display="https://www.jivi.com.ar/ficha.php?id=456"/>
    <hyperlink ref="AB269" r:id="rId101" display="https://www.jivi.com.ar/ficha.php?id=246"/>
    <hyperlink ref="AB417" r:id="rId102" display="https://www.jivi.com.ar/ficha.php?id=431"/>
    <hyperlink ref="AB421" r:id="rId103" display="https://www.jivi.com.ar/ficha.php?id=728"/>
    <hyperlink ref="AB427" r:id="rId104"/>
    <hyperlink ref="AB429" r:id="rId105"/>
    <hyperlink ref="AB449" r:id="rId106"/>
    <hyperlink ref="AB451" r:id="rId107"/>
    <hyperlink ref="AB453" r:id="rId108"/>
    <hyperlink ref="AB454" r:id="rId109"/>
    <hyperlink ref="AB455" r:id="rId110"/>
    <hyperlink ref="AB457" r:id="rId111"/>
    <hyperlink ref="AB458" r:id="rId112"/>
    <hyperlink ref="AB460" r:id="rId113"/>
    <hyperlink ref="AB463" r:id="rId114"/>
    <hyperlink ref="AB464" r:id="rId115"/>
    <hyperlink ref="AB465" r:id="rId116"/>
    <hyperlink ref="AB592" r:id="rId117"/>
    <hyperlink ref="AB593" r:id="rId118"/>
    <hyperlink ref="AB594" r:id="rId119"/>
    <hyperlink ref="AB597" r:id="rId120"/>
    <hyperlink ref="AB599" r:id="rId121"/>
    <hyperlink ref="AB600" r:id="rId122"/>
    <hyperlink ref="AB602" r:id="rId123"/>
    <hyperlink ref="AB603" r:id="rId124"/>
    <hyperlink ref="AB604" r:id="rId125"/>
    <hyperlink ref="AB97" r:id="rId126" display="https://www.jivi.com.ar/ficha.php?id=234"/>
    <hyperlink ref="AB327" r:id="rId127" display="https://www.jivi.com.ar/ficha.php?id=51"/>
    <hyperlink ref="AB338" r:id="rId128"/>
    <hyperlink ref="AB252" r:id="rId129" display="https://www.jivi.com.ar/ficha.php?id=783"/>
    <hyperlink ref="B7:V7" location="'Artículos Publicitarios'!A686" display="PARA IR A LOS RECARGOS POR IMPRESIONES ADICIONALES CLICK AQUÍ"/>
    <hyperlink ref="AB431" r:id="rId130"/>
    <hyperlink ref="AB63" r:id="rId131" display="https://www.jivi.com.ar/ficha.php?id=76"/>
    <hyperlink ref="AC53" r:id="rId132"/>
    <hyperlink ref="AD53" r:id="rId133"/>
    <hyperlink ref="AE53" r:id="rId134"/>
    <hyperlink ref="B7:W7" location="'Artículos Publicitarios'!A661" display="PARA IR A LOS RECARGOS POR IMPRESIONES ADICIONALES CLICK AQUÍ"/>
    <hyperlink ref="AB225" r:id="rId135" display="https://www.jivi.com.ar/ficha.php?id=840"/>
    <hyperlink ref="AE2:AF2" location="'Artículos Publicitarios'!A839" display="CLICK AQUÍ"/>
    <hyperlink ref="AE2" location="'Artículos Publicitarios'!A833" display="CLICK AQUÍ"/>
    <hyperlink ref="AB501" r:id="rId136" display="https://www.jivi.com.ar/ficha.php?id=846"/>
    <hyperlink ref="AB26" r:id="rId137" display="https://www.jivi.com.ar/ficha.php?id=848"/>
    <hyperlink ref="AB74" r:id="rId138"/>
    <hyperlink ref="AE2:AG2" location="'Artículos Publicitarios'!A707" display="CLICK AQUÍ"/>
    <hyperlink ref="B706:W706" location="'Artículos Publicitarios'!A3" display="PARA SUBIR AL PRINCIPIO DE LA LISTA CLICK AQUÍ"/>
    <hyperlink ref="AB249" r:id="rId139" display="https://www.jivi.com.ar/ficha.php?id=862"/>
    <hyperlink ref="AB44" r:id="rId140"/>
    <hyperlink ref="AB151" r:id="rId141" display="https://www.jivi.com.ar/ficha.php?id=882"/>
    <hyperlink ref="AB102" r:id="rId142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267" r:id="rId143" display="https://www.jivi.com.ar/ficha.php?id=903"/>
    <hyperlink ref="AB21" r:id="rId144"/>
    <hyperlink ref="AB332" r:id="rId145" display="https://www.jivi.com.ar/ficha.php?id=916"/>
    <hyperlink ref="AB260" r:id="rId146" display="https://www.jivi.com.ar/ficha.php?id=918"/>
    <hyperlink ref="AB321" r:id="rId147" display="https://www.jivi.com.ar/ficha.php?id=926"/>
    <hyperlink ref="AB65" r:id="rId148"/>
    <hyperlink ref="AB425" r:id="rId149"/>
    <hyperlink ref="AB179" r:id="rId150" display="https://www.jivi.com.ar/ficha.php?id=948"/>
    <hyperlink ref="AB334" r:id="rId151" display="https://www.jivi.com.ar/ficha.php?id=954"/>
    <hyperlink ref="AB127" r:id="rId152"/>
    <hyperlink ref="AB129" r:id="rId153"/>
    <hyperlink ref="AB128" r:id="rId154"/>
    <hyperlink ref="AB605" r:id="rId155"/>
    <hyperlink ref="AB432" r:id="rId156"/>
    <hyperlink ref="AB27" r:id="rId157"/>
    <hyperlink ref="AB328" r:id="rId158" display="https://www.jivi.com.ar/ficha.php?id=850"/>
    <hyperlink ref="AB130" r:id="rId159"/>
    <hyperlink ref="AB461" r:id="rId160"/>
    <hyperlink ref="AB462" r:id="rId161"/>
    <hyperlink ref="AB607" r:id="rId162"/>
    <hyperlink ref="AB350" r:id="rId163" display="https://www.jivi.com.ar/ficha.php?id=1023"/>
    <hyperlink ref="AB326" r:id="rId164" display="https://www.jivi.com.ar/ficha.php?id=1024"/>
    <hyperlink ref="AB322" r:id="rId165" display="https://www.jivi.com.ar/ficha.php?id=1025"/>
    <hyperlink ref="AF25" location="'Artículos Publicitarios'!A122" display="IR A PINES"/>
    <hyperlink ref="AB330" r:id="rId166" display="https://www.jivi.com.ar/ficha.php?id=647"/>
    <hyperlink ref="AB312" r:id="rId167" display="https://www.jivi.com.ar/ficha.php?id=1049"/>
    <hyperlink ref="AB436" r:id="rId168"/>
    <hyperlink ref="AB168" r:id="rId169"/>
    <hyperlink ref="AB190" r:id="rId170" display="https://www.jivi.com.ar/ficha.php?id=1059"/>
    <hyperlink ref="AB192" r:id="rId171" display="https://www.jivi.com.ar/ficha.php?id=1061"/>
    <hyperlink ref="AB193" r:id="rId172" display="https://www.jivi.com.ar/ficha.php?id=1062"/>
    <hyperlink ref="AB23" r:id="rId173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4"/>
    <hyperlink ref="AB24" r:id="rId175"/>
    <hyperlink ref="AF23:AI23" location="'Artículos Publicitarios'!A567" display="IR A PROD. SUBLIMADOS"/>
    <hyperlink ref="AB576" r:id="rId176" display="https://www.jivi.com.ar/ficha.php?id=1088"/>
    <hyperlink ref="AB577" r:id="rId177" display="https://www.jivi.com.ar/ficha.php?id=1089"/>
    <hyperlink ref="AB578" r:id="rId178" display="https://www.jivi.com.ar/ficha.php?id=1090"/>
    <hyperlink ref="AB579" r:id="rId179" display="https://www.jivi.com.ar/ficha.php?id=1091"/>
    <hyperlink ref="AB342" r:id="rId180" display="https://www.jivi.com.ar/ficha.php?id=1095"/>
    <hyperlink ref="AB324" r:id="rId181" display="https://www.jivi.com.ar/ficha.php?id=1094"/>
    <hyperlink ref="AB314" r:id="rId182" display="https://www.jivi.com.ar/ficha.php?id=297"/>
    <hyperlink ref="AB352" r:id="rId183" display="https://www.jivi.com.ar/ficha.php?id=1097"/>
    <hyperlink ref="AB99" r:id="rId184" display="https://www.jivi.com.ar/ficha.php?id=1098"/>
    <hyperlink ref="AB20" r:id="rId185"/>
    <hyperlink ref="AB219" r:id="rId186"/>
    <hyperlink ref="AB310" r:id="rId187" display="https://www.jivi.com.ar/ficha.php?id=1108"/>
    <hyperlink ref="AB345" r:id="rId188" display="https://www.jivi.com.ar/ficha.php?id=1116"/>
    <hyperlink ref="AF589:AH589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2" r:id="rId189" display="https://www.jivi.com.ar/ficha.php?id=1119"/>
    <hyperlink ref="AB173" r:id="rId190"/>
    <hyperlink ref="AB254" r:id="rId191" display="https://www.jivi.com.ar/ficha.php?id=1154"/>
    <hyperlink ref="AB265" r:id="rId192" display="https://www.jivi.com.ar/ficha.php?id=1157"/>
    <hyperlink ref="AB266" r:id="rId193" display="https://www.jivi.com.ar/ficha.php?id=1158"/>
    <hyperlink ref="AB574" r:id="rId194"/>
    <hyperlink ref="AB580" r:id="rId195" display="hhttps://www.jivi.com.ar/ficha.php?id=1155"/>
    <hyperlink ref="AB582" r:id="rId196" display="https://www.jivi.com.ar/ficha.php?id=1156"/>
    <hyperlink ref="AB585" r:id="rId197"/>
    <hyperlink ref="AB591" r:id="rId198"/>
    <hyperlink ref="AB325" r:id="rId199"/>
    <hyperlink ref="AB54" r:id="rId200" display="https://www.jivi.com.ar/ficha.php?id=1172"/>
    <hyperlink ref="AB329" r:id="rId201"/>
    <hyperlink ref="AB98" r:id="rId202"/>
    <hyperlink ref="AB119" r:id="rId203"/>
    <hyperlink ref="AB331" r:id="rId204" display="https://www.jivi.com.ar/ficha.php?id=915"/>
    <hyperlink ref="AB109" r:id="rId205" display="https://www.jivi.com.ar/ficha.php?id=1182"/>
    <hyperlink ref="AB118" r:id="rId206" display="https://www.jivi.com.ar/ficha.php?id=1183"/>
    <hyperlink ref="AB120" r:id="rId207"/>
    <hyperlink ref="AB335" r:id="rId208" display="https://www.jivi.com.ar/ficha.php?id=349"/>
    <hyperlink ref="AB391" r:id="rId209" display="https://www.jivi.com.ar/ficha.php?id=1190"/>
    <hyperlink ref="AB390" r:id="rId210" display="https://www.jivi.com.ar/ficha.php?id=1192"/>
    <hyperlink ref="AB107" r:id="rId211" display="https://www.jivi.com.ar/ficha.php?id=1181"/>
    <hyperlink ref="AB340" r:id="rId212"/>
    <hyperlink ref="AB433" r:id="rId213"/>
    <hyperlink ref="AB393" r:id="rId214" display="https://www.jivi.com.ar/ficha.php?id=1219"/>
    <hyperlink ref="AB49" r:id="rId215"/>
    <hyperlink ref="AB48" r:id="rId216"/>
    <hyperlink ref="AB50" r:id="rId217"/>
    <hyperlink ref="AB268" r:id="rId218" display="https://www.jivi.com.ar/ficha.php?id=904"/>
    <hyperlink ref="AB61" r:id="rId219"/>
    <hyperlink ref="AB413" r:id="rId220" display="https://www.jivi.com.ar/ficha.php?id=1225"/>
    <hyperlink ref="AB43" r:id="rId221"/>
    <hyperlink ref="AB261" r:id="rId222" display="https://www.jivi.com.ar/ficha.php?id=919"/>
    <hyperlink ref="AB191" r:id="rId223" display="https://www.jivi.com.ar/ficha.php?id=1060"/>
    <hyperlink ref="AB42" r:id="rId224"/>
    <hyperlink ref="AB152" r:id="rId225" display="https://www.jivi.com.ar/ficha.php?id=883"/>
    <hyperlink ref="AB468" r:id="rId226"/>
    <hyperlink ref="AB124" r:id="rId227" display="https://www.jivi.com.ar/ficha.php?id=1055"/>
    <hyperlink ref="AB504" r:id="rId228" display="https://www.jivi.com.ar/ficha.php?id=1248"/>
    <hyperlink ref="AB343" r:id="rId229" display="https://www.jivi.com.ar/ficha.php?id=1253"/>
    <hyperlink ref="AF559:AH559" location="'Artículos Publicitarios'!A3" display="IR A PAGINA 1"/>
    <hyperlink ref="AB250" r:id="rId230" display="https://www.jivi.com.ar/ficha.php?id=1124"/>
    <hyperlink ref="AB153" r:id="rId231" display="https://www.jivi.com.ar/ficha.php?id=1261"/>
    <hyperlink ref="AB246" r:id="rId232" display="https://www.jivi.com.ar/ficha.php?id=1265"/>
    <hyperlink ref="AB367" r:id="rId233" display="https://www.jivi.com.ar/ficha.php?id=1267"/>
    <hyperlink ref="AB414" r:id="rId234" display="https://www.jivi.com.ar/ficha.php?id=1268"/>
    <hyperlink ref="AB368" r:id="rId235" display="https://www.jivi.com.ar/ficha.php?id=1277"/>
    <hyperlink ref="AB369" r:id="rId236" display="https://www.jivi.com.ar/ficha.php?id=1278"/>
    <hyperlink ref="AB370" r:id="rId237" display="https://www.jivi.com.ar/ficha.php?id=1280"/>
    <hyperlink ref="AB617" r:id="rId238"/>
    <hyperlink ref="AB96" r:id="rId239" display="https://www.jivi.com.ar/ficha.php?id=378"/>
    <hyperlink ref="AB170" r:id="rId240"/>
    <hyperlink ref="AB108" r:id="rId241"/>
    <hyperlink ref="AB110" r:id="rId242"/>
    <hyperlink ref="AB115" r:id="rId243" display="https://www.jivi.com.ar/ficha.php?id=1305"/>
    <hyperlink ref="AB116" r:id="rId244"/>
    <hyperlink ref="AB214" r:id="rId245" display="https://www.jivi.com.ar/ficha.php?id=1295"/>
    <hyperlink ref="AB218" r:id="rId246" display="https://www.jivi.com.ar/ficha.php?id=1287"/>
    <hyperlink ref="AB584" r:id="rId247" display="https://www.jivi.com.ar/ficha.php?id=1290"/>
    <hyperlink ref="AB163" r:id="rId248" display="https://www.jivi.com.ar/ficha.php?id=1316"/>
    <hyperlink ref="AB103" r:id="rId249" display="https://www.jivi.com.ar/ficha.php?id=1314"/>
    <hyperlink ref="AB509" r:id="rId250" display="https://www.jivi.com.ar/ficha.php?id=1324"/>
    <hyperlink ref="AJ1:AJ2" location="'Artículos Publicitarios'!A3" display="IR A PAGINA 1"/>
    <hyperlink ref="AB169" r:id="rId251"/>
    <hyperlink ref="AB354" r:id="rId252" display="https://www.jivi.com.ar/ficha.php?id=1344"/>
    <hyperlink ref="AB117" r:id="rId253"/>
    <hyperlink ref="AF666:AH666" location="'Artículos Publicitarios'!A3" display="IR A PAGINA 1"/>
    <hyperlink ref="AB161" r:id="rId254" display="https://www.jivi.com.ar/ficha.php?id=1346"/>
    <hyperlink ref="AB162" r:id="rId255" display="https://www.jivi.com.ar/ficha.php?id=1347"/>
    <hyperlink ref="AB189" r:id="rId256" display="https://www.jivi.com.ar/ficha.php?id=1348"/>
    <hyperlink ref="AB355" r:id="rId257" display="https://www.jivi.com.ar/ficha.php?id=1359"/>
    <hyperlink ref="AB371" r:id="rId258" display="https://www.jivi.com.ar/ficha.php?id=1360"/>
    <hyperlink ref="AB171" r:id="rId259"/>
    <hyperlink ref="AB105" r:id="rId260" display="https://www.jivi.com.ar/ficha.php?id=1366"/>
    <hyperlink ref="AC8:AI9" r:id="rId261" display="REGISTRATE EN NUESTRA WEB PARA BAJAR LISTA DE PRECIOS DESDE CUALQUIER PC"/>
    <hyperlink ref="AB251" r:id="rId262" display="https://www.jivi.com.ar/ficha.php?id=864"/>
    <hyperlink ref="AB377" r:id="rId263" display="https://www.jivi.com.ar/ficha.php?id=1372"/>
    <hyperlink ref="AB372" r:id="rId264" display="https://www.jivi.com.ar/ficha.php?id=1376"/>
    <hyperlink ref="AB375" r:id="rId265" display="https://www.jivi.com.ar/ficha.php?id=1378"/>
    <hyperlink ref="AB376" r:id="rId266" display="https://www.jivi.com.ar/ficha.php?id=1381"/>
    <hyperlink ref="AB378" r:id="rId267" display="https://www.jivi.com.ar/ficha.php?id=1382"/>
    <hyperlink ref="AB374" r:id="rId268" display="https://www.jivi.com.ar/ficha.php?id=1383"/>
    <hyperlink ref="AB401" r:id="rId269" display="https://www.jivi.com.ar/ficha.php?id=1384"/>
    <hyperlink ref="AB122" r:id="rId270" display="https://www.jivi.com.ar/ficha.php?id=1428"/>
    <hyperlink ref="AB402" r:id="rId271" display="https://www.jivi.com.ar/ficha.php?id=1385"/>
    <hyperlink ref="AB389" r:id="rId272" display="https://www.jivi.com.ar/ficha.php?id=1386"/>
    <hyperlink ref="AB400" r:id="rId273" display="https://www.jivi.com.ar/ficha.php?id=1387"/>
    <hyperlink ref="AB403" r:id="rId274" display="https://www.jivi.com.ar/ficha.php?id=1389"/>
    <hyperlink ref="AB404" r:id="rId275" display="https://www.jivi.com.ar/ficha.php?id=1390"/>
    <hyperlink ref="AB145" r:id="rId276" display="https://www.jivi.com.ar/ficha.php?id=1391"/>
    <hyperlink ref="AB22" r:id="rId277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0" r:id="rId278" display="https://www.jivi.com.ar/ficha.php?id=236"/>
    <hyperlink ref="AB164" r:id="rId279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9" r:id="rId280" display="https://www.jivi.com.ar/ficha.php?id=1394"/>
    <hyperlink ref="AB220" r:id="rId281" display="https://www.jivi.com.ar/ficha.php?id=872"/>
    <hyperlink ref="AB143" r:id="rId282" display="https://www.jivi.com.ar/ficha.php?id=1398"/>
    <hyperlink ref="AB142" r:id="rId283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94" r:id="rId284" display="https://www.jivi.com.ar/ficha.php?id=1262"/>
    <hyperlink ref="AB373" r:id="rId285" display="https://www.jivi.com.ar/ficha.php?id=1400"/>
    <hyperlink ref="AB380" r:id="rId286" display="https://www.jivi.com.ar/ficha.php?id=1401"/>
    <hyperlink ref="AB154" r:id="rId287" display="https://www.jivi.com.ar/ficha.php?id=1392"/>
    <hyperlink ref="AB245" r:id="rId288" display="https://www.jivi.com.ar/ficha.php?id=1230"/>
    <hyperlink ref="AB356" r:id="rId289" display="https://www.jivi.com.ar/ficha.php?id=1110"/>
    <hyperlink ref="AB359" r:id="rId290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2" r:id="rId291" display="https://www.jivi.com.ar/ficha.php?id=477"/>
    <hyperlink ref="AB94" r:id="rId292" display="https://www.jivi.com.ar/ficha.php?id=376"/>
    <hyperlink ref="AB14" r:id="rId293" display="https://www.jivi.com.ar/ficha.php?id=1402"/>
    <hyperlink ref="AB311" r:id="rId294" display="https://www.jivi.com.ar/ficha.php?id=1403"/>
    <hyperlink ref="AB497" r:id="rId295" display="https://www.jivi.com.ar/ficha.php?id=1393"/>
    <hyperlink ref="AB16" r:id="rId296" display="https://www.jivi.com.ar/ficha.php?id=1405"/>
    <hyperlink ref="AB121" r:id="rId297" display="https://www.jivi.com.ar/ficha.php?id=1413"/>
    <hyperlink ref="AB166" r:id="rId298" display="https://www.jivi.com.ar/ficha.php?id=1416"/>
    <hyperlink ref="AB167" r:id="rId299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7" r:id="rId300" display="https://www.jivi.com.ar/ficha.php?id=1356"/>
    <hyperlink ref="AB205" r:id="rId301" display="https://www.jivi.com.ar/ficha.php?id=1084"/>
    <hyperlink ref="AB304" r:id="rId302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20" r:id="rId303"/>
    <hyperlink ref="AB622" r:id="rId304"/>
    <hyperlink ref="AB262" r:id="rId305" display="https://www.jivi.com.ar/ficha.php?id=1281"/>
    <hyperlink ref="AB614" r:id="rId306"/>
    <hyperlink ref="AB288" r:id="rId307" display="https://www.jivi.com.ar/ficha.php?id=1421"/>
    <hyperlink ref="AB291" r:id="rId308" display="https://www.jivi.com.ar/ficha.php?id=1422"/>
    <hyperlink ref="AB292" r:id="rId309" display="https://www.jivi.com.ar/ficha.php?id=1423"/>
    <hyperlink ref="AB302" r:id="rId310" display="https://www.jivi.com.ar/ficha.php?id=1425"/>
    <hyperlink ref="AB303" r:id="rId311" display="https://www.jivi.com.ar/ficha.php?id=1426"/>
    <hyperlink ref="AB503" r:id="rId312" display="https://www.jivi.com.ar/ficha.php?id=910"/>
    <hyperlink ref="AB412" r:id="rId313" display="https://www.jivi.com.ar/ficha.php?id=1429"/>
    <hyperlink ref="AB405" r:id="rId314"/>
    <hyperlink ref="AB434" r:id="rId315"/>
    <hyperlink ref="AB435" r:id="rId316"/>
    <hyperlink ref="AB15" r:id="rId317" display="https://www.jivi.com.ar/ficha.php?id=1433"/>
    <hyperlink ref="AB491" r:id="rId318" display="https://www.jivi.com.ar/ficha.php?id=1436"/>
    <hyperlink ref="AB492" r:id="rId319" display="https://www.jivi.com.ar/ficha.php?id=1437"/>
    <hyperlink ref="AB493" r:id="rId320" display="https://www.jivi.com.ar/ficha.php?id=1438"/>
    <hyperlink ref="AB494" r:id="rId321" display="https://www.jivi.com.ar/ficha.php?id=1439"/>
    <hyperlink ref="AB495" r:id="rId322" display="https://www.jivi.com.ar/ficha.php?id=1440"/>
    <hyperlink ref="AB290" r:id="rId323" display="https://www.jivi.com.ar/ficha.php?id=1442"/>
    <hyperlink ref="AB301" r:id="rId324" display="https://www.jivi.com.ar/ficha.php?id=1427"/>
    <hyperlink ref="AB601" r:id="rId325"/>
    <hyperlink ref="AB351" r:id="rId326" display="https://www.jivi.com.ar/ficha.php?id=1056"/>
    <hyperlink ref="AB244" r:id="rId327" display="https://www.jivi.com.ar/ficha.php?id=1334"/>
    <hyperlink ref="AB242" r:id="rId328" display="https://www.jivi.com.ar/ficha.php?id=1335"/>
    <hyperlink ref="AB298" r:id="rId329" display="https://www.jivi.com.ar/ficha.php?id=1443"/>
    <hyperlink ref="AB285" r:id="rId330" display="https://www.jivi.com.ar/ficha.php?id=1444"/>
    <hyperlink ref="AB305" r:id="rId331" display="https://www.jivi.com.ar/ficha.php?id=1354"/>
    <hyperlink ref="AB297" r:id="rId332" display="https://www.jivi.com.ar/ficha.php?id=1446"/>
    <hyperlink ref="AB296" r:id="rId333" display="https://www.jivi.com.ar/ficha.php?id=1447"/>
    <hyperlink ref="AB300" r:id="rId334" display="https://www.jivi.com.ar/ficha.php?id=1448"/>
    <hyperlink ref="AB309" r:id="rId335" display="https://www.jivi.com.ar/ficha.php?id=1449"/>
    <hyperlink ref="AB308" r:id="rId336" display="https://www.jivi.com.ar/ficha.php?id=1450"/>
    <hyperlink ref="AB125" r:id="rId337" display="https://www.jivi.com.ar/ficha.php?id=1451"/>
    <hyperlink ref="AB187" r:id="rId338"/>
    <hyperlink ref="AB195" r:id="rId339" display="https://www.jivi.com.ar/ficha.php?id=1064"/>
    <hyperlink ref="AB194" r:id="rId340" display="https://www.jivi.com.ar/ficha.php?id=1063"/>
    <hyperlink ref="AB437" r:id="rId341"/>
    <hyperlink ref="AB426" r:id="rId342"/>
    <hyperlink ref="AB618" r:id="rId343"/>
    <hyperlink ref="AB385" r:id="rId344" display="https://www.jivi.com.ar/ficha.php?id=1463"/>
    <hyperlink ref="AB386" r:id="rId345" display="https://www.jivi.com.ar/ficha.php?id=1464"/>
    <hyperlink ref="AB387" r:id="rId346" display="https://www.jivi.com.ar/ficha.php?id=1465"/>
    <hyperlink ref="AB406" r:id="rId347" display="https://www.jivi.com.ar/ficha.php?id=1466"/>
    <hyperlink ref="AB498" r:id="rId348" display="https://www.jivi.com.ar/ficha.php?id=1467"/>
    <hyperlink ref="AB496" r:id="rId349" display="https://www.jivi.com.ar/ficha.php?id=1468"/>
    <hyperlink ref="AB502" r:id="rId350" display="https://www.jivi.com.ar/ficha.php?id=1470"/>
    <hyperlink ref="AB507" r:id="rId351"/>
    <hyperlink ref="AB508" r:id="rId352" display="https://www.jivi.com.ar/ficha.php?id=1472"/>
    <hyperlink ref="AB456" r:id="rId353"/>
    <hyperlink ref="AB572" r:id="rId354"/>
    <hyperlink ref="AB573" r:id="rId355"/>
    <hyperlink ref="AB571" r:id="rId356"/>
    <hyperlink ref="AB209" r:id="rId357" display="https://www.jivi.com.ar/ficha.php?id=1478"/>
    <hyperlink ref="AB210" r:id="rId358"/>
    <hyperlink ref="AB211" r:id="rId359"/>
    <hyperlink ref="AB204" r:id="rId360" display="https://www.jivi.com.ar/ficha.php?id=1481"/>
    <hyperlink ref="AB221" r:id="rId361" display="https://www.jivi.com.ar/ficha.php?id=1483"/>
    <hyperlink ref="AB240" r:id="rId362" display="https://www.jivi.com.ar/ficha.php?id=1486"/>
    <hyperlink ref="AB241" r:id="rId363" display="https://www.jivi.com.ar/ficha.php?id=1488"/>
    <hyperlink ref="AB256" r:id="rId364" display="https://www.jivi.com.ar/ficha.php?id=1492"/>
    <hyperlink ref="AB257" r:id="rId365" display="https://www.jivi.com.ar/ficha.php?id=1493"/>
    <hyperlink ref="AB258" r:id="rId366" display="https://www.jivi.com.ar/ficha.php?id=1494"/>
    <hyperlink ref="AB259" r:id="rId367"/>
    <hyperlink ref="AB270" r:id="rId368" display="https://www.jivi.com.ar/ficha.php?id=1496"/>
    <hyperlink ref="AB271" r:id="rId369" display="https://www.jivi.com.ar/ficha.php?id=1497"/>
    <hyperlink ref="AB273" r:id="rId370" display="httphttps://www.jivi.com.ar/ficha.php?id=1498"/>
    <hyperlink ref="AB274" r:id="rId371" display="https://www.jivi.com.ar/ficha.php?id=1499"/>
    <hyperlink ref="AB275" r:id="rId372" display="https://www.jivi.com.ar/ficha.php?id=1500"/>
    <hyperlink ref="AB37" r:id="rId373"/>
    <hyperlink ref="AB286" r:id="rId374" display="https://www.jivi.com.ar/ficha.php?id=1503"/>
    <hyperlink ref="AB39" r:id="rId375"/>
    <hyperlink ref="AB36" r:id="rId376"/>
    <hyperlink ref="AB38" r:id="rId377"/>
    <hyperlink ref="AB40" r:id="rId378"/>
    <hyperlink ref="AB41" r:id="rId379"/>
    <hyperlink ref="AB490" r:id="rId380" display="https://www.jivi.com.ar/ficha.php?id=1509"/>
    <hyperlink ref="AB470" r:id="rId381"/>
    <hyperlink ref="AB408" r:id="rId382" display="https://www.jivi.com.ar/ficha.php?id=1512"/>
    <hyperlink ref="AB467" r:id="rId383"/>
    <hyperlink ref="AB284" r:id="rId384" display="https://www.jivi.com.ar/ficha.php?id=1515"/>
    <hyperlink ref="AB69" r:id="rId385"/>
    <hyperlink ref="AB71" r:id="rId386"/>
    <hyperlink ref="AB381" r:id="rId387" display="https://www.jivi.com.ar/ficha.php?id=1523"/>
    <hyperlink ref="AB615" r:id="rId388"/>
    <hyperlink ref="AB283" r:id="rId389" display="https://www.jivi.com.ar/ficha.php?id=1524"/>
    <hyperlink ref="AB287" r:id="rId390" display="https://www.jivi.com.ar/ficha.php?id=1526"/>
    <hyperlink ref="AB289" r:id="rId391" display="https://www.jivi.com.ar/ficha.php?id=1527"/>
    <hyperlink ref="AB229" r:id="rId392" display="https://www.jivi.com.ar/ficha.php?id=1532"/>
    <hyperlink ref="AB234" r:id="rId393" display="https://www.jivi.com.ar/ficha.php?id=1534"/>
    <hyperlink ref="AB276" r:id="rId394" display="https://www.jivi.com.ar/ficha.php?id=1535"/>
    <hyperlink ref="AB277" r:id="rId395" display="https://www.jivi.com.ar/ficha.php?id=1536"/>
    <hyperlink ref="AB223" r:id="rId396" display="https://www.jivi.com.ar/ficha.php?id=1539"/>
    <hyperlink ref="AB126" r:id="rId397" display="https://www.jivi.com.ar/ficha.php?id=1540"/>
    <hyperlink ref="AB505" r:id="rId398" display="https://www.jivi.com.ar/ficha.php?id=1541"/>
    <hyperlink ref="AB506" r:id="rId399" display="https://www.jivi.com.ar/ficha.php?id=1542"/>
    <hyperlink ref="AB243" r:id="rId400" display="https://www.jivi.com.ar/ficha.php?id=1363"/>
    <hyperlink ref="AB228" r:id="rId401" display="https://www.jivi.com.ar/ficha.php?id=1545"/>
    <hyperlink ref="AB358" r:id="rId402"/>
    <hyperlink ref="AB357" r:id="rId403"/>
    <hyperlink ref="AB341" r:id="rId404" display="https://www.jivi.com.ar/ficha.php?id=981"/>
    <hyperlink ref="AB382" r:id="rId405" display="https://www.jivi.com.ar/ficha.php?id=1548"/>
    <hyperlink ref="AB383" r:id="rId406" display="https://www.jivi.com.ar/ficha.php?id=1549"/>
    <hyperlink ref="AB438" r:id="rId407"/>
    <hyperlink ref="AB411" r:id="rId408" display="https://www.jivi.com.ar/ficha.php?id=1552"/>
    <hyperlink ref="AB353" r:id="rId409" display="https://www.jivi.com.ar/ficha.php?id=1311"/>
    <hyperlink ref="AB141" r:id="rId410" display="https://www.jivi.com.ar/ficha.php?id=1553"/>
    <hyperlink ref="AB137" r:id="rId411" display="https://www.jivi.com.ar/ficha.php?id=1554"/>
    <hyperlink ref="AB224" r:id="rId412" display="https://www.jivi.com.ar/ficha.php?id=1397"/>
    <hyperlink ref="AB537" r:id="rId413" display="https://www.jivi.com.ar/ficha.php?id=1555"/>
    <hyperlink ref="AB59" r:id="rId414" display="https://www.jivi.com.ar/ficha.php?id=1557"/>
    <hyperlink ref="AB621" r:id="rId415"/>
    <hyperlink ref="AB222" r:id="rId416" display="https://www.jivi.com.ar/ficha.php?id=518"/>
    <hyperlink ref="AB282" r:id="rId417" display="https://www.jivi.com.ar/ficha.php?id=1559"/>
    <hyperlink ref="AB188" r:id="rId418" display="https://www.jivi.com.ar/ficha.php?id=1561"/>
    <hyperlink ref="AB11" r:id="rId419" display="https://www.jivi.com.ar/ficha.php?id=26"/>
    <hyperlink ref="AB226" r:id="rId420" display="https://www.jivi.com.ar/ficha.php?id=1066"/>
    <hyperlink ref="AB227" r:id="rId421" display="https://www.jivi.com.ar/ficha.php?id=1562"/>
    <hyperlink ref="AB418" r:id="rId422" display="https://www.jivi.com.ar/ficha.php?id=1563"/>
    <hyperlink ref="AB160" r:id="rId423" display="https://www.jivi.com.ar/ficha.php?id=1414"/>
    <hyperlink ref="AF16:AH16" location="'Artículos Publicitarios'!A578" display="IR A PAGINA 8"/>
    <hyperlink ref="AB17" r:id="rId424" display="https://www.jivi.com.ar/ficha.php?id=790"/>
    <hyperlink ref="AB294" r:id="rId425" display="https://www.jivi.com.ar/ficha.php?id=1407"/>
    <hyperlink ref="AB293" r:id="rId426" display="https://www.jivi.com.ar/ficha.php?id=1409"/>
    <hyperlink ref="AB295" r:id="rId427" display="https://www.jivi.com.ar/ficha.php?id=1408"/>
    <hyperlink ref="AB280" r:id="rId428" display="https://www.jivi.com.ar/ficha.php?id=1564"/>
    <hyperlink ref="AB360" r:id="rId429" display="https://www.jivi.com.ar/ficha.php?id=1565"/>
    <hyperlink ref="AB361" r:id="rId430" display="https://www.jivi.com.ar/ficha.php?id=1566"/>
    <hyperlink ref="AB30" r:id="rId431" display="https://www.jivi.com.ar/ficha.php?id=1434"/>
    <hyperlink ref="AB29" r:id="rId432" display="https://www.jivi.com.ar/ficha.php?id=32"/>
    <hyperlink ref="AF29:AI29" location="'Artículos Publicitarios'!A280" display="IR A LLAVEROS ALTA FRECUENCIA"/>
    <hyperlink ref="AF29:AJ29" location="'Artículos Publicitarios'!A303" display="IR A JARROS TÉRMICOS Y BOTELLAS"/>
    <hyperlink ref="AF30:AI30" location="'Artículos Publicitarios'!A280" display="IR A LLAVEROS ALTA FRECUENCIA"/>
    <hyperlink ref="AF30:AJ30" location="'Artículos Publicitarios'!A295" display="IR A TABLAS DE MADERA"/>
    <hyperlink ref="AB388" r:id="rId433" display="https://www.jivi.com.ar/ficha.php?id=1567"/>
    <hyperlink ref="AB45" r:id="rId434"/>
    <hyperlink ref="AB46" r:id="rId435"/>
    <hyperlink ref="AB47" r:id="rId436"/>
    <hyperlink ref="AB123" r:id="rId437" display="https://www.jivi.com.ar/ficha.php?id=1571"/>
    <hyperlink ref="AB203" r:id="rId438"/>
    <hyperlink ref="AB213" r:id="rId439" display="https://www.jivi.com.ar/ficha.php?id=218"/>
    <hyperlink ref="AB384" r:id="rId440" display="https://www.jivi.com.ar/ficha.php?id=1572"/>
    <hyperlink ref="AB281" r:id="rId441" display="https://www.jivi.com.ar/ficha.php?id=1573"/>
    <hyperlink ref="AB516" r:id="rId442" display="https://www.jivi.com.ar/ficha.php?id=1294"/>
    <hyperlink ref="AF31:AJ31" location="'Artículos Publicitarios'!A530" display="IR A MOCHILAS"/>
    <hyperlink ref="AB520" r:id="rId443" display="https://www.jivi.com.ar/ficha.php?id=1271"/>
    <hyperlink ref="AB519" r:id="rId444" display="https://www.jivi.com.ar/ficha.php?id=1296"/>
    <hyperlink ref="AB522" r:id="rId445" display="https://www.jivi.com.ar/ficha.php?id=1139"/>
    <hyperlink ref="AB517" r:id="rId446" display="https://www.jivi.com.ar/ficha.php?id=1249"/>
    <hyperlink ref="AB521" r:id="rId447" display="https://www.jivi.com.ar/ficha.php?id=1293"/>
    <hyperlink ref="AB547" r:id="rId448" display="https://www.jivi.com.ar/ficha.php?id=1574"/>
    <hyperlink ref="AB518" r:id="rId449" display="https://www.jivi.com.ar/ficha.php?id=1576"/>
    <hyperlink ref="AB523" r:id="rId450" display="https://www.jivi.com.ar/ficha.php?id=1577"/>
    <hyperlink ref="AB524" r:id="rId451" display="https://www.jivi.com.ar/ficha.php?id=1580"/>
    <hyperlink ref="AB525" r:id="rId452" display="https://www.jivi.com.ar/ficha.php?id=1581"/>
    <hyperlink ref="AB529" r:id="rId453" display="https://www.jivi.com.ar/ficha.php?id=1582"/>
    <hyperlink ref="AB530" r:id="rId454" display="https://www.jivi.com.ar/ficha.php?id=1583"/>
    <hyperlink ref="AB531" r:id="rId455" display="https://www.jivi.com.ar/ficha.php?id=1584"/>
    <hyperlink ref="AB533" r:id="rId456" display="https://www.jivi.com.ar/ficha.php?id=1586"/>
    <hyperlink ref="AB535" r:id="rId457" display="https://www.jivi.com.ar/ficha.php?id=1587"/>
    <hyperlink ref="AF32:AJ32" location="'Artículos Publicitarios'!A251" display="IR A CUADERNOS"/>
    <hyperlink ref="AB247" r:id="rId458" display="https://www.jivi.com.ar/ficha.php?id=1221"/>
    <hyperlink ref="AB253" r:id="rId459" display="https://www.jivi.com.ar/ficha.php?id=1588"/>
    <hyperlink ref="AB255" r:id="rId460" display="https://www.jivi.com.ar/ficha.php?id=1411"/>
    <hyperlink ref="AB485" r:id="rId461"/>
    <hyperlink ref="AB486" r:id="rId462" display="https://www.jivi.com.ar/ficha.php?id=1590"/>
    <hyperlink ref="AB487" r:id="rId463"/>
    <hyperlink ref="AB488" r:id="rId464" display="https://www.jivi.com.ar/ficha.php?id=1592"/>
    <hyperlink ref="AB538" r:id="rId465" display="https://www.jivi.com.ar/ficha.php?id=1593"/>
    <hyperlink ref="AB279" r:id="rId466" display="https://www.jivi.com.ar/ficha.php?id=1594"/>
    <hyperlink ref="AB278" r:id="rId467" display="https://www.jivi.com.ar/ficha.php?id=1595"/>
    <hyperlink ref="AB407" r:id="rId468" display="https://www.jivi.com.ar/ficha.php?id=1596"/>
    <hyperlink ref="AB539" r:id="rId469" display="https://www.jivi.com.ar/ficha.php?id=1598"/>
    <hyperlink ref="AB532" r:id="rId470" display="https://www.jivi.com.ar/ficha.php?id=1599"/>
    <hyperlink ref="AB540" r:id="rId471" display="https://www.jivi.com.ar/ficha.php?id=1600"/>
    <hyperlink ref="AB541" r:id="rId472" display="https://www.jivi.com.ar/ficha.php?id=1601"/>
    <hyperlink ref="AB542" r:id="rId473" display="https://www.jivi.com.ar/ficha.php?id=1602"/>
    <hyperlink ref="AB543" r:id="rId474" display="https://www.jivi.com.ar/ficha.php?id=1603"/>
    <hyperlink ref="AB62" r:id="rId475"/>
    <hyperlink ref="AB544" r:id="rId476" display="https://www.jivi.com.ar/ficha.php?id=1604"/>
    <hyperlink ref="AB546" r:id="rId477" display="https://www.jivi.com.ar/ficha.php?id=1605"/>
    <hyperlink ref="AB545" r:id="rId478" display="https://www.jivi.com.ar/ficha.php?id=1606"/>
    <hyperlink ref="AB299" r:id="rId479" display="https://www.jivi.com.ar/ficha.php?id=1424"/>
    <hyperlink ref="AB174" r:id="rId480"/>
    <hyperlink ref="AB233" r:id="rId481" display="https://www.jivi.com.ar/ficha.php?id=1520"/>
    <hyperlink ref="AB232" r:id="rId482" display="https://www.jivi.com.ar/ficha.php?id=1459"/>
    <hyperlink ref="AB231" r:id="rId483" display="https://www.jivi.com.ar/ficha.php?id=1608"/>
    <hyperlink ref="AB230" r:id="rId484" display="https://www.jivi.com.ar/ficha.php?id=1609"/>
    <hyperlink ref="AB248" r:id="rId485" display="https://www.jivi.com.ar/ficha.php?id=1274"/>
    <hyperlink ref="AB409" r:id="rId486" display="https://www.jivi.com.ar/ficha.php?id=1610"/>
    <hyperlink ref="AB534" r:id="rId487" display="https://www.jivi.com.ar/ficha.php?id=1396"/>
    <hyperlink ref="AB528" r:id="rId488" display="https://www.jivi.com.ar/ficha.php?id=1611"/>
    <hyperlink ref="AB527" r:id="rId489" display="https://www.jivi.com.ar/ficha.php?id=1612"/>
    <hyperlink ref="AB526" r:id="rId490" display="https://www.jivi.com.ar/ficha.php?id=1613"/>
    <hyperlink ref="AB199" r:id="rId491" display="https://www.jivi.com.ar/ficha.php?id=1319"/>
    <hyperlink ref="AB197" r:id="rId492" display="https://www.jivi.com.ar/ficha.php?id=1614"/>
    <hyperlink ref="AB196" r:id="rId493" display="https://www.jivi.com.ar/ficha.php?id=1452"/>
    <hyperlink ref="AB215" r:id="rId494" display="https://www.jivi.com.ar/ficha.php?id=608"/>
    <hyperlink ref="AB365" r:id="rId495" display="https://www.jivi.com.ar/ficha.php?id=1615"/>
    <hyperlink ref="AB548" r:id="rId496" display="https://www.jivi.com.ar/ficha.php?id=1616"/>
    <hyperlink ref="AB549" r:id="rId497" display="https://www.jivi.com.ar/ficha.php?id=1617"/>
    <hyperlink ref="AB550" r:id="rId498" display="https://www.jivi.com.ar/ficha.php?id=1618"/>
    <hyperlink ref="AB483" r:id="rId499"/>
    <hyperlink ref="AB484" r:id="rId500" display="https://www.jivi.com.ar/ficha.php?id=1620"/>
    <hyperlink ref="AB306" r:id="rId501" display="https://www.jivi.com.ar/ficha.php?id=1355"/>
    <hyperlink ref="AB18" r:id="rId502" display="https://www.jivi.com.ar/ficha.php?id=998"/>
    <hyperlink ref="AB499" r:id="rId503" display="https://www.jivi.com.ar/ficha.php?id=1204"/>
    <hyperlink ref="AB500" r:id="rId504"/>
    <hyperlink ref="AB146" r:id="rId505" display="https://www.jivi.com.ar/ficha.php?id=139"/>
    <hyperlink ref="AB339" r:id="rId506"/>
    <hyperlink ref="AB469" r:id="rId507"/>
    <hyperlink ref="AB595" r:id="rId508"/>
    <hyperlink ref="AB598" r:id="rId509"/>
    <hyperlink ref="AB624" r:id="rId510"/>
    <hyperlink ref="AB625" r:id="rId511"/>
    <hyperlink ref="AB626" r:id="rId512"/>
    <hyperlink ref="AB363" r:id="rId513" display="https://www.jivi.com.ar/ficha.php?id=1641"/>
    <hyperlink ref="AB443" r:id="rId514"/>
    <hyperlink ref="AB442" r:id="rId515"/>
    <hyperlink ref="AB444" r:id="rId516"/>
    <hyperlink ref="AB445" r:id="rId517"/>
    <hyperlink ref="AB446" r:id="rId518"/>
    <hyperlink ref="AB447" r:id="rId519"/>
    <hyperlink ref="AB612" r:id="rId520"/>
    <hyperlink ref="AB440" r:id="rId521"/>
    <hyperlink ref="AB441" r:id="rId522"/>
    <hyperlink ref="AB439" r:id="rId523"/>
    <hyperlink ref="AB165" r:id="rId524" display="https://www.jivi.com.ar/ficha.php?id=1660"/>
    <hyperlink ref="AB144" r:id="rId525" display="https://www.jivi.com.ar/ficha.php?id=1663"/>
    <hyperlink ref="AB100" r:id="rId526" display="https://www.jivi.com.ar/ficha.php?id=440"/>
    <hyperlink ref="AB613" r:id="rId527"/>
    <hyperlink ref="AB616" r:id="rId528"/>
    <hyperlink ref="AB619" r:id="rId529"/>
    <hyperlink ref="AB623" r:id="rId530"/>
    <hyperlink ref="AB489" r:id="rId531" display="https://www.jivi.com.ar/ficha.php?id=1684"/>
    <hyperlink ref="AB366" r:id="rId532" display="https://www.jivi.com.ar/ficha.php?id=1272"/>
    <hyperlink ref="AB364" r:id="rId533" display="https://www.jivi.com.ar/ficha.php?id=1687"/>
    <hyperlink ref="AB362" r:id="rId534" display="https://www.jivi.com.ar/ficha.php?id=1672"/>
    <hyperlink ref="AB536" r:id="rId535" display="https://www.jivi.com.ar/ficha.php?id=1690"/>
    <hyperlink ref="AB482" r:id="rId536" display="https://www.jivi.com.ar/ficha.php?id=1691"/>
    <hyperlink ref="AB410" r:id="rId537" display="https://www.jivi.com.ar/ficha.php?id=1692"/>
  </hyperlinks>
  <pageMargins left="0.27559055118110237" right="0.11811023622047245" top="0.19685039370078741" bottom="0.15748031496062992" header="0.11811023622047245" footer="0.15748031496062992"/>
  <pageSetup paperSize="5" orientation="portrait" copies="5" r:id="rId538"/>
  <headerFooter alignWithMargins="0"/>
  <cellWatches>
    <cellWatch r="X8"/>
  </cellWatches>
  <ignoredErrors>
    <ignoredError sqref="AB616:AB618 AB613:AB615 AB612" numberStoredAsText="1"/>
    <ignoredError sqref="X584 B27:E27 G28 C26:E26 A163 C163:E163 V596 A189:E189 A105:E106 H395:Q395 C28:E28 H56:I56 G57:I58 H599:L601 B404:E404 G186 G249 G251:G252 G420 B161:E161 B142:E142 B145:E145 C143:E143 C223:E223 G315:W315 R22:V24 O10:P10 I10:M10 J22:O24 J18:V18 V30 I26:K26 S31 U31 S39:S40 S36 U36 U39:U40 S42 U42 H136:I136 G55:I55 K136:V136 X205:X206 G142 G244 G354:G359 T608:U611 H427 H428:M428 H429:M429 H430:M430 H431:M431 H432:M432 O422 H422:H424 J427:M427 S422 U422 Q422 S48 U48 G423:G426 I122:K122 M122 O122 Q122 S122 U122 F471:T471 G223 G412:G414 T622:U622 W468 H16:H17 V414:V416 G377:G378 G438 G569 H619:U619 W546 G161:G164 G433:G436 G341:G343 Q346 R346:W346 H345:W345 H346:P346 L408:V408 W101:W102 H425:I426 G240:G242 G270:V274 G269:V269 G221 H221:V223 G202:W203 G201 H201:M201 L205:W206 F205:K205 N201:W201 G204:X204 F216:W216 O217:W217 G196:W196 W186:W188 I178:M178 G189:W189 G179:K179 H186:K188 M179:W179 L180:V188 G225:V225 W162 W106 V91:W94 N95:W95 G95:G98 F81:I88 H96:W96 H95:M95 F90:I90 F89:I89 H97:V97 Q107 G124:Q124 H538:W539 H407:W407 L405:V405 G254 G280:H281 I279:V281 H568:V569 I27:V28 J20:T21 I30:T30 I13:M13 I11:V12 I14:T14 W59 I59:I61 I63:I65 J55:V67 H160:V163 H415:I416 G103:V103 H98:I98 K98:V98 U107 S107 H126:V126 G283:V284 L409:W409 G207:W212 J80:J90 H165:U167 H174:V174 H173:U173 L172:V172 H170:T170 G200:W200 G206:K206 G217:N217 H224:S224 H234:W234 H250:H252 G288:V295 G287:O287 G297:V297 H299:V299 W142:W143 H137:W137 G256:V262 J252:V252 H387:K388 H535:W535 H390:Q390 G345:G350 G105:V106 G545 G154:V154 K314 J413:K413 U412:V413 J414 J415:K416 L413:T416 J411:V411 H226:V228 H240:V244 G246 W543 H526:V526 H527:W533 G198:W198 F213:W214 I215:V215 L197:W197 G549:T550 B245:E245 H246:V249 H543:V546 H525:M525 H537:V537 H542:W542 H548:V548 H618:T618 G617:I617 H625:U625 H626:R626 G624:R624 I312 K312 L312:W314 H320:K322 H324:K328 H329:V333 G336:V338 W358 G371:J371 H377:J379 H381:J382 H384:K386 G367:V369 L384:V386 L355:V359 R328:V328 L320:V327 N328:O328 H308:I308 H347:W348 L353:V353 H353:K359 H350:K350 H351:V351 H349:V349 N350:V350 G307:H307 G301:V305 I306:V307 H341:V344 H524:W524 H541:V541 I510:I511 K510:K511 M510:M511 O510:O511 Q510:Q511 S510:S511 U510:U511 W510:W511 K371:V371 H370:U370 G145:O145 H164:M164 P164:V164 I175:M175 I176:M176 I177:M177 N175:V178 G218:W220 G229:V232 G245:V245 J250:V250 H140:V143 H138:O139 Q138:V139 G285:H286 J285:V286 H169:U169 H171:V171 H275:M275 H334:S335 N111:V112 H419:V421 H300:W300 H296:W296 G276:V278 G566:V567 H571:V573 H20:H21 K339:V339 H298:W298 J148:V148 I391:V391 N354:V354 H360:V360 L363:V363 G417:O418 G404:H404 I401:V401 G400 J400:V400 H442:W447 H433:W439 H614:T614 H622:S623 G620:S621 H616:T616 K617:W617 H440:V441 H144:W144 G99 F547:V547 H516:W523 H612:T612 H340:W340 F393:V393 J362:V362 H365:V365 K377:V383 H366:V366 J364:V364 J412 S412 Q412 O412 M412 K412 L412 N412 P412 R412 T412 G80:I80 G536:V536 G373:J375 K373:V375 L387:V388 G255:H255 I255:V255 H253:V254 F394:V394 W482 I483 U483 S483 Q483 O483 M483 K483 U482 S482 Q482 O482 M482 H506:I506 H504:I504 H503:I503 H500:I500 G498:I498 G494:I494 G493:I493 G492:I492 G495:I495 H489:I489 H488:I488 H490:I490 H486:I486 H484:I484 K482 H482:I482 G506:G508 H508:I508 H496:I496 G491 G497 G483 G501:G504 G490 G482 J494:V494 J490:V490 G505:V505 H501:V502 G485:V485 H483 G499:V499 H497:V497 H491:V491 G496 J496:V496 J508:V508 H507:V507 J482 L482 G484 J484:V484 G487:V487 G486 J486:V486 G489 G488 J488:V488 J489:V489 J495:V495 J492:V492 J493:V493 J498:V498 G500 J500:V500 J504:V504 J503:V503 J506:V506 N482 P482 R482 T482 V482 L483 N483 P483 R483 T483 V483 J483 G453:K453 G452:K452 G451:K451 G450:K450 G449:K449 G467 U470 S470 Q470 O470 M470 K470 I470 G468:V468 G454:K454 G456 G470 G465 G457:G460 F453 F461:V464 F457:F460 H457:V460 F466:V466 F465 H465:V465 F470 H470 F456 H456:V456 F455:V455 F454 L454:V454 F469:V469 F468 J470 L470 N470 P470 R470 T470 V470 F467 H467:V467 F449 L449:V449 F450 L450:V450 F451 L451:V451 F452 L452:V452 L453:V453 H310:V311 H309:I309 K309:V309 K308:V308 J410:V410 G403 G402 G401 I411:I414 I404:V404 H410 H411:H414 H400:H403 H405:H406 H408:H409 I99:W99 G101 I101:V101 G102 I102:V102 H99:H102 H68:J68 K68:V68 I403:V403 I402:M402 N402:W402" formula="1"/>
    <ignoredError sqref="G352:K352 W352" evalError="1"/>
    <ignoredError sqref="L352:V352" evalError="1" formula="1"/>
  </ignoredErrors>
  <drawing r:id="rId53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7" sqref="B7"/>
    </sheetView>
  </sheetViews>
  <sheetFormatPr baseColWidth="10" defaultColWidth="9.140625" defaultRowHeight="12.75"/>
  <cols>
    <col min="1" max="256" width="11.42578125" customWidth="1"/>
  </cols>
  <sheetData>
    <row r="1" spans="1:1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JIVI PROPAGANDA</cp:lastModifiedBy>
  <cp:revision/>
  <cp:lastPrinted>2024-02-08T13:52:03Z</cp:lastPrinted>
  <dcterms:created xsi:type="dcterms:W3CDTF">2003-01-03T20:20:32Z</dcterms:created>
  <dcterms:modified xsi:type="dcterms:W3CDTF">2024-03-04T15:06:46Z</dcterms:modified>
</cp:coreProperties>
</file>